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7B8BDC67-F030-4F9B-87BF-9653D1C0D28D}" xr6:coauthVersionLast="46" xr6:coauthVersionMax="46" xr10:uidLastSave="{00000000-0000-0000-0000-000000000000}"/>
  <bookViews>
    <workbookView xWindow="-120" yWindow="-120" windowWidth="20730" windowHeight="11160" tabRatio="599" firstSheet="3" activeTab="10" xr2:uid="{00000000-000D-0000-FFFF-FFFF00000000}"/>
  </bookViews>
  <sheets>
    <sheet name="argentina_gral" sheetId="1" r:id="rId1"/>
    <sheet name="casos_provincias" sheetId="3" r:id="rId2"/>
    <sheet name="Hoja1" sheetId="12" r:id="rId3"/>
    <sheet name="argentina_gral (2)" sheetId="23" r:id="rId4"/>
    <sheet name="caba_ind" sheetId="20" r:id="rId5"/>
    <sheet name="Hoja3" sheetId="18" r:id="rId6"/>
    <sheet name="POBLA" sheetId="16" r:id="rId7"/>
    <sheet name="Hoja4" sheetId="22" r:id="rId8"/>
    <sheet name="POBL" sheetId="15" r:id="rId9"/>
    <sheet name="POBLAC_AMBA" sheetId="9" r:id="rId10"/>
    <sheet name="UTI" sheetId="5" r:id="rId11"/>
    <sheet name="Hoja5" sheetId="24" r:id="rId12"/>
  </sheets>
  <externalReferences>
    <externalReference r:id="rId13"/>
  </externalReferences>
  <definedNames>
    <definedName name="_xlnm._FilterDatabase" localSheetId="0" hidden="1">argentina_gral!$A$1:$R$388</definedName>
    <definedName name="_xlnm._FilterDatabase" localSheetId="3" hidden="1">'argentina_gral (2)'!$A$1:$V$388</definedName>
    <definedName name="_xlnm._FilterDatabase" localSheetId="1" hidden="1">casos_provincias!$A$1:$H$9577</definedName>
    <definedName name="_xlnm._FilterDatabase" localSheetId="9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05" i="23" l="1"/>
  <c r="AD81" i="23"/>
  <c r="AD82" i="23"/>
  <c r="AD83" i="23"/>
  <c r="AD84" i="23"/>
  <c r="AD85" i="23"/>
  <c r="AD86" i="23"/>
  <c r="AD87" i="23"/>
  <c r="AD88" i="23"/>
  <c r="AD89" i="23"/>
  <c r="AD90" i="23"/>
  <c r="AD91" i="23"/>
  <c r="AD92" i="23"/>
  <c r="AD93" i="23"/>
  <c r="AD94" i="23"/>
  <c r="AD95" i="23"/>
  <c r="AD96" i="23"/>
  <c r="AD97" i="23"/>
  <c r="AD98" i="23"/>
  <c r="AD99" i="23"/>
  <c r="AD100" i="23"/>
  <c r="AD101" i="23"/>
  <c r="AD102" i="23"/>
  <c r="AD103" i="23"/>
  <c r="AD104" i="23"/>
  <c r="AD105" i="23"/>
  <c r="AD106" i="23"/>
  <c r="AD107" i="23"/>
  <c r="AD108" i="23"/>
  <c r="AD109" i="23"/>
  <c r="AD110" i="23"/>
  <c r="AD111" i="23"/>
  <c r="AD112" i="23"/>
  <c r="AD113" i="23"/>
  <c r="AD114" i="23"/>
  <c r="AD115" i="23"/>
  <c r="AD116" i="23"/>
  <c r="AD117" i="23"/>
  <c r="AD118" i="23"/>
  <c r="AD119" i="23"/>
  <c r="AD120" i="23"/>
  <c r="AD121" i="23"/>
  <c r="AD122" i="23"/>
  <c r="AD123" i="23"/>
  <c r="AD124" i="23"/>
  <c r="AD125" i="23"/>
  <c r="AD126" i="23"/>
  <c r="AD127" i="23"/>
  <c r="AD128" i="23"/>
  <c r="AD129" i="23"/>
  <c r="AD130" i="23"/>
  <c r="AD131" i="23"/>
  <c r="AD132" i="23"/>
  <c r="AD133" i="23"/>
  <c r="AD134" i="23"/>
  <c r="AD135" i="23"/>
  <c r="AD136" i="23"/>
  <c r="AD137" i="23"/>
  <c r="AD138" i="23"/>
  <c r="AD139" i="23"/>
  <c r="AD140" i="23"/>
  <c r="AD141" i="23"/>
  <c r="AD142" i="23"/>
  <c r="AD143" i="23"/>
  <c r="AD144" i="23"/>
  <c r="AD145" i="23"/>
  <c r="AD146" i="23"/>
  <c r="AD147" i="23"/>
  <c r="AD148" i="23"/>
  <c r="AD149" i="23"/>
  <c r="AD150" i="23"/>
  <c r="AD151" i="23"/>
  <c r="AD152" i="23"/>
  <c r="AD153" i="23"/>
  <c r="AD154" i="23"/>
  <c r="AD155" i="23"/>
  <c r="AD156" i="23"/>
  <c r="AD157" i="23"/>
  <c r="AD158" i="23"/>
  <c r="AD159" i="23"/>
  <c r="AD160" i="23"/>
  <c r="AD161" i="23"/>
  <c r="AD162" i="23"/>
  <c r="AD163" i="23"/>
  <c r="AD164" i="23"/>
  <c r="AD165" i="23"/>
  <c r="AD166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67" i="23"/>
  <c r="V68" i="23"/>
  <c r="V69" i="23"/>
  <c r="V70" i="23"/>
  <c r="V71" i="23"/>
  <c r="V72" i="23"/>
  <c r="V73" i="23"/>
  <c r="V74" i="23"/>
  <c r="V75" i="23"/>
  <c r="V76" i="23"/>
  <c r="V77" i="23"/>
  <c r="V78" i="23"/>
  <c r="V79" i="23"/>
  <c r="V80" i="23"/>
  <c r="V81" i="23"/>
  <c r="V82" i="23"/>
  <c r="V83" i="23"/>
  <c r="V84" i="23"/>
  <c r="V85" i="23"/>
  <c r="V86" i="23"/>
  <c r="V87" i="23"/>
  <c r="V88" i="23"/>
  <c r="V89" i="23"/>
  <c r="V90" i="23"/>
  <c r="V91" i="23"/>
  <c r="V92" i="23"/>
  <c r="V93" i="23"/>
  <c r="V94" i="23"/>
  <c r="V95" i="23"/>
  <c r="V96" i="23"/>
  <c r="V97" i="23"/>
  <c r="V98" i="23"/>
  <c r="V99" i="23"/>
  <c r="V100" i="23"/>
  <c r="V101" i="23"/>
  <c r="V102" i="23"/>
  <c r="V103" i="23"/>
  <c r="V104" i="23"/>
  <c r="V105" i="23"/>
  <c r="V106" i="23"/>
  <c r="V107" i="23"/>
  <c r="V108" i="23"/>
  <c r="V109" i="23"/>
  <c r="V110" i="23"/>
  <c r="V111" i="23"/>
  <c r="V112" i="23"/>
  <c r="Y112" i="23" s="1"/>
  <c r="V113" i="23"/>
  <c r="Y113" i="23" s="1"/>
  <c r="V114" i="23"/>
  <c r="V115" i="23"/>
  <c r="V116" i="23"/>
  <c r="V117" i="23"/>
  <c r="Y117" i="23" s="1"/>
  <c r="V118" i="23"/>
  <c r="V119" i="23"/>
  <c r="V120" i="23"/>
  <c r="Y120" i="23" s="1"/>
  <c r="V121" i="23"/>
  <c r="Y121" i="23" s="1"/>
  <c r="V122" i="23"/>
  <c r="V123" i="23"/>
  <c r="V124" i="23"/>
  <c r="Y124" i="23" s="1"/>
  <c r="V125" i="23"/>
  <c r="Y125" i="23" s="1"/>
  <c r="V126" i="23"/>
  <c r="V127" i="23"/>
  <c r="V128" i="23"/>
  <c r="V129" i="23"/>
  <c r="V130" i="23"/>
  <c r="V131" i="23"/>
  <c r="V132" i="23"/>
  <c r="V133" i="23"/>
  <c r="Y133" i="23" s="1"/>
  <c r="V134" i="23"/>
  <c r="V135" i="23"/>
  <c r="V136" i="23"/>
  <c r="V137" i="23"/>
  <c r="V138" i="23"/>
  <c r="V139" i="23"/>
  <c r="V140" i="23"/>
  <c r="V141" i="23"/>
  <c r="Y141" i="23" s="1"/>
  <c r="V142" i="23"/>
  <c r="V143" i="23"/>
  <c r="V144" i="23"/>
  <c r="Y144" i="23" s="1"/>
  <c r="V145" i="23"/>
  <c r="V146" i="23"/>
  <c r="V147" i="23"/>
  <c r="V148" i="23"/>
  <c r="V149" i="23"/>
  <c r="V150" i="23"/>
  <c r="V151" i="23"/>
  <c r="V152" i="23"/>
  <c r="V153" i="23"/>
  <c r="V154" i="23"/>
  <c r="V155" i="23"/>
  <c r="V156" i="23"/>
  <c r="V157" i="23"/>
  <c r="Y157" i="23" s="1"/>
  <c r="V158" i="23"/>
  <c r="V159" i="23"/>
  <c r="V160" i="23"/>
  <c r="AD167" i="23" s="1"/>
  <c r="V161" i="23"/>
  <c r="AD168" i="23" s="1"/>
  <c r="V162" i="23"/>
  <c r="V163" i="23"/>
  <c r="V164" i="23"/>
  <c r="AD171" i="23" s="1"/>
  <c r="V165" i="23"/>
  <c r="AD169" i="23"/>
  <c r="AD170" i="23"/>
  <c r="AD172" i="23"/>
  <c r="AD173" i="23"/>
  <c r="AD174" i="23"/>
  <c r="AD175" i="23"/>
  <c r="AD176" i="23"/>
  <c r="AD177" i="23"/>
  <c r="AD178" i="23"/>
  <c r="AD179" i="23"/>
  <c r="AD180" i="23"/>
  <c r="AD181" i="23"/>
  <c r="AD182" i="23"/>
  <c r="AD183" i="23"/>
  <c r="AD184" i="23"/>
  <c r="AD185" i="23"/>
  <c r="AD186" i="23"/>
  <c r="AD187" i="23"/>
  <c r="AD188" i="23"/>
  <c r="AD189" i="23"/>
  <c r="AD190" i="23"/>
  <c r="AD191" i="23"/>
  <c r="AD192" i="23"/>
  <c r="AD193" i="23"/>
  <c r="AD194" i="23"/>
  <c r="AD195" i="23"/>
  <c r="AD196" i="23"/>
  <c r="AD197" i="23"/>
  <c r="AD198" i="23"/>
  <c r="AD199" i="23"/>
  <c r="AD200" i="23"/>
  <c r="AD201" i="23"/>
  <c r="AD202" i="23"/>
  <c r="AD203" i="23"/>
  <c r="AD204" i="23"/>
  <c r="AD205" i="23"/>
  <c r="AD206" i="23"/>
  <c r="AD207" i="23"/>
  <c r="AD208" i="23"/>
  <c r="AD209" i="23"/>
  <c r="AD210" i="23"/>
  <c r="AD211" i="23"/>
  <c r="AD212" i="23"/>
  <c r="AD213" i="23"/>
  <c r="AD214" i="23"/>
  <c r="AD215" i="23"/>
  <c r="AD216" i="23"/>
  <c r="AD217" i="23"/>
  <c r="AD218" i="23"/>
  <c r="AD219" i="23"/>
  <c r="AD220" i="23"/>
  <c r="AD221" i="23"/>
  <c r="AD222" i="23"/>
  <c r="AD223" i="23"/>
  <c r="AD224" i="23"/>
  <c r="AD225" i="23"/>
  <c r="AD226" i="23"/>
  <c r="AD227" i="23"/>
  <c r="AD228" i="23"/>
  <c r="AD229" i="23"/>
  <c r="AD230" i="23"/>
  <c r="AD231" i="23"/>
  <c r="AD232" i="23"/>
  <c r="AD233" i="23"/>
  <c r="AD234" i="23"/>
  <c r="AD235" i="23"/>
  <c r="AD236" i="23"/>
  <c r="AD237" i="23"/>
  <c r="AD238" i="23"/>
  <c r="AD239" i="23"/>
  <c r="AD240" i="23"/>
  <c r="AD241" i="23"/>
  <c r="AD242" i="23"/>
  <c r="AD243" i="23"/>
  <c r="AD244" i="23"/>
  <c r="AD245" i="23"/>
  <c r="AD246" i="23"/>
  <c r="AD247" i="23"/>
  <c r="AD248" i="23"/>
  <c r="AD249" i="23"/>
  <c r="AD250" i="23"/>
  <c r="AD251" i="23"/>
  <c r="AD252" i="23"/>
  <c r="AD253" i="23"/>
  <c r="AD254" i="23"/>
  <c r="AD255" i="23"/>
  <c r="AD256" i="23"/>
  <c r="AD257" i="23"/>
  <c r="AD258" i="23"/>
  <c r="AD259" i="23"/>
  <c r="AD260" i="23"/>
  <c r="AD261" i="23"/>
  <c r="AD262" i="23"/>
  <c r="AD263" i="23"/>
  <c r="AD264" i="23"/>
  <c r="AD265" i="23"/>
  <c r="AD266" i="23"/>
  <c r="AD267" i="23"/>
  <c r="AD268" i="23"/>
  <c r="AD269" i="23"/>
  <c r="AD270" i="23"/>
  <c r="AD271" i="23"/>
  <c r="AD272" i="23"/>
  <c r="AD273" i="23"/>
  <c r="AD274" i="23"/>
  <c r="AD275" i="23"/>
  <c r="AD276" i="23"/>
  <c r="AD277" i="23"/>
  <c r="AD278" i="23"/>
  <c r="AD279" i="23"/>
  <c r="AD280" i="23"/>
  <c r="AD281" i="23"/>
  <c r="AD282" i="23"/>
  <c r="AD283" i="23"/>
  <c r="AD284" i="23"/>
  <c r="AD285" i="23"/>
  <c r="AD286" i="23"/>
  <c r="AD287" i="23"/>
  <c r="AD288" i="23"/>
  <c r="AD289" i="23"/>
  <c r="AD290" i="23"/>
  <c r="AD291" i="23"/>
  <c r="AD292" i="23"/>
  <c r="AD293" i="23"/>
  <c r="AD294" i="23"/>
  <c r="AD295" i="23"/>
  <c r="AD296" i="23"/>
  <c r="AD297" i="23"/>
  <c r="AD298" i="23"/>
  <c r="AD299" i="23"/>
  <c r="AD300" i="23"/>
  <c r="AD301" i="23"/>
  <c r="AD302" i="23"/>
  <c r="AD303" i="23"/>
  <c r="AD304" i="23"/>
  <c r="AD305" i="23"/>
  <c r="AD306" i="23"/>
  <c r="AD307" i="23"/>
  <c r="AD308" i="23"/>
  <c r="AD309" i="23"/>
  <c r="AD310" i="23"/>
  <c r="AD311" i="23"/>
  <c r="AD312" i="23"/>
  <c r="AD313" i="23"/>
  <c r="AD314" i="23"/>
  <c r="AD315" i="23"/>
  <c r="AD316" i="23"/>
  <c r="AD317" i="23"/>
  <c r="AD318" i="23"/>
  <c r="AD319" i="23"/>
  <c r="AD320" i="23"/>
  <c r="AD321" i="23"/>
  <c r="AD322" i="23"/>
  <c r="AD323" i="23"/>
  <c r="AD324" i="23"/>
  <c r="AD325" i="23"/>
  <c r="AD326" i="23"/>
  <c r="AD327" i="23"/>
  <c r="AD328" i="23"/>
  <c r="AD329" i="23"/>
  <c r="AD330" i="23"/>
  <c r="AD331" i="23"/>
  <c r="AD332" i="23"/>
  <c r="AD333" i="23"/>
  <c r="AD334" i="23"/>
  <c r="AD335" i="23"/>
  <c r="AD336" i="23"/>
  <c r="AD337" i="23"/>
  <c r="AD338" i="23"/>
  <c r="AD339" i="23"/>
  <c r="AD340" i="23"/>
  <c r="AD341" i="23"/>
  <c r="AD342" i="23"/>
  <c r="AD343" i="23"/>
  <c r="AD344" i="23"/>
  <c r="AD345" i="23"/>
  <c r="AD346" i="23"/>
  <c r="AD347" i="23"/>
  <c r="AD348" i="23"/>
  <c r="AD349" i="23"/>
  <c r="AD350" i="23"/>
  <c r="AD351" i="23"/>
  <c r="AD352" i="23"/>
  <c r="AD353" i="23"/>
  <c r="AD354" i="23"/>
  <c r="AD355" i="23"/>
  <c r="AD356" i="23"/>
  <c r="AD357" i="23"/>
  <c r="AD358" i="23"/>
  <c r="AD359" i="23"/>
  <c r="AD360" i="23"/>
  <c r="AD361" i="23"/>
  <c r="AD362" i="23"/>
  <c r="AD363" i="23"/>
  <c r="AD364" i="23"/>
  <c r="AD365" i="23"/>
  <c r="AD366" i="23"/>
  <c r="AD367" i="23"/>
  <c r="AD368" i="23"/>
  <c r="AD369" i="23"/>
  <c r="AD370" i="23"/>
  <c r="AD371" i="23"/>
  <c r="AD372" i="23"/>
  <c r="AD373" i="23"/>
  <c r="AD374" i="23"/>
  <c r="AD375" i="23"/>
  <c r="AD376" i="23"/>
  <c r="AD377" i="23"/>
  <c r="AD378" i="23"/>
  <c r="AD379" i="23"/>
  <c r="AD380" i="23"/>
  <c r="AD381" i="23"/>
  <c r="AD382" i="23"/>
  <c r="AD383" i="23"/>
  <c r="AD384" i="23"/>
  <c r="AD385" i="23"/>
  <c r="AD386" i="23"/>
  <c r="AD387" i="23"/>
  <c r="AD388" i="23"/>
  <c r="AD389" i="23"/>
  <c r="AD390" i="23"/>
  <c r="AD391" i="23"/>
  <c r="AD392" i="23"/>
  <c r="AD393" i="23"/>
  <c r="AD394" i="23"/>
  <c r="AD395" i="23"/>
  <c r="AD396" i="23"/>
  <c r="AD397" i="23"/>
  <c r="AD398" i="23"/>
  <c r="AD399" i="23"/>
  <c r="AD400" i="23"/>
  <c r="AD401" i="23"/>
  <c r="AD402" i="23"/>
  <c r="AD403" i="23"/>
  <c r="AD404" i="23"/>
  <c r="AD405" i="23"/>
  <c r="K405" i="23"/>
  <c r="H404" i="23"/>
  <c r="H405" i="23"/>
  <c r="AB405" i="23"/>
  <c r="AA405" i="23"/>
  <c r="Z405" i="23"/>
  <c r="W405" i="23"/>
  <c r="M405" i="23"/>
  <c r="F405" i="23"/>
  <c r="C405" i="23"/>
  <c r="AC404" i="23"/>
  <c r="AB404" i="23"/>
  <c r="W404" i="23"/>
  <c r="M404" i="23"/>
  <c r="K404" i="23"/>
  <c r="F404" i="23"/>
  <c r="C404" i="23"/>
  <c r="AB403" i="23"/>
  <c r="AA403" i="23"/>
  <c r="W403" i="23"/>
  <c r="M403" i="23"/>
  <c r="K403" i="23"/>
  <c r="H403" i="23"/>
  <c r="F403" i="23"/>
  <c r="AC403" i="23" s="1"/>
  <c r="C403" i="23"/>
  <c r="Z403" i="23" s="1"/>
  <c r="AB402" i="23"/>
  <c r="W402" i="23"/>
  <c r="M402" i="23"/>
  <c r="K402" i="23"/>
  <c r="H402" i="23"/>
  <c r="F402" i="23"/>
  <c r="C402" i="23"/>
  <c r="AB401" i="23"/>
  <c r="W401" i="23"/>
  <c r="S401" i="23"/>
  <c r="M401" i="23"/>
  <c r="K401" i="23"/>
  <c r="H401" i="23"/>
  <c r="S402" i="23" s="1"/>
  <c r="F401" i="23"/>
  <c r="C401" i="23"/>
  <c r="AB400" i="23"/>
  <c r="W400" i="23"/>
  <c r="M400" i="23"/>
  <c r="K400" i="23"/>
  <c r="H400" i="23"/>
  <c r="F400" i="23"/>
  <c r="AC400" i="23" s="1"/>
  <c r="C400" i="23"/>
  <c r="AB399" i="23"/>
  <c r="W399" i="23"/>
  <c r="M399" i="23"/>
  <c r="AA399" i="23" s="1"/>
  <c r="K399" i="23"/>
  <c r="H399" i="23"/>
  <c r="F399" i="23"/>
  <c r="AC399" i="23" s="1"/>
  <c r="C399" i="23"/>
  <c r="AB398" i="23"/>
  <c r="W398" i="23"/>
  <c r="M398" i="23"/>
  <c r="AA398" i="23" s="1"/>
  <c r="K398" i="23"/>
  <c r="H398" i="23"/>
  <c r="F398" i="23"/>
  <c r="C398" i="23"/>
  <c r="AB397" i="23"/>
  <c r="W397" i="23"/>
  <c r="M397" i="23"/>
  <c r="AA397" i="23" s="1"/>
  <c r="K397" i="23"/>
  <c r="H397" i="23"/>
  <c r="F397" i="23"/>
  <c r="C397" i="23"/>
  <c r="Z397" i="23" s="1"/>
  <c r="AB396" i="23"/>
  <c r="W396" i="23"/>
  <c r="M396" i="23"/>
  <c r="AA396" i="23" s="1"/>
  <c r="K396" i="23"/>
  <c r="H396" i="23"/>
  <c r="F396" i="23"/>
  <c r="C396" i="23"/>
  <c r="Z396" i="23" s="1"/>
  <c r="AB395" i="23"/>
  <c r="W395" i="23"/>
  <c r="M395" i="23"/>
  <c r="AA395" i="23" s="1"/>
  <c r="K395" i="23"/>
  <c r="H395" i="23"/>
  <c r="F395" i="23"/>
  <c r="AC395" i="23" s="1"/>
  <c r="C395" i="23"/>
  <c r="Z395" i="23" s="1"/>
  <c r="AB394" i="23"/>
  <c r="W394" i="23"/>
  <c r="Q394" i="23"/>
  <c r="M394" i="23"/>
  <c r="AA394" i="23" s="1"/>
  <c r="K394" i="23"/>
  <c r="H394" i="23"/>
  <c r="F394" i="23"/>
  <c r="AC394" i="23" s="1"/>
  <c r="C394" i="23"/>
  <c r="AC393" i="23"/>
  <c r="AB393" i="23"/>
  <c r="W393" i="23"/>
  <c r="Q393" i="23"/>
  <c r="N393" i="23"/>
  <c r="N394" i="23" s="1"/>
  <c r="N395" i="23" s="1"/>
  <c r="N396" i="23" s="1"/>
  <c r="N397" i="23" s="1"/>
  <c r="N398" i="23" s="1"/>
  <c r="M393" i="23"/>
  <c r="K393" i="23"/>
  <c r="H393" i="23"/>
  <c r="F393" i="23"/>
  <c r="C393" i="23"/>
  <c r="AB392" i="23"/>
  <c r="W392" i="23"/>
  <c r="Q392" i="23"/>
  <c r="M392" i="23"/>
  <c r="K392" i="23"/>
  <c r="H392" i="23"/>
  <c r="F392" i="23"/>
  <c r="C392" i="23"/>
  <c r="AA392" i="23" s="1"/>
  <c r="AB391" i="23"/>
  <c r="Z391" i="23"/>
  <c r="W391" i="23"/>
  <c r="Q391" i="23"/>
  <c r="M391" i="23"/>
  <c r="AA391" i="23" s="1"/>
  <c r="K391" i="23"/>
  <c r="H391" i="23"/>
  <c r="F391" i="23"/>
  <c r="AC391" i="23" s="1"/>
  <c r="C391" i="23"/>
  <c r="AB390" i="23"/>
  <c r="W390" i="23"/>
  <c r="Q390" i="23"/>
  <c r="N390" i="23"/>
  <c r="N391" i="23" s="1"/>
  <c r="N392" i="23" s="1"/>
  <c r="M390" i="23"/>
  <c r="AA390" i="23" s="1"/>
  <c r="K390" i="23"/>
  <c r="H390" i="23"/>
  <c r="F390" i="23"/>
  <c r="AC390" i="23" s="1"/>
  <c r="C390" i="23"/>
  <c r="AB389" i="23"/>
  <c r="W389" i="23"/>
  <c r="Q389" i="23"/>
  <c r="M389" i="23"/>
  <c r="K389" i="23"/>
  <c r="H389" i="23"/>
  <c r="F389" i="23"/>
  <c r="AC389" i="23" s="1"/>
  <c r="C389" i="23"/>
  <c r="AC388" i="23"/>
  <c r="AB388" i="23"/>
  <c r="W388" i="23"/>
  <c r="Q388" i="23"/>
  <c r="N388" i="23"/>
  <c r="N387" i="23" s="1"/>
  <c r="N386" i="23" s="1"/>
  <c r="N385" i="23" s="1"/>
  <c r="N384" i="23" s="1"/>
  <c r="N383" i="23" s="1"/>
  <c r="N382" i="23" s="1"/>
  <c r="N381" i="23" s="1"/>
  <c r="N380" i="23" s="1"/>
  <c r="N379" i="23" s="1"/>
  <c r="N378" i="23" s="1"/>
  <c r="N377" i="23" s="1"/>
  <c r="N376" i="23" s="1"/>
  <c r="N375" i="23" s="1"/>
  <c r="M388" i="23"/>
  <c r="K388" i="23"/>
  <c r="H388" i="23"/>
  <c r="F388" i="23"/>
  <c r="C388" i="23"/>
  <c r="AC387" i="23"/>
  <c r="AB387" i="23"/>
  <c r="W387" i="23"/>
  <c r="Q387" i="23"/>
  <c r="M387" i="23"/>
  <c r="K387" i="23"/>
  <c r="H387" i="23"/>
  <c r="F387" i="23"/>
  <c r="C387" i="23"/>
  <c r="AA387" i="23" s="1"/>
  <c r="AB386" i="23"/>
  <c r="Z386" i="23"/>
  <c r="W386" i="23"/>
  <c r="Q386" i="23"/>
  <c r="M386" i="23"/>
  <c r="AA386" i="23" s="1"/>
  <c r="K386" i="23"/>
  <c r="H386" i="23"/>
  <c r="F386" i="23"/>
  <c r="AC386" i="23" s="1"/>
  <c r="C386" i="23"/>
  <c r="AB385" i="23"/>
  <c r="W385" i="23"/>
  <c r="Q385" i="23"/>
  <c r="M385" i="23"/>
  <c r="AA385" i="23" s="1"/>
  <c r="K385" i="23"/>
  <c r="H385" i="23"/>
  <c r="F385" i="23"/>
  <c r="AC385" i="23" s="1"/>
  <c r="C385" i="23"/>
  <c r="AB384" i="23"/>
  <c r="W384" i="23"/>
  <c r="Q384" i="23"/>
  <c r="M384" i="23"/>
  <c r="K384" i="23"/>
  <c r="H384" i="23"/>
  <c r="F384" i="23"/>
  <c r="C384" i="23"/>
  <c r="AB383" i="23"/>
  <c r="W383" i="23"/>
  <c r="Q383" i="23"/>
  <c r="M383" i="23"/>
  <c r="K383" i="23"/>
  <c r="H383" i="23"/>
  <c r="F383" i="23"/>
  <c r="C383" i="23"/>
  <c r="AB382" i="23"/>
  <c r="W382" i="23"/>
  <c r="Q382" i="23"/>
  <c r="M382" i="23"/>
  <c r="K382" i="23"/>
  <c r="H382" i="23"/>
  <c r="F382" i="23"/>
  <c r="C382" i="23"/>
  <c r="AB381" i="23"/>
  <c r="AA381" i="23"/>
  <c r="Z381" i="23"/>
  <c r="W381" i="23"/>
  <c r="Q381" i="23"/>
  <c r="M381" i="23"/>
  <c r="K381" i="23"/>
  <c r="H381" i="23"/>
  <c r="F381" i="23"/>
  <c r="C381" i="23"/>
  <c r="AC380" i="23"/>
  <c r="AB380" i="23"/>
  <c r="W380" i="23"/>
  <c r="Q380" i="23"/>
  <c r="M380" i="23"/>
  <c r="AA380" i="23" s="1"/>
  <c r="K380" i="23"/>
  <c r="H380" i="23"/>
  <c r="F380" i="23"/>
  <c r="C380" i="23"/>
  <c r="Z380" i="23" s="1"/>
  <c r="AB379" i="23"/>
  <c r="Z379" i="23"/>
  <c r="W379" i="23"/>
  <c r="Q379" i="23"/>
  <c r="M379" i="23"/>
  <c r="K379" i="23"/>
  <c r="H379" i="23"/>
  <c r="F379" i="23"/>
  <c r="C379" i="23"/>
  <c r="AA379" i="23" s="1"/>
  <c r="AC378" i="23"/>
  <c r="AB378" i="23"/>
  <c r="AA378" i="23"/>
  <c r="Z378" i="23"/>
  <c r="W378" i="23"/>
  <c r="Q378" i="23"/>
  <c r="M378" i="23"/>
  <c r="K378" i="23"/>
  <c r="H378" i="23"/>
  <c r="F378" i="23"/>
  <c r="C378" i="23"/>
  <c r="AC392" i="23" s="1"/>
  <c r="AB377" i="23"/>
  <c r="Z377" i="23"/>
  <c r="W377" i="23"/>
  <c r="Q377" i="23"/>
  <c r="M377" i="23"/>
  <c r="AA377" i="23" s="1"/>
  <c r="K377" i="23"/>
  <c r="H377" i="23"/>
  <c r="F377" i="23"/>
  <c r="C377" i="23"/>
  <c r="AB376" i="23"/>
  <c r="AA376" i="23"/>
  <c r="W376" i="23"/>
  <c r="Q376" i="23"/>
  <c r="M376" i="23"/>
  <c r="K376" i="23"/>
  <c r="H376" i="23"/>
  <c r="F376" i="23"/>
  <c r="C376" i="23"/>
  <c r="AB375" i="23"/>
  <c r="Z375" i="23"/>
  <c r="W375" i="23"/>
  <c r="Q375" i="23"/>
  <c r="M375" i="23"/>
  <c r="AA375" i="23" s="1"/>
  <c r="K375" i="23"/>
  <c r="H375" i="23"/>
  <c r="F375" i="23"/>
  <c r="C375" i="23"/>
  <c r="AB374" i="23"/>
  <c r="AA374" i="23"/>
  <c r="W374" i="23"/>
  <c r="Q374" i="23"/>
  <c r="N374" i="23"/>
  <c r="N373" i="23" s="1"/>
  <c r="N372" i="23" s="1"/>
  <c r="N371" i="23" s="1"/>
  <c r="N370" i="23" s="1"/>
  <c r="N369" i="23" s="1"/>
  <c r="N368" i="23" s="1"/>
  <c r="N367" i="23" s="1"/>
  <c r="N366" i="23" s="1"/>
  <c r="N365" i="23" s="1"/>
  <c r="N364" i="23" s="1"/>
  <c r="N363" i="23" s="1"/>
  <c r="N362" i="23" s="1"/>
  <c r="N361" i="23" s="1"/>
  <c r="N360" i="23" s="1"/>
  <c r="N359" i="23" s="1"/>
  <c r="N358" i="23" s="1"/>
  <c r="N357" i="23" s="1"/>
  <c r="N356" i="23" s="1"/>
  <c r="N355" i="23" s="1"/>
  <c r="N354" i="23" s="1"/>
  <c r="N353" i="23" s="1"/>
  <c r="N352" i="23" s="1"/>
  <c r="N351" i="23" s="1"/>
  <c r="N350" i="23" s="1"/>
  <c r="N349" i="23" s="1"/>
  <c r="N348" i="23" s="1"/>
  <c r="N347" i="23" s="1"/>
  <c r="N346" i="23" s="1"/>
  <c r="N345" i="23" s="1"/>
  <c r="N344" i="23" s="1"/>
  <c r="N343" i="23" s="1"/>
  <c r="N342" i="23" s="1"/>
  <c r="N341" i="23" s="1"/>
  <c r="N340" i="23" s="1"/>
  <c r="N339" i="23" s="1"/>
  <c r="N338" i="23" s="1"/>
  <c r="N337" i="23" s="1"/>
  <c r="N336" i="23" s="1"/>
  <c r="N335" i="23" s="1"/>
  <c r="N334" i="23" s="1"/>
  <c r="N333" i="23" s="1"/>
  <c r="N332" i="23" s="1"/>
  <c r="N331" i="23" s="1"/>
  <c r="N330" i="23" s="1"/>
  <c r="N329" i="23" s="1"/>
  <c r="N328" i="23" s="1"/>
  <c r="N327" i="23" s="1"/>
  <c r="N326" i="23" s="1"/>
  <c r="N325" i="23" s="1"/>
  <c r="N324" i="23" s="1"/>
  <c r="N323" i="23" s="1"/>
  <c r="N322" i="23" s="1"/>
  <c r="N321" i="23" s="1"/>
  <c r="N320" i="23" s="1"/>
  <c r="N319" i="23" s="1"/>
  <c r="N318" i="23" s="1"/>
  <c r="N317" i="23" s="1"/>
  <c r="N316" i="23" s="1"/>
  <c r="N315" i="23" s="1"/>
  <c r="N314" i="23" s="1"/>
  <c r="N313" i="23" s="1"/>
  <c r="N312" i="23" s="1"/>
  <c r="N311" i="23" s="1"/>
  <c r="N310" i="23" s="1"/>
  <c r="N309" i="23" s="1"/>
  <c r="N308" i="23" s="1"/>
  <c r="N307" i="23" s="1"/>
  <c r="N306" i="23" s="1"/>
  <c r="N305" i="23" s="1"/>
  <c r="N304" i="23" s="1"/>
  <c r="N303" i="23" s="1"/>
  <c r="N302" i="23" s="1"/>
  <c r="N301" i="23" s="1"/>
  <c r="N300" i="23" s="1"/>
  <c r="N299" i="23" s="1"/>
  <c r="N298" i="23" s="1"/>
  <c r="N297" i="23" s="1"/>
  <c r="N296" i="23" s="1"/>
  <c r="N295" i="23" s="1"/>
  <c r="N294" i="23" s="1"/>
  <c r="N293" i="23" s="1"/>
  <c r="N292" i="23" s="1"/>
  <c r="N291" i="23" s="1"/>
  <c r="N290" i="23" s="1"/>
  <c r="N289" i="23" s="1"/>
  <c r="N288" i="23" s="1"/>
  <c r="N287" i="23" s="1"/>
  <c r="N286" i="23" s="1"/>
  <c r="N285" i="23" s="1"/>
  <c r="N284" i="23" s="1"/>
  <c r="N283" i="23" s="1"/>
  <c r="N282" i="23" s="1"/>
  <c r="N281" i="23" s="1"/>
  <c r="N280" i="23" s="1"/>
  <c r="N279" i="23" s="1"/>
  <c r="N278" i="23" s="1"/>
  <c r="N277" i="23" s="1"/>
  <c r="N276" i="23" s="1"/>
  <c r="N275" i="23" s="1"/>
  <c r="N274" i="23" s="1"/>
  <c r="N273" i="23" s="1"/>
  <c r="N272" i="23" s="1"/>
  <c r="N271" i="23" s="1"/>
  <c r="N270" i="23" s="1"/>
  <c r="N269" i="23" s="1"/>
  <c r="N268" i="23" s="1"/>
  <c r="N267" i="23" s="1"/>
  <c r="N266" i="23" s="1"/>
  <c r="N265" i="23" s="1"/>
  <c r="N264" i="23" s="1"/>
  <c r="N263" i="23" s="1"/>
  <c r="N262" i="23" s="1"/>
  <c r="N261" i="23" s="1"/>
  <c r="N260" i="23" s="1"/>
  <c r="N259" i="23" s="1"/>
  <c r="N258" i="23" s="1"/>
  <c r="N257" i="23" s="1"/>
  <c r="N256" i="23" s="1"/>
  <c r="N255" i="23" s="1"/>
  <c r="N254" i="23" s="1"/>
  <c r="N253" i="23" s="1"/>
  <c r="N252" i="23" s="1"/>
  <c r="N251" i="23" s="1"/>
  <c r="N250" i="23" s="1"/>
  <c r="N249" i="23" s="1"/>
  <c r="N248" i="23" s="1"/>
  <c r="N247" i="23" s="1"/>
  <c r="N246" i="23" s="1"/>
  <c r="N245" i="23" s="1"/>
  <c r="N244" i="23" s="1"/>
  <c r="N243" i="23" s="1"/>
  <c r="N242" i="23" s="1"/>
  <c r="N241" i="23" s="1"/>
  <c r="N240" i="23" s="1"/>
  <c r="M374" i="23"/>
  <c r="K374" i="23"/>
  <c r="H374" i="23"/>
  <c r="F374" i="23"/>
  <c r="C374" i="23"/>
  <c r="AB373" i="23"/>
  <c r="W373" i="23"/>
  <c r="Q373" i="23"/>
  <c r="M373" i="23"/>
  <c r="AA373" i="23" s="1"/>
  <c r="K373" i="23"/>
  <c r="H373" i="23"/>
  <c r="F373" i="23"/>
  <c r="C373" i="23"/>
  <c r="AB372" i="23"/>
  <c r="AA372" i="23"/>
  <c r="W372" i="23"/>
  <c r="Q372" i="23"/>
  <c r="M372" i="23"/>
  <c r="K372" i="23"/>
  <c r="H372" i="23"/>
  <c r="F372" i="23"/>
  <c r="C372" i="23"/>
  <c r="AB371" i="23"/>
  <c r="Z371" i="23"/>
  <c r="W371" i="23"/>
  <c r="Q371" i="23"/>
  <c r="M371" i="23"/>
  <c r="AA371" i="23" s="1"/>
  <c r="K371" i="23"/>
  <c r="H371" i="23"/>
  <c r="F371" i="23"/>
  <c r="C371" i="23"/>
  <c r="AB370" i="23"/>
  <c r="W370" i="23"/>
  <c r="M370" i="23"/>
  <c r="K370" i="23"/>
  <c r="H370" i="23"/>
  <c r="F370" i="23"/>
  <c r="C370" i="23"/>
  <c r="AB369" i="23"/>
  <c r="W369" i="23"/>
  <c r="Q369" i="23"/>
  <c r="M369" i="23"/>
  <c r="K369" i="23"/>
  <c r="H369" i="23"/>
  <c r="F369" i="23"/>
  <c r="C369" i="23"/>
  <c r="AB368" i="23"/>
  <c r="W368" i="23"/>
  <c r="Q368" i="23"/>
  <c r="M368" i="23"/>
  <c r="K368" i="23"/>
  <c r="H368" i="23"/>
  <c r="F368" i="23"/>
  <c r="C368" i="23"/>
  <c r="AB367" i="23"/>
  <c r="W367" i="23"/>
  <c r="Q367" i="23"/>
  <c r="M367" i="23"/>
  <c r="K367" i="23"/>
  <c r="H367" i="23"/>
  <c r="F367" i="23"/>
  <c r="C367" i="23"/>
  <c r="AB366" i="23"/>
  <c r="W366" i="23"/>
  <c r="Q366" i="23"/>
  <c r="M366" i="23"/>
  <c r="K366" i="23"/>
  <c r="H366" i="23"/>
  <c r="F366" i="23"/>
  <c r="C366" i="23"/>
  <c r="AB365" i="23"/>
  <c r="W365" i="23"/>
  <c r="Q365" i="23"/>
  <c r="M365" i="23"/>
  <c r="K365" i="23"/>
  <c r="H365" i="23"/>
  <c r="F365" i="23"/>
  <c r="C365" i="23"/>
  <c r="AB364" i="23"/>
  <c r="W364" i="23"/>
  <c r="Q364" i="23"/>
  <c r="M364" i="23"/>
  <c r="K364" i="23"/>
  <c r="H364" i="23"/>
  <c r="F364" i="23"/>
  <c r="C364" i="23"/>
  <c r="AB363" i="23"/>
  <c r="W363" i="23"/>
  <c r="Q363" i="23"/>
  <c r="M363" i="23"/>
  <c r="K363" i="23"/>
  <c r="H363" i="23"/>
  <c r="F363" i="23"/>
  <c r="C363" i="23"/>
  <c r="AB362" i="23"/>
  <c r="W362" i="23"/>
  <c r="Q362" i="23"/>
  <c r="M362" i="23"/>
  <c r="K362" i="23"/>
  <c r="H362" i="23"/>
  <c r="F362" i="23"/>
  <c r="C362" i="23"/>
  <c r="AB361" i="23"/>
  <c r="W361" i="23"/>
  <c r="Q361" i="23"/>
  <c r="M361" i="23"/>
  <c r="AA361" i="23" s="1"/>
  <c r="K361" i="23"/>
  <c r="H361" i="23"/>
  <c r="F361" i="23"/>
  <c r="C361" i="23"/>
  <c r="AB360" i="23"/>
  <c r="W360" i="23"/>
  <c r="Q360" i="23"/>
  <c r="M360" i="23"/>
  <c r="K360" i="23"/>
  <c r="H360" i="23"/>
  <c r="F360" i="23"/>
  <c r="C360" i="23"/>
  <c r="AB359" i="23"/>
  <c r="W359" i="23"/>
  <c r="Q359" i="23"/>
  <c r="M359" i="23"/>
  <c r="AA359" i="23" s="1"/>
  <c r="K359" i="23"/>
  <c r="H359" i="23"/>
  <c r="F359" i="23"/>
  <c r="C359" i="23"/>
  <c r="AB358" i="23"/>
  <c r="W358" i="23"/>
  <c r="Q358" i="23"/>
  <c r="M358" i="23"/>
  <c r="K358" i="23"/>
  <c r="H358" i="23"/>
  <c r="F358" i="23"/>
  <c r="C358" i="23"/>
  <c r="AB357" i="23"/>
  <c r="Z357" i="23"/>
  <c r="W357" i="23"/>
  <c r="Q357" i="23"/>
  <c r="M357" i="23"/>
  <c r="AA357" i="23" s="1"/>
  <c r="K357" i="23"/>
  <c r="H357" i="23"/>
  <c r="F357" i="23"/>
  <c r="C357" i="23"/>
  <c r="AB356" i="23"/>
  <c r="Z356" i="23"/>
  <c r="W356" i="23"/>
  <c r="Q356" i="23"/>
  <c r="M356" i="23"/>
  <c r="AA356" i="23" s="1"/>
  <c r="K356" i="23"/>
  <c r="H356" i="23"/>
  <c r="F356" i="23"/>
  <c r="C356" i="23"/>
  <c r="AB355" i="23"/>
  <c r="W355" i="23"/>
  <c r="Q355" i="23"/>
  <c r="M355" i="23"/>
  <c r="AA355" i="23" s="1"/>
  <c r="K355" i="23"/>
  <c r="H355" i="23"/>
  <c r="F355" i="23"/>
  <c r="C355" i="23"/>
  <c r="AB354" i="23"/>
  <c r="W354" i="23"/>
  <c r="Q354" i="23"/>
  <c r="M354" i="23"/>
  <c r="AA354" i="23" s="1"/>
  <c r="K354" i="23"/>
  <c r="H354" i="23"/>
  <c r="F354" i="23"/>
  <c r="C354" i="23"/>
  <c r="AB353" i="23"/>
  <c r="W353" i="23"/>
  <c r="Q353" i="23"/>
  <c r="M353" i="23"/>
  <c r="AA353" i="23" s="1"/>
  <c r="K353" i="23"/>
  <c r="H353" i="23"/>
  <c r="F353" i="23"/>
  <c r="C353" i="23"/>
  <c r="AB352" i="23"/>
  <c r="W352" i="23"/>
  <c r="Q352" i="23"/>
  <c r="M352" i="23"/>
  <c r="AA352" i="23" s="1"/>
  <c r="K352" i="23"/>
  <c r="H352" i="23"/>
  <c r="F352" i="23"/>
  <c r="C352" i="23"/>
  <c r="AB351" i="23"/>
  <c r="W351" i="23"/>
  <c r="Q351" i="23"/>
  <c r="M351" i="23"/>
  <c r="AA351" i="23" s="1"/>
  <c r="K351" i="23"/>
  <c r="H351" i="23"/>
  <c r="F351" i="23"/>
  <c r="C351" i="23"/>
  <c r="AB350" i="23"/>
  <c r="W350" i="23"/>
  <c r="Q350" i="23"/>
  <c r="M350" i="23"/>
  <c r="AA350" i="23" s="1"/>
  <c r="K350" i="23"/>
  <c r="H350" i="23"/>
  <c r="F350" i="23"/>
  <c r="C350" i="23"/>
  <c r="AB349" i="23"/>
  <c r="W349" i="23"/>
  <c r="M349" i="23"/>
  <c r="K349" i="23"/>
  <c r="H349" i="23"/>
  <c r="F349" i="23"/>
  <c r="C349" i="23"/>
  <c r="AA349" i="23" s="1"/>
  <c r="AB348" i="23"/>
  <c r="W348" i="23"/>
  <c r="Q348" i="23"/>
  <c r="M348" i="23"/>
  <c r="K348" i="23"/>
  <c r="H348" i="23"/>
  <c r="F348" i="23"/>
  <c r="C348" i="23"/>
  <c r="AB347" i="23"/>
  <c r="W347" i="23"/>
  <c r="Q347" i="23"/>
  <c r="M347" i="23"/>
  <c r="K347" i="23"/>
  <c r="H347" i="23"/>
  <c r="F347" i="23"/>
  <c r="C347" i="23"/>
  <c r="AB346" i="23"/>
  <c r="W346" i="23"/>
  <c r="Q346" i="23"/>
  <c r="M346" i="23"/>
  <c r="K346" i="23"/>
  <c r="H346" i="23"/>
  <c r="F346" i="23"/>
  <c r="C346" i="23"/>
  <c r="AB345" i="23"/>
  <c r="W345" i="23"/>
  <c r="Q345" i="23"/>
  <c r="M345" i="23"/>
  <c r="K345" i="23"/>
  <c r="H345" i="23"/>
  <c r="F345" i="23"/>
  <c r="C345" i="23"/>
  <c r="AB344" i="23"/>
  <c r="W344" i="23"/>
  <c r="Q344" i="23"/>
  <c r="M344" i="23"/>
  <c r="K344" i="23"/>
  <c r="H344" i="23"/>
  <c r="F344" i="23"/>
  <c r="C344" i="23"/>
  <c r="AB343" i="23"/>
  <c r="W343" i="23"/>
  <c r="Q343" i="23"/>
  <c r="M343" i="23"/>
  <c r="K343" i="23"/>
  <c r="H343" i="23"/>
  <c r="F343" i="23"/>
  <c r="C343" i="23"/>
  <c r="AB342" i="23"/>
  <c r="W342" i="23"/>
  <c r="Q342" i="23"/>
  <c r="M342" i="23"/>
  <c r="K342" i="23"/>
  <c r="H342" i="23"/>
  <c r="F342" i="23"/>
  <c r="C342" i="23"/>
  <c r="AB341" i="23"/>
  <c r="W341" i="23"/>
  <c r="Q341" i="23"/>
  <c r="M341" i="23"/>
  <c r="K341" i="23"/>
  <c r="H341" i="23"/>
  <c r="F341" i="23"/>
  <c r="C341" i="23"/>
  <c r="AB340" i="23"/>
  <c r="W340" i="23"/>
  <c r="Q340" i="23"/>
  <c r="M340" i="23"/>
  <c r="K340" i="23"/>
  <c r="H340" i="23"/>
  <c r="F340" i="23"/>
  <c r="C340" i="23"/>
  <c r="AB339" i="23"/>
  <c r="W339" i="23"/>
  <c r="Q339" i="23"/>
  <c r="M339" i="23"/>
  <c r="K339" i="23"/>
  <c r="H339" i="23"/>
  <c r="F339" i="23"/>
  <c r="C339" i="23"/>
  <c r="AB338" i="23"/>
  <c r="W338" i="23"/>
  <c r="Q338" i="23"/>
  <c r="M338" i="23"/>
  <c r="K338" i="23"/>
  <c r="H338" i="23"/>
  <c r="F338" i="23"/>
  <c r="C338" i="23"/>
  <c r="AB337" i="23"/>
  <c r="W337" i="23"/>
  <c r="Q337" i="23"/>
  <c r="M337" i="23"/>
  <c r="K337" i="23"/>
  <c r="H337" i="23"/>
  <c r="F337" i="23"/>
  <c r="C337" i="23"/>
  <c r="AB336" i="23"/>
  <c r="W336" i="23"/>
  <c r="Q336" i="23"/>
  <c r="M336" i="23"/>
  <c r="K336" i="23"/>
  <c r="H336" i="23"/>
  <c r="F336" i="23"/>
  <c r="C336" i="23"/>
  <c r="AB335" i="23"/>
  <c r="W335" i="23"/>
  <c r="Q335" i="23"/>
  <c r="M335" i="23"/>
  <c r="K335" i="23"/>
  <c r="H335" i="23"/>
  <c r="F335" i="23"/>
  <c r="C335" i="23"/>
  <c r="AB334" i="23"/>
  <c r="W334" i="23"/>
  <c r="Q334" i="23"/>
  <c r="M334" i="23"/>
  <c r="K334" i="23"/>
  <c r="H334" i="23"/>
  <c r="F334" i="23"/>
  <c r="C334" i="23"/>
  <c r="AB333" i="23"/>
  <c r="W333" i="23"/>
  <c r="Q333" i="23"/>
  <c r="M333" i="23"/>
  <c r="K333" i="23"/>
  <c r="H333" i="23"/>
  <c r="F333" i="23"/>
  <c r="C333" i="23"/>
  <c r="AB332" i="23"/>
  <c r="W332" i="23"/>
  <c r="Q332" i="23"/>
  <c r="M332" i="23"/>
  <c r="K332" i="23"/>
  <c r="H332" i="23"/>
  <c r="F332" i="23"/>
  <c r="C332" i="23"/>
  <c r="AB331" i="23"/>
  <c r="W331" i="23"/>
  <c r="Q331" i="23"/>
  <c r="M331" i="23"/>
  <c r="K331" i="23"/>
  <c r="H331" i="23"/>
  <c r="F331" i="23"/>
  <c r="C331" i="23"/>
  <c r="AB330" i="23"/>
  <c r="W330" i="23"/>
  <c r="Q330" i="23"/>
  <c r="M330" i="23"/>
  <c r="K330" i="23"/>
  <c r="H330" i="23"/>
  <c r="F330" i="23"/>
  <c r="C330" i="23"/>
  <c r="Z330" i="23" s="1"/>
  <c r="AB329" i="23"/>
  <c r="W329" i="23"/>
  <c r="Q329" i="23"/>
  <c r="M329" i="23"/>
  <c r="K329" i="23"/>
  <c r="H329" i="23"/>
  <c r="F329" i="23"/>
  <c r="C329" i="23"/>
  <c r="AB328" i="23"/>
  <c r="W328" i="23"/>
  <c r="Q328" i="23"/>
  <c r="M328" i="23"/>
  <c r="K328" i="23"/>
  <c r="H328" i="23"/>
  <c r="F328" i="23"/>
  <c r="C328" i="23"/>
  <c r="Z328" i="23" s="1"/>
  <c r="AB327" i="23"/>
  <c r="W327" i="23"/>
  <c r="Q327" i="23"/>
  <c r="M327" i="23"/>
  <c r="K327" i="23"/>
  <c r="H327" i="23"/>
  <c r="F327" i="23"/>
  <c r="C327" i="23"/>
  <c r="AB326" i="23"/>
  <c r="W326" i="23"/>
  <c r="Q326" i="23"/>
  <c r="M326" i="23"/>
  <c r="K326" i="23"/>
  <c r="H326" i="23"/>
  <c r="F326" i="23"/>
  <c r="C326" i="23"/>
  <c r="Z326" i="23" s="1"/>
  <c r="AB325" i="23"/>
  <c r="W325" i="23"/>
  <c r="Q325" i="23"/>
  <c r="M325" i="23"/>
  <c r="K325" i="23"/>
  <c r="H325" i="23"/>
  <c r="F325" i="23"/>
  <c r="C325" i="23"/>
  <c r="AB324" i="23"/>
  <c r="AA324" i="23"/>
  <c r="W324" i="23"/>
  <c r="Q324" i="23"/>
  <c r="M324" i="23"/>
  <c r="K324" i="23"/>
  <c r="H324" i="23"/>
  <c r="F324" i="23"/>
  <c r="C324" i="23"/>
  <c r="Z324" i="23" s="1"/>
  <c r="AB323" i="23"/>
  <c r="W323" i="23"/>
  <c r="Q323" i="23"/>
  <c r="M323" i="23"/>
  <c r="K323" i="23"/>
  <c r="H323" i="23"/>
  <c r="F323" i="23"/>
  <c r="C323" i="23"/>
  <c r="AA323" i="23" s="1"/>
  <c r="AB322" i="23"/>
  <c r="AA322" i="23"/>
  <c r="W322" i="23"/>
  <c r="Q322" i="23"/>
  <c r="M322" i="23"/>
  <c r="K322" i="23"/>
  <c r="H322" i="23"/>
  <c r="F322" i="23"/>
  <c r="C322" i="23"/>
  <c r="Z322" i="23" s="1"/>
  <c r="AB321" i="23"/>
  <c r="W321" i="23"/>
  <c r="Q321" i="23"/>
  <c r="M321" i="23"/>
  <c r="K321" i="23"/>
  <c r="H321" i="23"/>
  <c r="F321" i="23"/>
  <c r="C321" i="23"/>
  <c r="AA321" i="23" s="1"/>
  <c r="AB320" i="23"/>
  <c r="AA320" i="23"/>
  <c r="W320" i="23"/>
  <c r="Q320" i="23"/>
  <c r="M320" i="23"/>
  <c r="K320" i="23"/>
  <c r="H320" i="23"/>
  <c r="F320" i="23"/>
  <c r="C320" i="23"/>
  <c r="Z320" i="23" s="1"/>
  <c r="AB319" i="23"/>
  <c r="W319" i="23"/>
  <c r="Q319" i="23"/>
  <c r="M319" i="23"/>
  <c r="K319" i="23"/>
  <c r="H319" i="23"/>
  <c r="F319" i="23"/>
  <c r="C319" i="23"/>
  <c r="AA319" i="23" s="1"/>
  <c r="AB318" i="23"/>
  <c r="AA318" i="23"/>
  <c r="W318" i="23"/>
  <c r="Q318" i="23"/>
  <c r="M318" i="23"/>
  <c r="K318" i="23"/>
  <c r="H318" i="23"/>
  <c r="F318" i="23"/>
  <c r="C318" i="23"/>
  <c r="Z318" i="23" s="1"/>
  <c r="AB317" i="23"/>
  <c r="W317" i="23"/>
  <c r="Q317" i="23"/>
  <c r="M317" i="23"/>
  <c r="K317" i="23"/>
  <c r="H317" i="23"/>
  <c r="F317" i="23"/>
  <c r="C317" i="23"/>
  <c r="AA317" i="23" s="1"/>
  <c r="AB316" i="23"/>
  <c r="AA316" i="23"/>
  <c r="W316" i="23"/>
  <c r="Q316" i="23"/>
  <c r="M316" i="23"/>
  <c r="K316" i="23"/>
  <c r="H316" i="23"/>
  <c r="F316" i="23"/>
  <c r="C316" i="23"/>
  <c r="Z316" i="23" s="1"/>
  <c r="AB315" i="23"/>
  <c r="W315" i="23"/>
  <c r="Q315" i="23"/>
  <c r="M315" i="23"/>
  <c r="K315" i="23"/>
  <c r="H315" i="23"/>
  <c r="F315" i="23"/>
  <c r="C315" i="23"/>
  <c r="AA315" i="23" s="1"/>
  <c r="AB314" i="23"/>
  <c r="AA314" i="23"/>
  <c r="W314" i="23"/>
  <c r="Q314" i="23"/>
  <c r="M314" i="23"/>
  <c r="K314" i="23"/>
  <c r="H314" i="23"/>
  <c r="F314" i="23"/>
  <c r="C314" i="23"/>
  <c r="AB313" i="23"/>
  <c r="W313" i="23"/>
  <c r="Q313" i="23"/>
  <c r="M313" i="23"/>
  <c r="K313" i="23"/>
  <c r="H313" i="23"/>
  <c r="F313" i="23"/>
  <c r="C313" i="23"/>
  <c r="AA313" i="23" s="1"/>
  <c r="AB312" i="23"/>
  <c r="AA312" i="23"/>
  <c r="W312" i="23"/>
  <c r="Q312" i="23"/>
  <c r="M312" i="23"/>
  <c r="K312" i="23"/>
  <c r="H312" i="23"/>
  <c r="F312" i="23"/>
  <c r="C312" i="23"/>
  <c r="Z312" i="23" s="1"/>
  <c r="AB311" i="23"/>
  <c r="Z311" i="23"/>
  <c r="W311" i="23"/>
  <c r="Q311" i="23"/>
  <c r="M311" i="23"/>
  <c r="K311" i="23"/>
  <c r="H311" i="23"/>
  <c r="F311" i="23"/>
  <c r="C311" i="23"/>
  <c r="AA311" i="23" s="1"/>
  <c r="AB310" i="23"/>
  <c r="AA310" i="23"/>
  <c r="W310" i="23"/>
  <c r="Q310" i="23"/>
  <c r="M310" i="23"/>
  <c r="K310" i="23"/>
  <c r="H310" i="23"/>
  <c r="F310" i="23"/>
  <c r="C310" i="23"/>
  <c r="Z310" i="23" s="1"/>
  <c r="AB309" i="23"/>
  <c r="W309" i="23"/>
  <c r="Q309" i="23"/>
  <c r="M309" i="23"/>
  <c r="K309" i="23"/>
  <c r="H309" i="23"/>
  <c r="F309" i="23"/>
  <c r="C309" i="23"/>
  <c r="AA309" i="23" s="1"/>
  <c r="AB308" i="23"/>
  <c r="W308" i="23"/>
  <c r="M308" i="23"/>
  <c r="K308" i="23"/>
  <c r="H308" i="23"/>
  <c r="F308" i="23"/>
  <c r="C308" i="23"/>
  <c r="Z308" i="23" s="1"/>
  <c r="AB307" i="23"/>
  <c r="W307" i="23"/>
  <c r="M307" i="23"/>
  <c r="K307" i="23"/>
  <c r="H307" i="23"/>
  <c r="F307" i="23"/>
  <c r="C307" i="23"/>
  <c r="AB306" i="23"/>
  <c r="AA306" i="23"/>
  <c r="W306" i="23"/>
  <c r="Q306" i="23"/>
  <c r="M306" i="23"/>
  <c r="K306" i="23"/>
  <c r="H306" i="23"/>
  <c r="F306" i="23"/>
  <c r="C306" i="23"/>
  <c r="Z306" i="23" s="1"/>
  <c r="AB305" i="23"/>
  <c r="W305" i="23"/>
  <c r="Q305" i="23"/>
  <c r="M305" i="23"/>
  <c r="K305" i="23"/>
  <c r="H305" i="23"/>
  <c r="F305" i="23"/>
  <c r="C305" i="23"/>
  <c r="AA305" i="23" s="1"/>
  <c r="AB304" i="23"/>
  <c r="AA304" i="23"/>
  <c r="W304" i="23"/>
  <c r="Q304" i="23"/>
  <c r="M304" i="23"/>
  <c r="K304" i="23"/>
  <c r="H304" i="23"/>
  <c r="F304" i="23"/>
  <c r="C304" i="23"/>
  <c r="Z304" i="23" s="1"/>
  <c r="AB303" i="23"/>
  <c r="W303" i="23"/>
  <c r="Q303" i="23"/>
  <c r="M303" i="23"/>
  <c r="K303" i="23"/>
  <c r="H303" i="23"/>
  <c r="F303" i="23"/>
  <c r="C303" i="23"/>
  <c r="AA303" i="23" s="1"/>
  <c r="AB302" i="23"/>
  <c r="AA302" i="23"/>
  <c r="W302" i="23"/>
  <c r="Q302" i="23"/>
  <c r="M302" i="23"/>
  <c r="K302" i="23"/>
  <c r="H302" i="23"/>
  <c r="F302" i="23"/>
  <c r="C302" i="23"/>
  <c r="Z302" i="23" s="1"/>
  <c r="AB301" i="23"/>
  <c r="W301" i="23"/>
  <c r="Q301" i="23"/>
  <c r="M301" i="23"/>
  <c r="K301" i="23"/>
  <c r="H301" i="23"/>
  <c r="F301" i="23"/>
  <c r="C301" i="23"/>
  <c r="AA301" i="23" s="1"/>
  <c r="AB300" i="23"/>
  <c r="AA300" i="23"/>
  <c r="W300" i="23"/>
  <c r="Q300" i="23"/>
  <c r="M300" i="23"/>
  <c r="K300" i="23"/>
  <c r="H300" i="23"/>
  <c r="F300" i="23"/>
  <c r="C300" i="23"/>
  <c r="Z300" i="23" s="1"/>
  <c r="AB299" i="23"/>
  <c r="W299" i="23"/>
  <c r="Q299" i="23"/>
  <c r="M299" i="23"/>
  <c r="K299" i="23"/>
  <c r="H299" i="23"/>
  <c r="F299" i="23"/>
  <c r="C299" i="23"/>
  <c r="AA299" i="23" s="1"/>
  <c r="AB298" i="23"/>
  <c r="AA298" i="23"/>
  <c r="W298" i="23"/>
  <c r="Q298" i="23"/>
  <c r="M298" i="23"/>
  <c r="K298" i="23"/>
  <c r="H298" i="23"/>
  <c r="F298" i="23"/>
  <c r="C298" i="23"/>
  <c r="Z298" i="23" s="1"/>
  <c r="AB297" i="23"/>
  <c r="W297" i="23"/>
  <c r="Q297" i="23"/>
  <c r="M297" i="23"/>
  <c r="K297" i="23"/>
  <c r="H297" i="23"/>
  <c r="F297" i="23"/>
  <c r="C297" i="23"/>
  <c r="AA297" i="23" s="1"/>
  <c r="AB296" i="23"/>
  <c r="AA296" i="23"/>
  <c r="W296" i="23"/>
  <c r="Q296" i="23"/>
  <c r="M296" i="23"/>
  <c r="K296" i="23"/>
  <c r="H296" i="23"/>
  <c r="F296" i="23"/>
  <c r="C296" i="23"/>
  <c r="Z296" i="23" s="1"/>
  <c r="AB295" i="23"/>
  <c r="W295" i="23"/>
  <c r="Q295" i="23"/>
  <c r="M295" i="23"/>
  <c r="K295" i="23"/>
  <c r="H295" i="23"/>
  <c r="F295" i="23"/>
  <c r="C295" i="23"/>
  <c r="AA295" i="23" s="1"/>
  <c r="AB294" i="23"/>
  <c r="AA294" i="23"/>
  <c r="W294" i="23"/>
  <c r="Q294" i="23"/>
  <c r="M294" i="23"/>
  <c r="K294" i="23"/>
  <c r="H294" i="23"/>
  <c r="F294" i="23"/>
  <c r="C294" i="23"/>
  <c r="Z294" i="23" s="1"/>
  <c r="AB293" i="23"/>
  <c r="W293" i="23"/>
  <c r="Q293" i="23"/>
  <c r="M293" i="23"/>
  <c r="K293" i="23"/>
  <c r="H293" i="23"/>
  <c r="F293" i="23"/>
  <c r="C293" i="23"/>
  <c r="AA293" i="23" s="1"/>
  <c r="AB292" i="23"/>
  <c r="AA292" i="23"/>
  <c r="W292" i="23"/>
  <c r="Q292" i="23"/>
  <c r="M292" i="23"/>
  <c r="K292" i="23"/>
  <c r="H292" i="23"/>
  <c r="F292" i="23"/>
  <c r="C292" i="23"/>
  <c r="Z292" i="23" s="1"/>
  <c r="AB291" i="23"/>
  <c r="Z291" i="23"/>
  <c r="W291" i="23"/>
  <c r="Q291" i="23"/>
  <c r="M291" i="23"/>
  <c r="K291" i="23"/>
  <c r="H291" i="23"/>
  <c r="F291" i="23"/>
  <c r="C291" i="23"/>
  <c r="AA291" i="23" s="1"/>
  <c r="AB290" i="23"/>
  <c r="AA290" i="23"/>
  <c r="W290" i="23"/>
  <c r="Q290" i="23"/>
  <c r="M290" i="23"/>
  <c r="K290" i="23"/>
  <c r="H290" i="23"/>
  <c r="F290" i="23"/>
  <c r="C290" i="23"/>
  <c r="Z290" i="23" s="1"/>
  <c r="AB289" i="23"/>
  <c r="W289" i="23"/>
  <c r="Q289" i="23"/>
  <c r="M289" i="23"/>
  <c r="K289" i="23"/>
  <c r="H289" i="23"/>
  <c r="F289" i="23"/>
  <c r="C289" i="23"/>
  <c r="AA289" i="23" s="1"/>
  <c r="AB288" i="23"/>
  <c r="AA288" i="23"/>
  <c r="W288" i="23"/>
  <c r="Q288" i="23"/>
  <c r="M288" i="23"/>
  <c r="K288" i="23"/>
  <c r="H288" i="23"/>
  <c r="F288" i="23"/>
  <c r="C288" i="23"/>
  <c r="AB287" i="23"/>
  <c r="W287" i="23"/>
  <c r="Q287" i="23"/>
  <c r="M287" i="23"/>
  <c r="K287" i="23"/>
  <c r="H287" i="23"/>
  <c r="F287" i="23"/>
  <c r="C287" i="23"/>
  <c r="AA287" i="23" s="1"/>
  <c r="AB286" i="23"/>
  <c r="AA286" i="23"/>
  <c r="W286" i="23"/>
  <c r="Q286" i="23"/>
  <c r="M286" i="23"/>
  <c r="K286" i="23"/>
  <c r="H286" i="23"/>
  <c r="F286" i="23"/>
  <c r="C286" i="23"/>
  <c r="Z286" i="23" s="1"/>
  <c r="AB285" i="23"/>
  <c r="W285" i="23"/>
  <c r="Q285" i="23"/>
  <c r="M285" i="23"/>
  <c r="K285" i="23"/>
  <c r="H285" i="23"/>
  <c r="F285" i="23"/>
  <c r="C285" i="23"/>
  <c r="AB284" i="23"/>
  <c r="W284" i="23"/>
  <c r="Q284" i="23"/>
  <c r="M284" i="23"/>
  <c r="AA284" i="23" s="1"/>
  <c r="K284" i="23"/>
  <c r="H284" i="23"/>
  <c r="F284" i="23"/>
  <c r="C284" i="23"/>
  <c r="AB283" i="23"/>
  <c r="W283" i="23"/>
  <c r="Q283" i="23"/>
  <c r="M283" i="23"/>
  <c r="K283" i="23"/>
  <c r="H283" i="23"/>
  <c r="F283" i="23"/>
  <c r="C283" i="23"/>
  <c r="AA283" i="23" s="1"/>
  <c r="AB282" i="23"/>
  <c r="W282" i="23"/>
  <c r="Q282" i="23"/>
  <c r="M282" i="23"/>
  <c r="K282" i="23"/>
  <c r="H282" i="23"/>
  <c r="F282" i="23"/>
  <c r="C282" i="23"/>
  <c r="AB281" i="23"/>
  <c r="W281" i="23"/>
  <c r="Q281" i="23"/>
  <c r="M281" i="23"/>
  <c r="K281" i="23"/>
  <c r="H281" i="23"/>
  <c r="F281" i="23"/>
  <c r="C281" i="23"/>
  <c r="AA281" i="23" s="1"/>
  <c r="AB280" i="23"/>
  <c r="W280" i="23"/>
  <c r="Q280" i="23"/>
  <c r="M280" i="23"/>
  <c r="AA280" i="23" s="1"/>
  <c r="K280" i="23"/>
  <c r="H280" i="23"/>
  <c r="F280" i="23"/>
  <c r="C280" i="23"/>
  <c r="AB279" i="23"/>
  <c r="W279" i="23"/>
  <c r="Q279" i="23"/>
  <c r="M279" i="23"/>
  <c r="K279" i="23"/>
  <c r="H279" i="23"/>
  <c r="F279" i="23"/>
  <c r="C279" i="23"/>
  <c r="AA279" i="23" s="1"/>
  <c r="AB278" i="23"/>
  <c r="W278" i="23"/>
  <c r="Q278" i="23"/>
  <c r="M278" i="23"/>
  <c r="K278" i="23"/>
  <c r="H278" i="23"/>
  <c r="F278" i="23"/>
  <c r="C278" i="23"/>
  <c r="AA278" i="23" s="1"/>
  <c r="AB277" i="23"/>
  <c r="W277" i="23"/>
  <c r="Q277" i="23"/>
  <c r="M277" i="23"/>
  <c r="K277" i="23"/>
  <c r="H277" i="23"/>
  <c r="F277" i="23"/>
  <c r="C277" i="23"/>
  <c r="AA277" i="23" s="1"/>
  <c r="AB276" i="23"/>
  <c r="W276" i="23"/>
  <c r="Q276" i="23"/>
  <c r="M276" i="23"/>
  <c r="K276" i="23"/>
  <c r="H276" i="23"/>
  <c r="F276" i="23"/>
  <c r="C276" i="23"/>
  <c r="AA276" i="23" s="1"/>
  <c r="AB275" i="23"/>
  <c r="W275" i="23"/>
  <c r="Q275" i="23"/>
  <c r="M275" i="23"/>
  <c r="K275" i="23"/>
  <c r="H275" i="23"/>
  <c r="F275" i="23"/>
  <c r="C275" i="23"/>
  <c r="AA275" i="23" s="1"/>
  <c r="AB274" i="23"/>
  <c r="W274" i="23"/>
  <c r="Q274" i="23"/>
  <c r="M274" i="23"/>
  <c r="K274" i="23"/>
  <c r="H274" i="23"/>
  <c r="F274" i="23"/>
  <c r="C274" i="23"/>
  <c r="AA274" i="23" s="1"/>
  <c r="AB273" i="23"/>
  <c r="W273" i="23"/>
  <c r="Q273" i="23"/>
  <c r="M273" i="23"/>
  <c r="K273" i="23"/>
  <c r="H273" i="23"/>
  <c r="F273" i="23"/>
  <c r="C273" i="23"/>
  <c r="AB272" i="23"/>
  <c r="W272" i="23"/>
  <c r="Q272" i="23"/>
  <c r="M272" i="23"/>
  <c r="K272" i="23"/>
  <c r="H272" i="23"/>
  <c r="F272" i="23"/>
  <c r="C272" i="23"/>
  <c r="AB271" i="23"/>
  <c r="W271" i="23"/>
  <c r="Q271" i="23"/>
  <c r="M271" i="23"/>
  <c r="K271" i="23"/>
  <c r="H271" i="23"/>
  <c r="F271" i="23"/>
  <c r="C271" i="23"/>
  <c r="AB270" i="23"/>
  <c r="W270" i="23"/>
  <c r="Q270" i="23"/>
  <c r="M270" i="23"/>
  <c r="K270" i="23"/>
  <c r="H270" i="23"/>
  <c r="F270" i="23"/>
  <c r="C270" i="23"/>
  <c r="AB269" i="23"/>
  <c r="W269" i="23"/>
  <c r="Q269" i="23"/>
  <c r="M269" i="23"/>
  <c r="K269" i="23"/>
  <c r="H269" i="23"/>
  <c r="F269" i="23"/>
  <c r="C269" i="23"/>
  <c r="AB268" i="23"/>
  <c r="W268" i="23"/>
  <c r="Q268" i="23"/>
  <c r="M268" i="23"/>
  <c r="K268" i="23"/>
  <c r="H268" i="23"/>
  <c r="F268" i="23"/>
  <c r="C268" i="23"/>
  <c r="AB267" i="23"/>
  <c r="W267" i="23"/>
  <c r="Q267" i="23"/>
  <c r="M267" i="23"/>
  <c r="K267" i="23"/>
  <c r="H267" i="23"/>
  <c r="F267" i="23"/>
  <c r="C267" i="23"/>
  <c r="AB266" i="23"/>
  <c r="W266" i="23"/>
  <c r="Q266" i="23"/>
  <c r="M266" i="23"/>
  <c r="K266" i="23"/>
  <c r="H266" i="23"/>
  <c r="F266" i="23"/>
  <c r="C266" i="23"/>
  <c r="AB265" i="23"/>
  <c r="W265" i="23"/>
  <c r="Q265" i="23"/>
  <c r="M265" i="23"/>
  <c r="K265" i="23"/>
  <c r="H265" i="23"/>
  <c r="F265" i="23"/>
  <c r="C265" i="23"/>
  <c r="AB264" i="23"/>
  <c r="W264" i="23"/>
  <c r="Q264" i="23"/>
  <c r="M264" i="23"/>
  <c r="K264" i="23"/>
  <c r="H264" i="23"/>
  <c r="F264" i="23"/>
  <c r="C264" i="23"/>
  <c r="AB263" i="23"/>
  <c r="W263" i="23"/>
  <c r="Q263" i="23"/>
  <c r="M263" i="23"/>
  <c r="K263" i="23"/>
  <c r="H263" i="23"/>
  <c r="F263" i="23"/>
  <c r="C263" i="23"/>
  <c r="AB262" i="23"/>
  <c r="W262" i="23"/>
  <c r="Q262" i="23"/>
  <c r="M262" i="23"/>
  <c r="K262" i="23"/>
  <c r="H262" i="23"/>
  <c r="F262" i="23"/>
  <c r="C262" i="23"/>
  <c r="AB261" i="23"/>
  <c r="W261" i="23"/>
  <c r="Q261" i="23"/>
  <c r="M261" i="23"/>
  <c r="K261" i="23"/>
  <c r="H261" i="23"/>
  <c r="F261" i="23"/>
  <c r="C261" i="23"/>
  <c r="AB260" i="23"/>
  <c r="W260" i="23"/>
  <c r="Q260" i="23"/>
  <c r="M260" i="23"/>
  <c r="K260" i="23"/>
  <c r="H260" i="23"/>
  <c r="F260" i="23"/>
  <c r="C260" i="23"/>
  <c r="AB259" i="23"/>
  <c r="W259" i="23"/>
  <c r="Q259" i="23"/>
  <c r="M259" i="23"/>
  <c r="K259" i="23"/>
  <c r="H259" i="23"/>
  <c r="F259" i="23"/>
  <c r="C259" i="23"/>
  <c r="AB258" i="23"/>
  <c r="W258" i="23"/>
  <c r="Q258" i="23"/>
  <c r="M258" i="23"/>
  <c r="K258" i="23"/>
  <c r="H258" i="23"/>
  <c r="F258" i="23"/>
  <c r="C258" i="23"/>
  <c r="AB257" i="23"/>
  <c r="W257" i="23"/>
  <c r="Q257" i="23"/>
  <c r="M257" i="23"/>
  <c r="K257" i="23"/>
  <c r="H257" i="23"/>
  <c r="F257" i="23"/>
  <c r="C257" i="23"/>
  <c r="AB256" i="23"/>
  <c r="W256" i="23"/>
  <c r="Q256" i="23"/>
  <c r="M256" i="23"/>
  <c r="K256" i="23"/>
  <c r="H256" i="23"/>
  <c r="F256" i="23"/>
  <c r="C256" i="23"/>
  <c r="AB255" i="23"/>
  <c r="W255" i="23"/>
  <c r="Q255" i="23"/>
  <c r="M255" i="23"/>
  <c r="K255" i="23"/>
  <c r="H255" i="23"/>
  <c r="F255" i="23"/>
  <c r="C255" i="23"/>
  <c r="AB254" i="23"/>
  <c r="W254" i="23"/>
  <c r="Q254" i="23"/>
  <c r="M254" i="23"/>
  <c r="K254" i="23"/>
  <c r="H254" i="23"/>
  <c r="F254" i="23"/>
  <c r="C254" i="23"/>
  <c r="AB253" i="23"/>
  <c r="W253" i="23"/>
  <c r="Q253" i="23"/>
  <c r="M253" i="23"/>
  <c r="K253" i="23"/>
  <c r="H253" i="23"/>
  <c r="F253" i="23"/>
  <c r="C253" i="23"/>
  <c r="AB252" i="23"/>
  <c r="W252" i="23"/>
  <c r="Q252" i="23"/>
  <c r="M252" i="23"/>
  <c r="K252" i="23"/>
  <c r="H252" i="23"/>
  <c r="F252" i="23"/>
  <c r="C252" i="23"/>
  <c r="AB251" i="23"/>
  <c r="W251" i="23"/>
  <c r="Q251" i="23"/>
  <c r="M251" i="23"/>
  <c r="K251" i="23"/>
  <c r="H251" i="23"/>
  <c r="F251" i="23"/>
  <c r="C251" i="23"/>
  <c r="AB250" i="23"/>
  <c r="W250" i="23"/>
  <c r="Q250" i="23"/>
  <c r="M250" i="23"/>
  <c r="K250" i="23"/>
  <c r="H250" i="23"/>
  <c r="F250" i="23"/>
  <c r="C250" i="23"/>
  <c r="AB249" i="23"/>
  <c r="W249" i="23"/>
  <c r="Q249" i="23"/>
  <c r="M249" i="23"/>
  <c r="K249" i="23"/>
  <c r="H249" i="23"/>
  <c r="F249" i="23"/>
  <c r="C249" i="23"/>
  <c r="AB248" i="23"/>
  <c r="W248" i="23"/>
  <c r="Q248" i="23"/>
  <c r="M248" i="23"/>
  <c r="K248" i="23"/>
  <c r="H248" i="23"/>
  <c r="F248" i="23"/>
  <c r="C248" i="23"/>
  <c r="AB247" i="23"/>
  <c r="W247" i="23"/>
  <c r="Q247" i="23"/>
  <c r="M247" i="23"/>
  <c r="K247" i="23"/>
  <c r="H247" i="23"/>
  <c r="F247" i="23"/>
  <c r="C247" i="23"/>
  <c r="AB246" i="23"/>
  <c r="W246" i="23"/>
  <c r="Q246" i="23"/>
  <c r="M246" i="23"/>
  <c r="K246" i="23"/>
  <c r="H246" i="23"/>
  <c r="F246" i="23"/>
  <c r="C246" i="23"/>
  <c r="AB245" i="23"/>
  <c r="AA245" i="23"/>
  <c r="Q245" i="23"/>
  <c r="M245" i="23"/>
  <c r="K245" i="23"/>
  <c r="H245" i="23"/>
  <c r="F245" i="23"/>
  <c r="C245" i="23"/>
  <c r="AB244" i="23"/>
  <c r="Q244" i="23"/>
  <c r="M244" i="23"/>
  <c r="K244" i="23"/>
  <c r="H244" i="23"/>
  <c r="F244" i="23"/>
  <c r="C244" i="23"/>
  <c r="AA244" i="23" s="1"/>
  <c r="AB243" i="23"/>
  <c r="AA243" i="23"/>
  <c r="Q243" i="23"/>
  <c r="M243" i="23"/>
  <c r="K243" i="23"/>
  <c r="H243" i="23"/>
  <c r="F243" i="23"/>
  <c r="C243" i="23"/>
  <c r="Z243" i="23" s="1"/>
  <c r="AB242" i="23"/>
  <c r="Q242" i="23"/>
  <c r="M242" i="23"/>
  <c r="K242" i="23"/>
  <c r="H242" i="23"/>
  <c r="F242" i="23"/>
  <c r="C242" i="23"/>
  <c r="AB241" i="23"/>
  <c r="Q241" i="23"/>
  <c r="M241" i="23"/>
  <c r="AA241" i="23" s="1"/>
  <c r="K241" i="23"/>
  <c r="H241" i="23"/>
  <c r="F241" i="23"/>
  <c r="C241" i="23"/>
  <c r="AB240" i="23"/>
  <c r="Z240" i="23"/>
  <c r="Q240" i="23"/>
  <c r="M240" i="23"/>
  <c r="K240" i="23"/>
  <c r="H240" i="23"/>
  <c r="F240" i="23"/>
  <c r="C240" i="23"/>
  <c r="AA240" i="23" s="1"/>
  <c r="AB239" i="23"/>
  <c r="AA239" i="23"/>
  <c r="Q239" i="23"/>
  <c r="N239" i="23"/>
  <c r="N238" i="23" s="1"/>
  <c r="N237" i="23" s="1"/>
  <c r="N236" i="23" s="1"/>
  <c r="N235" i="23" s="1"/>
  <c r="N234" i="23" s="1"/>
  <c r="N233" i="23" s="1"/>
  <c r="M239" i="23"/>
  <c r="K239" i="23"/>
  <c r="H239" i="23"/>
  <c r="F239" i="23"/>
  <c r="C239" i="23"/>
  <c r="AB238" i="23"/>
  <c r="Q238" i="23"/>
  <c r="M238" i="23"/>
  <c r="K238" i="23"/>
  <c r="H238" i="23"/>
  <c r="F238" i="23"/>
  <c r="C238" i="23"/>
  <c r="AB237" i="23"/>
  <c r="Q237" i="23"/>
  <c r="M237" i="23"/>
  <c r="AA237" i="23" s="1"/>
  <c r="K237" i="23"/>
  <c r="H237" i="23"/>
  <c r="F237" i="23"/>
  <c r="C237" i="23"/>
  <c r="AB236" i="23"/>
  <c r="Q236" i="23"/>
  <c r="M236" i="23"/>
  <c r="K236" i="23"/>
  <c r="H236" i="23"/>
  <c r="F236" i="23"/>
  <c r="C236" i="23"/>
  <c r="AA236" i="23" s="1"/>
  <c r="AB235" i="23"/>
  <c r="Q235" i="23"/>
  <c r="M235" i="23"/>
  <c r="K235" i="23"/>
  <c r="H235" i="23"/>
  <c r="F235" i="23"/>
  <c r="C235" i="23"/>
  <c r="AB234" i="23"/>
  <c r="Q234" i="23"/>
  <c r="M234" i="23"/>
  <c r="K234" i="23"/>
  <c r="H234" i="23"/>
  <c r="F234" i="23"/>
  <c r="C234" i="23"/>
  <c r="AA234" i="23" s="1"/>
  <c r="AB233" i="23"/>
  <c r="M233" i="23"/>
  <c r="K233" i="23"/>
  <c r="H233" i="23"/>
  <c r="F233" i="23"/>
  <c r="C233" i="23"/>
  <c r="AB232" i="23"/>
  <c r="AA232" i="23"/>
  <c r="N232" i="23"/>
  <c r="N231" i="23" s="1"/>
  <c r="N230" i="23" s="1"/>
  <c r="N229" i="23" s="1"/>
  <c r="N228" i="23" s="1"/>
  <c r="N227" i="23" s="1"/>
  <c r="N226" i="23" s="1"/>
  <c r="N225" i="23" s="1"/>
  <c r="N224" i="23" s="1"/>
  <c r="N223" i="23" s="1"/>
  <c r="N222" i="23" s="1"/>
  <c r="N221" i="23" s="1"/>
  <c r="N220" i="23" s="1"/>
  <c r="N219" i="23" s="1"/>
  <c r="N218" i="23" s="1"/>
  <c r="N217" i="23" s="1"/>
  <c r="N216" i="23" s="1"/>
  <c r="N215" i="23" s="1"/>
  <c r="N214" i="23" s="1"/>
  <c r="N213" i="23" s="1"/>
  <c r="N212" i="23" s="1"/>
  <c r="N211" i="23" s="1"/>
  <c r="N210" i="23" s="1"/>
  <c r="N209" i="23" s="1"/>
  <c r="N208" i="23" s="1"/>
  <c r="N207" i="23" s="1"/>
  <c r="N206" i="23" s="1"/>
  <c r="N205" i="23" s="1"/>
  <c r="N204" i="23" s="1"/>
  <c r="N203" i="23" s="1"/>
  <c r="N202" i="23" s="1"/>
  <c r="N201" i="23" s="1"/>
  <c r="N200" i="23" s="1"/>
  <c r="N199" i="23" s="1"/>
  <c r="N198" i="23" s="1"/>
  <c r="N197" i="23" s="1"/>
  <c r="N196" i="23" s="1"/>
  <c r="N195" i="23" s="1"/>
  <c r="N194" i="23" s="1"/>
  <c r="N193" i="23" s="1"/>
  <c r="N192" i="23" s="1"/>
  <c r="N191" i="23" s="1"/>
  <c r="N190" i="23" s="1"/>
  <c r="N189" i="23" s="1"/>
  <c r="N188" i="23" s="1"/>
  <c r="N187" i="23" s="1"/>
  <c r="N186" i="23" s="1"/>
  <c r="N185" i="23" s="1"/>
  <c r="N184" i="23" s="1"/>
  <c r="N183" i="23" s="1"/>
  <c r="N182" i="23" s="1"/>
  <c r="N181" i="23" s="1"/>
  <c r="N180" i="23" s="1"/>
  <c r="N179" i="23" s="1"/>
  <c r="N178" i="23" s="1"/>
  <c r="N177" i="23" s="1"/>
  <c r="N176" i="23" s="1"/>
  <c r="N175" i="23" s="1"/>
  <c r="N174" i="23" s="1"/>
  <c r="N173" i="23" s="1"/>
  <c r="N172" i="23" s="1"/>
  <c r="N171" i="23" s="1"/>
  <c r="N170" i="23" s="1"/>
  <c r="M232" i="23"/>
  <c r="K232" i="23"/>
  <c r="H232" i="23"/>
  <c r="F232" i="23"/>
  <c r="C232" i="23"/>
  <c r="Z232" i="23" s="1"/>
  <c r="AB231" i="23"/>
  <c r="Q231" i="23"/>
  <c r="M231" i="23"/>
  <c r="K231" i="23"/>
  <c r="H231" i="23"/>
  <c r="F231" i="23"/>
  <c r="C231" i="23"/>
  <c r="AB230" i="23"/>
  <c r="Q230" i="23"/>
  <c r="M230" i="23"/>
  <c r="K230" i="23"/>
  <c r="H230" i="23"/>
  <c r="F230" i="23"/>
  <c r="C230" i="23"/>
  <c r="Z230" i="23" s="1"/>
  <c r="AB229" i="23"/>
  <c r="Q229" i="23"/>
  <c r="M229" i="23"/>
  <c r="K229" i="23"/>
  <c r="H229" i="23"/>
  <c r="F229" i="23"/>
  <c r="C229" i="23"/>
  <c r="AA229" i="23" s="1"/>
  <c r="AB228" i="23"/>
  <c r="AA228" i="23"/>
  <c r="Q228" i="23"/>
  <c r="M228" i="23"/>
  <c r="K228" i="23"/>
  <c r="H228" i="23"/>
  <c r="F228" i="23"/>
  <c r="C228" i="23"/>
  <c r="AB227" i="23"/>
  <c r="Q227" i="23"/>
  <c r="M227" i="23"/>
  <c r="K227" i="23"/>
  <c r="H227" i="23"/>
  <c r="F227" i="23"/>
  <c r="C227" i="23"/>
  <c r="AB226" i="23"/>
  <c r="Q226" i="23"/>
  <c r="M226" i="23"/>
  <c r="K226" i="23"/>
  <c r="H226" i="23"/>
  <c r="F226" i="23"/>
  <c r="C226" i="23"/>
  <c r="Z226" i="23" s="1"/>
  <c r="AB225" i="23"/>
  <c r="Q225" i="23"/>
  <c r="M225" i="23"/>
  <c r="K225" i="23"/>
  <c r="H225" i="23"/>
  <c r="F225" i="23"/>
  <c r="C225" i="23"/>
  <c r="AA225" i="23" s="1"/>
  <c r="AB224" i="23"/>
  <c r="AA224" i="23"/>
  <c r="Q224" i="23"/>
  <c r="M224" i="23"/>
  <c r="K224" i="23"/>
  <c r="H224" i="23"/>
  <c r="F224" i="23"/>
  <c r="C224" i="23"/>
  <c r="AB223" i="23"/>
  <c r="Q223" i="23"/>
  <c r="M223" i="23"/>
  <c r="K223" i="23"/>
  <c r="H223" i="23"/>
  <c r="F223" i="23"/>
  <c r="C223" i="23"/>
  <c r="AB222" i="23"/>
  <c r="Q222" i="23"/>
  <c r="M222" i="23"/>
  <c r="K222" i="23"/>
  <c r="H222" i="23"/>
  <c r="F222" i="23"/>
  <c r="C222" i="23"/>
  <c r="Z222" i="23" s="1"/>
  <c r="AB221" i="23"/>
  <c r="Q221" i="23"/>
  <c r="M221" i="23"/>
  <c r="K221" i="23"/>
  <c r="H221" i="23"/>
  <c r="F221" i="23"/>
  <c r="C221" i="23"/>
  <c r="AA221" i="23" s="1"/>
  <c r="AB220" i="23"/>
  <c r="AA220" i="23"/>
  <c r="Q220" i="23"/>
  <c r="M220" i="23"/>
  <c r="K220" i="23"/>
  <c r="H220" i="23"/>
  <c r="F220" i="23"/>
  <c r="C220" i="23"/>
  <c r="AB219" i="23"/>
  <c r="Q219" i="23"/>
  <c r="M219" i="23"/>
  <c r="K219" i="23"/>
  <c r="H219" i="23"/>
  <c r="F219" i="23"/>
  <c r="C219" i="23"/>
  <c r="AB218" i="23"/>
  <c r="Q218" i="23"/>
  <c r="M218" i="23"/>
  <c r="K218" i="23"/>
  <c r="H218" i="23"/>
  <c r="F218" i="23"/>
  <c r="C218" i="23"/>
  <c r="Z218" i="23" s="1"/>
  <c r="AB217" i="23"/>
  <c r="Q217" i="23"/>
  <c r="M217" i="23"/>
  <c r="K217" i="23"/>
  <c r="H217" i="23"/>
  <c r="F217" i="23"/>
  <c r="C217" i="23"/>
  <c r="AA217" i="23" s="1"/>
  <c r="AB216" i="23"/>
  <c r="AA216" i="23"/>
  <c r="Q216" i="23"/>
  <c r="M216" i="23"/>
  <c r="K216" i="23"/>
  <c r="H216" i="23"/>
  <c r="F216" i="23"/>
  <c r="C216" i="23"/>
  <c r="AB215" i="23"/>
  <c r="Q215" i="23"/>
  <c r="M215" i="23"/>
  <c r="K215" i="23"/>
  <c r="H215" i="23"/>
  <c r="F215" i="23"/>
  <c r="C215" i="23"/>
  <c r="AB214" i="23"/>
  <c r="Q214" i="23"/>
  <c r="M214" i="23"/>
  <c r="K214" i="23"/>
  <c r="H214" i="23"/>
  <c r="F214" i="23"/>
  <c r="C214" i="23"/>
  <c r="Z214" i="23" s="1"/>
  <c r="AB213" i="23"/>
  <c r="Q213" i="23"/>
  <c r="M213" i="23"/>
  <c r="K213" i="23"/>
  <c r="H213" i="23"/>
  <c r="F213" i="23"/>
  <c r="C213" i="23"/>
  <c r="AA213" i="23" s="1"/>
  <c r="AB212" i="23"/>
  <c r="AA212" i="23"/>
  <c r="Q212" i="23"/>
  <c r="M212" i="23"/>
  <c r="K212" i="23"/>
  <c r="H212" i="23"/>
  <c r="F212" i="23"/>
  <c r="C212" i="23"/>
  <c r="AB211" i="23"/>
  <c r="Q211" i="23"/>
  <c r="M211" i="23"/>
  <c r="K211" i="23"/>
  <c r="H211" i="23"/>
  <c r="F211" i="23"/>
  <c r="C211" i="23"/>
  <c r="AB210" i="23"/>
  <c r="Q210" i="23"/>
  <c r="M210" i="23"/>
  <c r="K210" i="23"/>
  <c r="H210" i="23"/>
  <c r="F210" i="23"/>
  <c r="C210" i="23"/>
  <c r="Z210" i="23" s="1"/>
  <c r="AB209" i="23"/>
  <c r="Z209" i="23"/>
  <c r="Q209" i="23"/>
  <c r="M209" i="23"/>
  <c r="K209" i="23"/>
  <c r="H209" i="23"/>
  <c r="F209" i="23"/>
  <c r="C209" i="23"/>
  <c r="AA209" i="23" s="1"/>
  <c r="AB208" i="23"/>
  <c r="AA208" i="23"/>
  <c r="Q208" i="23"/>
  <c r="M208" i="23"/>
  <c r="K208" i="23"/>
  <c r="H208" i="23"/>
  <c r="C208" i="23"/>
  <c r="AB207" i="23"/>
  <c r="Q207" i="23"/>
  <c r="M207" i="23"/>
  <c r="K207" i="23"/>
  <c r="H207" i="23"/>
  <c r="C207" i="23"/>
  <c r="AB206" i="23"/>
  <c r="AA206" i="23"/>
  <c r="Q206" i="23"/>
  <c r="M206" i="23"/>
  <c r="K206" i="23"/>
  <c r="H206" i="23"/>
  <c r="C206" i="23"/>
  <c r="Z206" i="23" s="1"/>
  <c r="AB205" i="23"/>
  <c r="Q205" i="23"/>
  <c r="M205" i="23"/>
  <c r="K205" i="23"/>
  <c r="H205" i="23"/>
  <c r="F205" i="23"/>
  <c r="C205" i="23"/>
  <c r="AA205" i="23" s="1"/>
  <c r="AB204" i="23"/>
  <c r="AA204" i="23"/>
  <c r="Q204" i="23"/>
  <c r="M204" i="23"/>
  <c r="K204" i="23"/>
  <c r="H204" i="23"/>
  <c r="C204" i="23"/>
  <c r="AB203" i="23"/>
  <c r="Z203" i="23"/>
  <c r="Q203" i="23"/>
  <c r="M203" i="23"/>
  <c r="K203" i="23"/>
  <c r="H203" i="23"/>
  <c r="E203" i="23"/>
  <c r="C203" i="23"/>
  <c r="AB202" i="23"/>
  <c r="Z202" i="23"/>
  <c r="P202" i="23"/>
  <c r="O202" i="23" s="1"/>
  <c r="M202" i="23"/>
  <c r="K202" i="23"/>
  <c r="H202" i="23"/>
  <c r="E202" i="23"/>
  <c r="F208" i="23" s="1"/>
  <c r="C202" i="23"/>
  <c r="AB201" i="23"/>
  <c r="AA201" i="23"/>
  <c r="P201" i="23"/>
  <c r="O201" i="23"/>
  <c r="M201" i="23"/>
  <c r="K201" i="23"/>
  <c r="H201" i="23"/>
  <c r="E201" i="23"/>
  <c r="F206" i="23" s="1"/>
  <c r="C201" i="23"/>
  <c r="AB200" i="23"/>
  <c r="Z200" i="23"/>
  <c r="P200" i="23"/>
  <c r="O200" i="23" s="1"/>
  <c r="M200" i="23"/>
  <c r="K200" i="23"/>
  <c r="H200" i="23"/>
  <c r="C200" i="23"/>
  <c r="AA200" i="23" s="1"/>
  <c r="AB199" i="23"/>
  <c r="P199" i="23"/>
  <c r="O199" i="23" s="1"/>
  <c r="M199" i="23"/>
  <c r="K199" i="23"/>
  <c r="H199" i="23"/>
  <c r="E199" i="23"/>
  <c r="C199" i="23"/>
  <c r="AA199" i="23" s="1"/>
  <c r="AB198" i="23"/>
  <c r="P198" i="23"/>
  <c r="O198" i="23"/>
  <c r="M198" i="23"/>
  <c r="AA198" i="23" s="1"/>
  <c r="K198" i="23"/>
  <c r="H198" i="23"/>
  <c r="E198" i="23"/>
  <c r="F204" i="23" s="1"/>
  <c r="C198" i="23"/>
  <c r="AB197" i="23"/>
  <c r="Z197" i="23"/>
  <c r="P197" i="23"/>
  <c r="O197" i="23" s="1"/>
  <c r="M197" i="23"/>
  <c r="K197" i="23"/>
  <c r="H197" i="23"/>
  <c r="E197" i="23"/>
  <c r="F201" i="23" s="1"/>
  <c r="C197" i="23"/>
  <c r="AA197" i="23" s="1"/>
  <c r="AB196" i="23"/>
  <c r="AA196" i="23"/>
  <c r="P196" i="23"/>
  <c r="O196" i="23"/>
  <c r="M196" i="23"/>
  <c r="K196" i="23"/>
  <c r="H196" i="23"/>
  <c r="E196" i="23"/>
  <c r="F202" i="23" s="1"/>
  <c r="C196" i="23"/>
  <c r="Z196" i="23" s="1"/>
  <c r="AB195" i="23"/>
  <c r="P195" i="23"/>
  <c r="O195" i="23" s="1"/>
  <c r="M195" i="23"/>
  <c r="K195" i="23"/>
  <c r="H195" i="23"/>
  <c r="E195" i="23"/>
  <c r="C195" i="23"/>
  <c r="AA195" i="23" s="1"/>
  <c r="AB194" i="23"/>
  <c r="P194" i="23"/>
  <c r="O194" i="23" s="1"/>
  <c r="M194" i="23"/>
  <c r="AA194" i="23" s="1"/>
  <c r="K194" i="23"/>
  <c r="H194" i="23"/>
  <c r="E194" i="23"/>
  <c r="F200" i="23" s="1"/>
  <c r="C194" i="23"/>
  <c r="AB193" i="23"/>
  <c r="AA193" i="23"/>
  <c r="P193" i="23"/>
  <c r="O193" i="23"/>
  <c r="M193" i="23"/>
  <c r="K193" i="23"/>
  <c r="H193" i="23"/>
  <c r="E193" i="23"/>
  <c r="F199" i="23" s="1"/>
  <c r="C193" i="23"/>
  <c r="Z193" i="23" s="1"/>
  <c r="AB192" i="23"/>
  <c r="P192" i="23"/>
  <c r="O192" i="23" s="1"/>
  <c r="M192" i="23"/>
  <c r="K192" i="23"/>
  <c r="H192" i="23"/>
  <c r="E192" i="23"/>
  <c r="F198" i="23" s="1"/>
  <c r="C192" i="23"/>
  <c r="Z192" i="23" s="1"/>
  <c r="AB191" i="23"/>
  <c r="P191" i="23"/>
  <c r="O191" i="23"/>
  <c r="M191" i="23"/>
  <c r="AA191" i="23" s="1"/>
  <c r="K191" i="23"/>
  <c r="H191" i="23"/>
  <c r="E191" i="23"/>
  <c r="C191" i="23"/>
  <c r="Z191" i="23" s="1"/>
  <c r="AB190" i="23"/>
  <c r="P190" i="23"/>
  <c r="O190" i="23" s="1"/>
  <c r="M190" i="23"/>
  <c r="K190" i="23"/>
  <c r="H190" i="23"/>
  <c r="E190" i="23"/>
  <c r="F196" i="23" s="1"/>
  <c r="C190" i="23"/>
  <c r="AA190" i="23" s="1"/>
  <c r="AB189" i="23"/>
  <c r="AA189" i="23"/>
  <c r="P189" i="23"/>
  <c r="O189" i="23"/>
  <c r="M189" i="23"/>
  <c r="K189" i="23"/>
  <c r="H189" i="23"/>
  <c r="E189" i="23"/>
  <c r="C189" i="23"/>
  <c r="Z189" i="23" s="1"/>
  <c r="AB188" i="23"/>
  <c r="P188" i="23"/>
  <c r="O188" i="23" s="1"/>
  <c r="M188" i="23"/>
  <c r="K188" i="23"/>
  <c r="H188" i="23"/>
  <c r="E188" i="23"/>
  <c r="F194" i="23" s="1"/>
  <c r="C188" i="23"/>
  <c r="AA188" i="23" s="1"/>
  <c r="AB187" i="23"/>
  <c r="P187" i="23"/>
  <c r="O187" i="23"/>
  <c r="M187" i="23"/>
  <c r="AA187" i="23" s="1"/>
  <c r="K187" i="23"/>
  <c r="H187" i="23"/>
  <c r="E187" i="23"/>
  <c r="C187" i="23"/>
  <c r="Z187" i="23" s="1"/>
  <c r="AB186" i="23"/>
  <c r="P186" i="23"/>
  <c r="O186" i="23" s="1"/>
  <c r="M186" i="23"/>
  <c r="K186" i="23"/>
  <c r="H186" i="23"/>
  <c r="E186" i="23"/>
  <c r="F192" i="23" s="1"/>
  <c r="C186" i="23"/>
  <c r="AA186" i="23" s="1"/>
  <c r="AB185" i="23"/>
  <c r="AA185" i="23"/>
  <c r="P185" i="23"/>
  <c r="O185" i="23"/>
  <c r="M185" i="23"/>
  <c r="K185" i="23"/>
  <c r="H185" i="23"/>
  <c r="E185" i="23"/>
  <c r="C185" i="23"/>
  <c r="Z185" i="23" s="1"/>
  <c r="AB184" i="23"/>
  <c r="P184" i="23"/>
  <c r="O184" i="23" s="1"/>
  <c r="M184" i="23"/>
  <c r="K184" i="23"/>
  <c r="H184" i="23"/>
  <c r="E184" i="23"/>
  <c r="F189" i="23" s="1"/>
  <c r="C184" i="23"/>
  <c r="AA184" i="23" s="1"/>
  <c r="AB183" i="23"/>
  <c r="P183" i="23"/>
  <c r="O183" i="23"/>
  <c r="M183" i="23"/>
  <c r="AA183" i="23" s="1"/>
  <c r="K183" i="23"/>
  <c r="H183" i="23"/>
  <c r="E183" i="23"/>
  <c r="C183" i="23"/>
  <c r="Z183" i="23" s="1"/>
  <c r="AB182" i="23"/>
  <c r="P182" i="23"/>
  <c r="O182" i="23" s="1"/>
  <c r="M182" i="23"/>
  <c r="K182" i="23"/>
  <c r="H182" i="23"/>
  <c r="E182" i="23"/>
  <c r="F188" i="23" s="1"/>
  <c r="C182" i="23"/>
  <c r="AA182" i="23" s="1"/>
  <c r="AB181" i="23"/>
  <c r="AA181" i="23"/>
  <c r="P181" i="23"/>
  <c r="O181" i="23"/>
  <c r="M181" i="23"/>
  <c r="K181" i="23"/>
  <c r="H181" i="23"/>
  <c r="E181" i="23"/>
  <c r="C181" i="23"/>
  <c r="Z181" i="23" s="1"/>
  <c r="AB180" i="23"/>
  <c r="P180" i="23"/>
  <c r="O180" i="23" s="1"/>
  <c r="M180" i="23"/>
  <c r="K180" i="23"/>
  <c r="H180" i="23"/>
  <c r="E180" i="23"/>
  <c r="F185" i="23" s="1"/>
  <c r="C180" i="23"/>
  <c r="AA180" i="23" s="1"/>
  <c r="AB179" i="23"/>
  <c r="P179" i="23"/>
  <c r="O179" i="23"/>
  <c r="M179" i="23"/>
  <c r="AA179" i="23" s="1"/>
  <c r="K179" i="23"/>
  <c r="H179" i="23"/>
  <c r="E179" i="23"/>
  <c r="C179" i="23"/>
  <c r="Z179" i="23" s="1"/>
  <c r="AB178" i="23"/>
  <c r="P178" i="23"/>
  <c r="O178" i="23" s="1"/>
  <c r="M178" i="23"/>
  <c r="K178" i="23"/>
  <c r="H178" i="23"/>
  <c r="E178" i="23"/>
  <c r="F184" i="23" s="1"/>
  <c r="C178" i="23"/>
  <c r="AA178" i="23" s="1"/>
  <c r="AB177" i="23"/>
  <c r="AA177" i="23"/>
  <c r="P177" i="23"/>
  <c r="O177" i="23"/>
  <c r="M177" i="23"/>
  <c r="K177" i="23"/>
  <c r="H177" i="23"/>
  <c r="E177" i="23"/>
  <c r="C177" i="23"/>
  <c r="Z177" i="23" s="1"/>
  <c r="AB176" i="23"/>
  <c r="P176" i="23"/>
  <c r="O176" i="23" s="1"/>
  <c r="M176" i="23"/>
  <c r="K176" i="23"/>
  <c r="H176" i="23"/>
  <c r="E176" i="23"/>
  <c r="F181" i="23" s="1"/>
  <c r="C176" i="23"/>
  <c r="AA176" i="23" s="1"/>
  <c r="AB175" i="23"/>
  <c r="P175" i="23"/>
  <c r="O175" i="23"/>
  <c r="M175" i="23"/>
  <c r="AA175" i="23" s="1"/>
  <c r="K175" i="23"/>
  <c r="H175" i="23"/>
  <c r="F175" i="23"/>
  <c r="E175" i="23"/>
  <c r="F180" i="23" s="1"/>
  <c r="C175" i="23"/>
  <c r="Z175" i="23" s="1"/>
  <c r="AB174" i="23"/>
  <c r="P174" i="23"/>
  <c r="O174" i="23" s="1"/>
  <c r="M174" i="23"/>
  <c r="K174" i="23"/>
  <c r="H174" i="23"/>
  <c r="C174" i="23"/>
  <c r="AA174" i="23" s="1"/>
  <c r="AB173" i="23"/>
  <c r="P173" i="23"/>
  <c r="O173" i="23" s="1"/>
  <c r="M173" i="23"/>
  <c r="K173" i="23"/>
  <c r="H173" i="23"/>
  <c r="E173" i="23"/>
  <c r="F177" i="23" s="1"/>
  <c r="C173" i="23"/>
  <c r="AA173" i="23" s="1"/>
  <c r="AB172" i="23"/>
  <c r="P172" i="23"/>
  <c r="O172" i="23"/>
  <c r="M172" i="23"/>
  <c r="AA172" i="23" s="1"/>
  <c r="K172" i="23"/>
  <c r="H172" i="23"/>
  <c r="E172" i="23"/>
  <c r="F178" i="23" s="1"/>
  <c r="C172" i="23"/>
  <c r="Z172" i="23" s="1"/>
  <c r="AB171" i="23"/>
  <c r="P171" i="23"/>
  <c r="O171" i="23"/>
  <c r="M171" i="23"/>
  <c r="K171" i="23"/>
  <c r="H171" i="23"/>
  <c r="E171" i="23"/>
  <c r="C171" i="23"/>
  <c r="Z171" i="23" s="1"/>
  <c r="AB170" i="23"/>
  <c r="U170" i="23"/>
  <c r="P170" i="23"/>
  <c r="O170" i="23"/>
  <c r="M170" i="23"/>
  <c r="K170" i="23"/>
  <c r="H170" i="23"/>
  <c r="E170" i="23"/>
  <c r="F176" i="23" s="1"/>
  <c r="C170" i="23"/>
  <c r="Z170" i="23" s="1"/>
  <c r="AB169" i="23"/>
  <c r="U169" i="23"/>
  <c r="P169" i="23"/>
  <c r="O169" i="23"/>
  <c r="N169" i="23"/>
  <c r="M169" i="23"/>
  <c r="K169" i="23"/>
  <c r="H169" i="23"/>
  <c r="E169" i="23"/>
  <c r="C169" i="23"/>
  <c r="Z169" i="23" s="1"/>
  <c r="AB168" i="23"/>
  <c r="U168" i="23"/>
  <c r="P168" i="23"/>
  <c r="O168" i="23"/>
  <c r="M168" i="23"/>
  <c r="K168" i="23"/>
  <c r="H168" i="23"/>
  <c r="E168" i="23"/>
  <c r="F174" i="23" s="1"/>
  <c r="C168" i="23"/>
  <c r="Z174" i="23" s="1"/>
  <c r="AB167" i="23"/>
  <c r="U167" i="23"/>
  <c r="P167" i="23"/>
  <c r="O167" i="23" s="1"/>
  <c r="N167" i="23"/>
  <c r="M167" i="23"/>
  <c r="K167" i="23"/>
  <c r="H167" i="23"/>
  <c r="E167" i="23"/>
  <c r="F173" i="23" s="1"/>
  <c r="C167" i="23"/>
  <c r="Z167" i="23" s="1"/>
  <c r="AB166" i="23"/>
  <c r="U166" i="23"/>
  <c r="P166" i="23"/>
  <c r="O166" i="23" s="1"/>
  <c r="M166" i="23"/>
  <c r="K166" i="23"/>
  <c r="H166" i="23"/>
  <c r="E166" i="23"/>
  <c r="C166" i="23"/>
  <c r="AB165" i="23"/>
  <c r="U165" i="23"/>
  <c r="P165" i="23"/>
  <c r="O165" i="23"/>
  <c r="M165" i="23"/>
  <c r="K165" i="23"/>
  <c r="H165" i="23"/>
  <c r="E165" i="23"/>
  <c r="F171" i="23" s="1"/>
  <c r="C165" i="23"/>
  <c r="Z165" i="23" s="1"/>
  <c r="AB164" i="23"/>
  <c r="Z164" i="23"/>
  <c r="U164" i="23"/>
  <c r="P164" i="23"/>
  <c r="O164" i="23" s="1"/>
  <c r="M164" i="23"/>
  <c r="K164" i="23"/>
  <c r="H164" i="23"/>
  <c r="E164" i="23"/>
  <c r="C164" i="23"/>
  <c r="AB163" i="23"/>
  <c r="U163" i="23"/>
  <c r="P163" i="23"/>
  <c r="O163" i="23"/>
  <c r="N163" i="23"/>
  <c r="M163" i="23"/>
  <c r="K163" i="23"/>
  <c r="H163" i="23"/>
  <c r="E163" i="23"/>
  <c r="C163" i="23"/>
  <c r="Z163" i="23" s="1"/>
  <c r="AB162" i="23"/>
  <c r="U162" i="23"/>
  <c r="P162" i="23"/>
  <c r="O162" i="23"/>
  <c r="M162" i="23"/>
  <c r="K162" i="23"/>
  <c r="H162" i="23"/>
  <c r="E162" i="23"/>
  <c r="F167" i="23" s="1"/>
  <c r="C162" i="23"/>
  <c r="Z162" i="23" s="1"/>
  <c r="AB161" i="23"/>
  <c r="Z161" i="23"/>
  <c r="U161" i="23"/>
  <c r="P161" i="23"/>
  <c r="O161" i="23" s="1"/>
  <c r="M161" i="23"/>
  <c r="K161" i="23"/>
  <c r="H161" i="23"/>
  <c r="F161" i="23"/>
  <c r="C161" i="23"/>
  <c r="AB160" i="23"/>
  <c r="U160" i="23"/>
  <c r="P160" i="23"/>
  <c r="O160" i="23" s="1"/>
  <c r="M160" i="23"/>
  <c r="K160" i="23"/>
  <c r="H160" i="23"/>
  <c r="F160" i="23"/>
  <c r="C160" i="23"/>
  <c r="Z166" i="23" s="1"/>
  <c r="AB159" i="23"/>
  <c r="U159" i="23"/>
  <c r="P159" i="23"/>
  <c r="O159" i="23" s="1"/>
  <c r="N159" i="23"/>
  <c r="M159" i="23"/>
  <c r="K159" i="23"/>
  <c r="H159" i="23"/>
  <c r="C159" i="23"/>
  <c r="AB158" i="23"/>
  <c r="U158" i="23"/>
  <c r="P158" i="23"/>
  <c r="O158" i="23"/>
  <c r="M158" i="23"/>
  <c r="K158" i="23"/>
  <c r="H158" i="23"/>
  <c r="C158" i="23"/>
  <c r="AB157" i="23"/>
  <c r="U157" i="23"/>
  <c r="P157" i="23"/>
  <c r="O157" i="23"/>
  <c r="N157" i="23"/>
  <c r="M157" i="23"/>
  <c r="K157" i="23"/>
  <c r="H157" i="23"/>
  <c r="E157" i="23"/>
  <c r="C157" i="23"/>
  <c r="Z157" i="23" s="1"/>
  <c r="AB156" i="23"/>
  <c r="Y156" i="23"/>
  <c r="U156" i="23"/>
  <c r="P156" i="23"/>
  <c r="O156" i="23"/>
  <c r="N156" i="23"/>
  <c r="M156" i="23"/>
  <c r="K156" i="23"/>
  <c r="H156" i="23"/>
  <c r="E156" i="23"/>
  <c r="F162" i="23" s="1"/>
  <c r="C156" i="23"/>
  <c r="Z156" i="23" s="1"/>
  <c r="AB155" i="23"/>
  <c r="Z155" i="23"/>
  <c r="Y155" i="23"/>
  <c r="U155" i="23"/>
  <c r="P155" i="23"/>
  <c r="O155" i="23"/>
  <c r="M155" i="23"/>
  <c r="K155" i="23"/>
  <c r="H155" i="23"/>
  <c r="C155" i="23"/>
  <c r="AB154" i="23"/>
  <c r="Y154" i="23"/>
  <c r="U154" i="23"/>
  <c r="P154" i="23"/>
  <c r="O154" i="23"/>
  <c r="M154" i="23"/>
  <c r="K154" i="23"/>
  <c r="H154" i="23"/>
  <c r="G154" i="23"/>
  <c r="E154" i="23"/>
  <c r="C154" i="23"/>
  <c r="Z154" i="23" s="1"/>
  <c r="AB153" i="23"/>
  <c r="Y153" i="23"/>
  <c r="U153" i="23"/>
  <c r="P153" i="23"/>
  <c r="O153" i="23" s="1"/>
  <c r="M153" i="23"/>
  <c r="K153" i="23"/>
  <c r="H153" i="23"/>
  <c r="E153" i="23"/>
  <c r="F159" i="23" s="1"/>
  <c r="C153" i="23"/>
  <c r="Z153" i="23" s="1"/>
  <c r="AB152" i="23"/>
  <c r="U152" i="23"/>
  <c r="P152" i="23"/>
  <c r="O152" i="23" s="1"/>
  <c r="N152" i="23"/>
  <c r="M152" i="23"/>
  <c r="K152" i="23"/>
  <c r="H152" i="23"/>
  <c r="E152" i="23"/>
  <c r="F158" i="23" s="1"/>
  <c r="C152" i="23"/>
  <c r="Z158" i="23" s="1"/>
  <c r="AB151" i="23"/>
  <c r="Y151" i="23"/>
  <c r="U151" i="23"/>
  <c r="P151" i="23"/>
  <c r="O151" i="23" s="1"/>
  <c r="M151" i="23"/>
  <c r="K151" i="23"/>
  <c r="H151" i="23"/>
  <c r="F151" i="23"/>
  <c r="E151" i="23"/>
  <c r="C151" i="23"/>
  <c r="AB150" i="23"/>
  <c r="Y150" i="23"/>
  <c r="U150" i="23"/>
  <c r="P150" i="23"/>
  <c r="O150" i="23"/>
  <c r="M150" i="23"/>
  <c r="K150" i="23"/>
  <c r="H150" i="23"/>
  <c r="G150" i="23"/>
  <c r="G151" i="23" s="1"/>
  <c r="C150" i="23"/>
  <c r="AB149" i="23"/>
  <c r="Y149" i="23"/>
  <c r="U149" i="23"/>
  <c r="P149" i="23"/>
  <c r="O149" i="23"/>
  <c r="M149" i="23"/>
  <c r="K149" i="23"/>
  <c r="H149" i="23"/>
  <c r="F149" i="23"/>
  <c r="E149" i="23"/>
  <c r="F155" i="23" s="1"/>
  <c r="C149" i="23"/>
  <c r="AB148" i="23"/>
  <c r="Y148" i="23"/>
  <c r="U148" i="23"/>
  <c r="P148" i="23"/>
  <c r="N148" i="23"/>
  <c r="M148" i="23"/>
  <c r="K148" i="23"/>
  <c r="H148" i="23"/>
  <c r="E148" i="23"/>
  <c r="F154" i="23" s="1"/>
  <c r="C148" i="23"/>
  <c r="AB147" i="23"/>
  <c r="Y147" i="23"/>
  <c r="U147" i="23"/>
  <c r="P147" i="23"/>
  <c r="O147" i="23" s="1"/>
  <c r="M147" i="23"/>
  <c r="K147" i="23"/>
  <c r="H147" i="23"/>
  <c r="C147" i="23"/>
  <c r="Z147" i="23" s="1"/>
  <c r="AB146" i="23"/>
  <c r="Y146" i="23"/>
  <c r="U146" i="23"/>
  <c r="P146" i="23"/>
  <c r="O146" i="23" s="1"/>
  <c r="M146" i="23"/>
  <c r="K146" i="23"/>
  <c r="H146" i="23"/>
  <c r="C146" i="23"/>
  <c r="Z146" i="23" s="1"/>
  <c r="AB145" i="23"/>
  <c r="Y145" i="23"/>
  <c r="U145" i="23"/>
  <c r="N145" i="23"/>
  <c r="M145" i="23"/>
  <c r="K145" i="23"/>
  <c r="H145" i="23"/>
  <c r="E145" i="23"/>
  <c r="F147" i="23" s="1"/>
  <c r="C145" i="23"/>
  <c r="Z145" i="23" s="1"/>
  <c r="AB144" i="23"/>
  <c r="U144" i="23"/>
  <c r="M144" i="23"/>
  <c r="K144" i="23"/>
  <c r="H144" i="23"/>
  <c r="F144" i="23"/>
  <c r="E144" i="23"/>
  <c r="F150" i="23" s="1"/>
  <c r="AB143" i="23"/>
  <c r="Y143" i="23"/>
  <c r="U143" i="23"/>
  <c r="N143" i="23"/>
  <c r="M143" i="23"/>
  <c r="K143" i="23"/>
  <c r="H143" i="23"/>
  <c r="F143" i="23"/>
  <c r="C143" i="23"/>
  <c r="Z149" i="23" s="1"/>
  <c r="Y142" i="23"/>
  <c r="M142" i="23"/>
  <c r="K142" i="23"/>
  <c r="H142" i="23"/>
  <c r="G142" i="23"/>
  <c r="X142" i="23" s="1"/>
  <c r="F142" i="23"/>
  <c r="D142" i="23"/>
  <c r="D143" i="23" s="1"/>
  <c r="AB141" i="23"/>
  <c r="W141" i="23"/>
  <c r="U141" i="23"/>
  <c r="M141" i="23"/>
  <c r="K141" i="23"/>
  <c r="H141" i="23"/>
  <c r="G141" i="23"/>
  <c r="X141" i="23" s="1"/>
  <c r="F141" i="23"/>
  <c r="C141" i="23"/>
  <c r="Z141" i="23" s="1"/>
  <c r="AB140" i="23"/>
  <c r="Z140" i="23"/>
  <c r="Y140" i="23"/>
  <c r="U140" i="23"/>
  <c r="M140" i="23"/>
  <c r="K140" i="23"/>
  <c r="H140" i="23"/>
  <c r="F140" i="23"/>
  <c r="D140" i="23"/>
  <c r="W140" i="23" s="1"/>
  <c r="C140" i="23"/>
  <c r="AB139" i="23"/>
  <c r="Y139" i="23"/>
  <c r="W139" i="23"/>
  <c r="P139" i="23"/>
  <c r="M139" i="23"/>
  <c r="K139" i="23"/>
  <c r="H139" i="23"/>
  <c r="F139" i="23"/>
  <c r="D139" i="23"/>
  <c r="X139" i="23" s="1"/>
  <c r="C139" i="23"/>
  <c r="Z139" i="23" s="1"/>
  <c r="B139" i="23"/>
  <c r="C144" i="23" s="1"/>
  <c r="AB138" i="23"/>
  <c r="Y138" i="23"/>
  <c r="W138" i="23"/>
  <c r="U138" i="23"/>
  <c r="M138" i="23"/>
  <c r="K138" i="23"/>
  <c r="H138" i="23"/>
  <c r="F138" i="23"/>
  <c r="D138" i="23"/>
  <c r="X138" i="23" s="1"/>
  <c r="C138" i="23"/>
  <c r="Z138" i="23" s="1"/>
  <c r="AB137" i="23"/>
  <c r="X137" i="23"/>
  <c r="W137" i="23"/>
  <c r="Y137" i="23"/>
  <c r="U137" i="23"/>
  <c r="P137" i="23"/>
  <c r="O137" i="23" s="1"/>
  <c r="M137" i="23"/>
  <c r="K137" i="23"/>
  <c r="H137" i="23"/>
  <c r="F137" i="23"/>
  <c r="C137" i="23"/>
  <c r="Z137" i="23" s="1"/>
  <c r="AB136" i="23"/>
  <c r="Z136" i="23"/>
  <c r="Y136" i="23"/>
  <c r="P136" i="23"/>
  <c r="M136" i="23"/>
  <c r="K136" i="23"/>
  <c r="H136" i="23"/>
  <c r="F136" i="23"/>
  <c r="D136" i="23"/>
  <c r="X136" i="23" s="1"/>
  <c r="C136" i="23"/>
  <c r="AB135" i="23"/>
  <c r="Y135" i="23"/>
  <c r="X135" i="23"/>
  <c r="W135" i="23"/>
  <c r="U135" i="23"/>
  <c r="P135" i="23"/>
  <c r="M135" i="23"/>
  <c r="K135" i="23"/>
  <c r="H135" i="23"/>
  <c r="F135" i="23"/>
  <c r="C135" i="23"/>
  <c r="Z135" i="23" s="1"/>
  <c r="AB134" i="23"/>
  <c r="X134" i="23"/>
  <c r="W134" i="23"/>
  <c r="Y134" i="23"/>
  <c r="U134" i="23"/>
  <c r="P134" i="23"/>
  <c r="M134" i="23"/>
  <c r="K134" i="23"/>
  <c r="H134" i="23"/>
  <c r="F134" i="23"/>
  <c r="C134" i="23"/>
  <c r="AB133" i="23"/>
  <c r="X133" i="23"/>
  <c r="W133" i="23"/>
  <c r="U133" i="23"/>
  <c r="Q133" i="23"/>
  <c r="M133" i="23"/>
  <c r="K133" i="23"/>
  <c r="H133" i="23"/>
  <c r="F133" i="23"/>
  <c r="C133" i="23"/>
  <c r="Z133" i="23" s="1"/>
  <c r="AB132" i="23"/>
  <c r="X132" i="23"/>
  <c r="W132" i="23"/>
  <c r="Y132" i="23"/>
  <c r="Q132" i="23"/>
  <c r="M132" i="23"/>
  <c r="K132" i="23"/>
  <c r="H132" i="23"/>
  <c r="F132" i="23"/>
  <c r="C132" i="23"/>
  <c r="AB131" i="23"/>
  <c r="Z131" i="23"/>
  <c r="X131" i="23"/>
  <c r="W131" i="23"/>
  <c r="Y131" i="23"/>
  <c r="Q131" i="23"/>
  <c r="M131" i="23"/>
  <c r="K131" i="23"/>
  <c r="H131" i="23"/>
  <c r="F131" i="23"/>
  <c r="C131" i="23"/>
  <c r="AB130" i="23"/>
  <c r="Z130" i="23"/>
  <c r="X130" i="23"/>
  <c r="W130" i="23"/>
  <c r="Y130" i="23"/>
  <c r="U130" i="23"/>
  <c r="M130" i="23"/>
  <c r="K130" i="23"/>
  <c r="H130" i="23"/>
  <c r="F130" i="23"/>
  <c r="C130" i="23"/>
  <c r="AB129" i="23"/>
  <c r="Z129" i="23"/>
  <c r="X129" i="23"/>
  <c r="W129" i="23"/>
  <c r="Y129" i="23"/>
  <c r="U129" i="23"/>
  <c r="M129" i="23"/>
  <c r="K129" i="23"/>
  <c r="H129" i="23"/>
  <c r="F129" i="23"/>
  <c r="C129" i="23"/>
  <c r="AB128" i="23"/>
  <c r="Z128" i="23"/>
  <c r="X128" i="23"/>
  <c r="W128" i="23"/>
  <c r="Y128" i="23"/>
  <c r="U128" i="23"/>
  <c r="M128" i="23"/>
  <c r="K128" i="23"/>
  <c r="H128" i="23"/>
  <c r="F128" i="23"/>
  <c r="C128" i="23"/>
  <c r="Z134" i="23" s="1"/>
  <c r="AB127" i="23"/>
  <c r="X127" i="23"/>
  <c r="W127" i="23"/>
  <c r="Y127" i="23"/>
  <c r="U127" i="23"/>
  <c r="P127" i="23"/>
  <c r="M127" i="23"/>
  <c r="K127" i="23"/>
  <c r="H127" i="23"/>
  <c r="F127" i="23"/>
  <c r="C127" i="23"/>
  <c r="AB126" i="23"/>
  <c r="Y126" i="23"/>
  <c r="U126" i="23"/>
  <c r="M126" i="23"/>
  <c r="K126" i="23"/>
  <c r="H126" i="23"/>
  <c r="F126" i="23"/>
  <c r="C126" i="23"/>
  <c r="Z126" i="23" s="1"/>
  <c r="AB125" i="23"/>
  <c r="M125" i="23"/>
  <c r="K125" i="23"/>
  <c r="H125" i="23"/>
  <c r="F125" i="23"/>
  <c r="C125" i="23"/>
  <c r="Z125" i="23" s="1"/>
  <c r="AB124" i="23"/>
  <c r="Z124" i="23"/>
  <c r="Q124" i="23"/>
  <c r="M124" i="23"/>
  <c r="K124" i="23"/>
  <c r="H124" i="23"/>
  <c r="F124" i="23"/>
  <c r="C124" i="23"/>
  <c r="AB123" i="23"/>
  <c r="Y123" i="23"/>
  <c r="P123" i="23"/>
  <c r="O123" i="23"/>
  <c r="M123" i="23"/>
  <c r="K123" i="23"/>
  <c r="H123" i="23"/>
  <c r="F123" i="23"/>
  <c r="D123" i="23"/>
  <c r="C123" i="23"/>
  <c r="Z123" i="23" s="1"/>
  <c r="AB122" i="23"/>
  <c r="Y122" i="23"/>
  <c r="U122" i="23"/>
  <c r="M122" i="23"/>
  <c r="K122" i="23"/>
  <c r="H122" i="23"/>
  <c r="G122" i="23"/>
  <c r="X122" i="23" s="1"/>
  <c r="F122" i="23"/>
  <c r="D122" i="23"/>
  <c r="W122" i="23" s="1"/>
  <c r="C122" i="23"/>
  <c r="Z122" i="23" s="1"/>
  <c r="AB121" i="23"/>
  <c r="X121" i="23"/>
  <c r="W121" i="23"/>
  <c r="U121" i="23"/>
  <c r="P121" i="23"/>
  <c r="M121" i="23"/>
  <c r="K121" i="23"/>
  <c r="H121" i="23"/>
  <c r="F121" i="23"/>
  <c r="C121" i="23"/>
  <c r="Z121" i="23" s="1"/>
  <c r="AB120" i="23"/>
  <c r="Z120" i="23"/>
  <c r="P120" i="23"/>
  <c r="M120" i="23"/>
  <c r="K120" i="23"/>
  <c r="H120" i="23"/>
  <c r="G120" i="23"/>
  <c r="F120" i="23"/>
  <c r="C120" i="23"/>
  <c r="AB119" i="23"/>
  <c r="Y119" i="23"/>
  <c r="M119" i="23"/>
  <c r="K119" i="23"/>
  <c r="H119" i="23"/>
  <c r="G119" i="23"/>
  <c r="X119" i="23" s="1"/>
  <c r="F119" i="23"/>
  <c r="D119" i="23"/>
  <c r="D120" i="23" s="1"/>
  <c r="C119" i="23"/>
  <c r="Z119" i="23" s="1"/>
  <c r="AB118" i="23"/>
  <c r="Y118" i="23"/>
  <c r="X118" i="23"/>
  <c r="W118" i="23"/>
  <c r="U118" i="23"/>
  <c r="M118" i="23"/>
  <c r="K118" i="23"/>
  <c r="H118" i="23"/>
  <c r="F118" i="23"/>
  <c r="C118" i="23"/>
  <c r="Z118" i="23" s="1"/>
  <c r="AB117" i="23"/>
  <c r="X117" i="23"/>
  <c r="W117" i="23"/>
  <c r="U117" i="23"/>
  <c r="M117" i="23"/>
  <c r="K117" i="23"/>
  <c r="H117" i="23"/>
  <c r="F117" i="23"/>
  <c r="C117" i="23"/>
  <c r="Z117" i="23" s="1"/>
  <c r="AB116" i="23"/>
  <c r="Y116" i="23"/>
  <c r="X116" i="23"/>
  <c r="W116" i="23"/>
  <c r="U116" i="23"/>
  <c r="M116" i="23"/>
  <c r="K116" i="23"/>
  <c r="H116" i="23"/>
  <c r="F116" i="23"/>
  <c r="C116" i="23"/>
  <c r="Z116" i="23" s="1"/>
  <c r="AB115" i="23"/>
  <c r="Y115" i="23"/>
  <c r="X115" i="23"/>
  <c r="W115" i="23"/>
  <c r="U115" i="23"/>
  <c r="M115" i="23"/>
  <c r="K115" i="23"/>
  <c r="H115" i="23"/>
  <c r="F115" i="23"/>
  <c r="C115" i="23"/>
  <c r="Z115" i="23" s="1"/>
  <c r="AB114" i="23"/>
  <c r="Y114" i="23"/>
  <c r="U114" i="23"/>
  <c r="M114" i="23"/>
  <c r="K114" i="23"/>
  <c r="H114" i="23"/>
  <c r="G114" i="23"/>
  <c r="X114" i="23" s="1"/>
  <c r="F114" i="23"/>
  <c r="D114" i="23"/>
  <c r="W114" i="23" s="1"/>
  <c r="C114" i="23"/>
  <c r="Z114" i="23" s="1"/>
  <c r="AB113" i="23"/>
  <c r="W113" i="23"/>
  <c r="U113" i="23"/>
  <c r="M113" i="23"/>
  <c r="K113" i="23"/>
  <c r="H113" i="23"/>
  <c r="G113" i="23"/>
  <c r="X113" i="23" s="1"/>
  <c r="F113" i="23"/>
  <c r="C113" i="23"/>
  <c r="Z113" i="23" s="1"/>
  <c r="AB112" i="23"/>
  <c r="X112" i="23"/>
  <c r="W112" i="23"/>
  <c r="U112" i="23"/>
  <c r="M112" i="23"/>
  <c r="K112" i="23"/>
  <c r="H112" i="23"/>
  <c r="F112" i="23"/>
  <c r="C112" i="23"/>
  <c r="Z112" i="23" s="1"/>
  <c r="AB111" i="23"/>
  <c r="Z111" i="23"/>
  <c r="X111" i="23"/>
  <c r="W111" i="23"/>
  <c r="U111" i="23"/>
  <c r="M111" i="23"/>
  <c r="K111" i="23"/>
  <c r="H111" i="23"/>
  <c r="F111" i="23"/>
  <c r="C111" i="23"/>
  <c r="AB110" i="23"/>
  <c r="X110" i="23"/>
  <c r="W110" i="23"/>
  <c r="U110" i="23"/>
  <c r="M110" i="23"/>
  <c r="K110" i="23"/>
  <c r="H110" i="23"/>
  <c r="F110" i="23"/>
  <c r="C110" i="23"/>
  <c r="Z110" i="23" s="1"/>
  <c r="AB109" i="23"/>
  <c r="Z109" i="23"/>
  <c r="X109" i="23"/>
  <c r="W109" i="23"/>
  <c r="U109" i="23"/>
  <c r="M109" i="23"/>
  <c r="K109" i="23"/>
  <c r="H109" i="23"/>
  <c r="F109" i="23"/>
  <c r="C109" i="23"/>
  <c r="AB108" i="23"/>
  <c r="X108" i="23"/>
  <c r="W108" i="23"/>
  <c r="U108" i="23"/>
  <c r="M108" i="23"/>
  <c r="K108" i="23"/>
  <c r="H108" i="23"/>
  <c r="F108" i="23"/>
  <c r="C108" i="23"/>
  <c r="Z108" i="23" s="1"/>
  <c r="AB107" i="23"/>
  <c r="Z107" i="23"/>
  <c r="X107" i="23"/>
  <c r="W107" i="23"/>
  <c r="U107" i="23"/>
  <c r="M107" i="23"/>
  <c r="K107" i="23"/>
  <c r="H107" i="23"/>
  <c r="F107" i="23"/>
  <c r="C107" i="23"/>
  <c r="AB106" i="23"/>
  <c r="X106" i="23"/>
  <c r="W106" i="23"/>
  <c r="U106" i="23"/>
  <c r="M106" i="23"/>
  <c r="K106" i="23"/>
  <c r="H106" i="23"/>
  <c r="F106" i="23"/>
  <c r="C106" i="23"/>
  <c r="Z106" i="23" s="1"/>
  <c r="AB105" i="23"/>
  <c r="Z105" i="23"/>
  <c r="X105" i="23"/>
  <c r="W105" i="23"/>
  <c r="U105" i="23"/>
  <c r="M105" i="23"/>
  <c r="K105" i="23"/>
  <c r="H105" i="23"/>
  <c r="F105" i="23"/>
  <c r="C105" i="23"/>
  <c r="AB104" i="23"/>
  <c r="X104" i="23"/>
  <c r="W104" i="23"/>
  <c r="U104" i="23"/>
  <c r="M104" i="23"/>
  <c r="K104" i="23"/>
  <c r="H104" i="23"/>
  <c r="F104" i="23"/>
  <c r="C104" i="23"/>
  <c r="Z104" i="23" s="1"/>
  <c r="AB103" i="23"/>
  <c r="Z103" i="23"/>
  <c r="X103" i="23"/>
  <c r="W103" i="23"/>
  <c r="U103" i="23"/>
  <c r="M103" i="23"/>
  <c r="K103" i="23"/>
  <c r="H103" i="23"/>
  <c r="F103" i="23"/>
  <c r="C103" i="23"/>
  <c r="AB102" i="23"/>
  <c r="X102" i="23"/>
  <c r="W102" i="23"/>
  <c r="U102" i="23"/>
  <c r="M102" i="23"/>
  <c r="K102" i="23"/>
  <c r="H102" i="23"/>
  <c r="F102" i="23"/>
  <c r="C102" i="23"/>
  <c r="Z102" i="23" s="1"/>
  <c r="AB101" i="23"/>
  <c r="Z101" i="23"/>
  <c r="X101" i="23"/>
  <c r="W101" i="23"/>
  <c r="U101" i="23"/>
  <c r="M101" i="23"/>
  <c r="K101" i="23"/>
  <c r="H101" i="23"/>
  <c r="F101" i="23"/>
  <c r="C101" i="23"/>
  <c r="AB100" i="23"/>
  <c r="X100" i="23"/>
  <c r="W100" i="23"/>
  <c r="U100" i="23"/>
  <c r="M100" i="23"/>
  <c r="K100" i="23"/>
  <c r="H100" i="23"/>
  <c r="F100" i="23"/>
  <c r="C100" i="23"/>
  <c r="Z100" i="23" s="1"/>
  <c r="AB99" i="23"/>
  <c r="Z99" i="23"/>
  <c r="X99" i="23"/>
  <c r="W99" i="23"/>
  <c r="U99" i="23"/>
  <c r="M99" i="23"/>
  <c r="K99" i="23"/>
  <c r="H99" i="23"/>
  <c r="F99" i="23"/>
  <c r="C99" i="23"/>
  <c r="AB98" i="23"/>
  <c r="X98" i="23"/>
  <c r="W98" i="23"/>
  <c r="U98" i="23"/>
  <c r="M98" i="23"/>
  <c r="K98" i="23"/>
  <c r="H98" i="23"/>
  <c r="F98" i="23"/>
  <c r="C98" i="23"/>
  <c r="Z98" i="23" s="1"/>
  <c r="AB97" i="23"/>
  <c r="Z97" i="23"/>
  <c r="X97" i="23"/>
  <c r="W97" i="23"/>
  <c r="U97" i="23"/>
  <c r="M97" i="23"/>
  <c r="K97" i="23"/>
  <c r="H97" i="23"/>
  <c r="F97" i="23"/>
  <c r="C97" i="23"/>
  <c r="AB96" i="23"/>
  <c r="X96" i="23"/>
  <c r="W96" i="23"/>
  <c r="U96" i="23"/>
  <c r="M96" i="23"/>
  <c r="K96" i="23"/>
  <c r="H96" i="23"/>
  <c r="F96" i="23"/>
  <c r="C96" i="23"/>
  <c r="Z96" i="23" s="1"/>
  <c r="AB95" i="23"/>
  <c r="Z95" i="23"/>
  <c r="X95" i="23"/>
  <c r="W95" i="23"/>
  <c r="U95" i="23"/>
  <c r="M95" i="23"/>
  <c r="K95" i="23"/>
  <c r="H95" i="23"/>
  <c r="F95" i="23"/>
  <c r="C95" i="23"/>
  <c r="AB94" i="23"/>
  <c r="X94" i="23"/>
  <c r="W94" i="23"/>
  <c r="U94" i="23"/>
  <c r="M94" i="23"/>
  <c r="K94" i="23"/>
  <c r="H94" i="23"/>
  <c r="F94" i="23"/>
  <c r="C94" i="23"/>
  <c r="Z94" i="23" s="1"/>
  <c r="AB93" i="23"/>
  <c r="Z93" i="23"/>
  <c r="X93" i="23"/>
  <c r="W93" i="23"/>
  <c r="U93" i="23"/>
  <c r="M93" i="23"/>
  <c r="K93" i="23"/>
  <c r="H93" i="23"/>
  <c r="F93" i="23"/>
  <c r="C93" i="23"/>
  <c r="AB92" i="23"/>
  <c r="X92" i="23"/>
  <c r="W92" i="23"/>
  <c r="U92" i="23"/>
  <c r="M92" i="23"/>
  <c r="K92" i="23"/>
  <c r="H92" i="23"/>
  <c r="F92" i="23"/>
  <c r="C92" i="23"/>
  <c r="Z92" i="23" s="1"/>
  <c r="AB91" i="23"/>
  <c r="Z91" i="23"/>
  <c r="X91" i="23"/>
  <c r="W91" i="23"/>
  <c r="U91" i="23"/>
  <c r="M91" i="23"/>
  <c r="K91" i="23"/>
  <c r="H91" i="23"/>
  <c r="F91" i="23"/>
  <c r="C91" i="23"/>
  <c r="AB90" i="23"/>
  <c r="X90" i="23"/>
  <c r="W90" i="23"/>
  <c r="U90" i="23"/>
  <c r="M90" i="23"/>
  <c r="K90" i="23"/>
  <c r="H90" i="23"/>
  <c r="F90" i="23"/>
  <c r="C90" i="23"/>
  <c r="Z90" i="23" s="1"/>
  <c r="AB89" i="23"/>
  <c r="Z89" i="23"/>
  <c r="X89" i="23"/>
  <c r="W89" i="23"/>
  <c r="U89" i="23"/>
  <c r="M89" i="23"/>
  <c r="K89" i="23"/>
  <c r="H89" i="23"/>
  <c r="F89" i="23"/>
  <c r="C89" i="23"/>
  <c r="AB88" i="23"/>
  <c r="X88" i="23"/>
  <c r="W88" i="23"/>
  <c r="U88" i="23"/>
  <c r="M88" i="23"/>
  <c r="K88" i="23"/>
  <c r="H88" i="23"/>
  <c r="F88" i="23"/>
  <c r="C88" i="23"/>
  <c r="Z88" i="23" s="1"/>
  <c r="AB87" i="23"/>
  <c r="Z87" i="23"/>
  <c r="X87" i="23"/>
  <c r="W87" i="23"/>
  <c r="U87" i="23"/>
  <c r="M87" i="23"/>
  <c r="K87" i="23"/>
  <c r="H87" i="23"/>
  <c r="F87" i="23"/>
  <c r="C87" i="23"/>
  <c r="AB86" i="23"/>
  <c r="X86" i="23"/>
  <c r="W86" i="23"/>
  <c r="U86" i="23"/>
  <c r="M86" i="23"/>
  <c r="K86" i="23"/>
  <c r="H86" i="23"/>
  <c r="F86" i="23"/>
  <c r="C86" i="23"/>
  <c r="Z86" i="23" s="1"/>
  <c r="AB85" i="23"/>
  <c r="Z85" i="23"/>
  <c r="X85" i="23"/>
  <c r="W85" i="23"/>
  <c r="U85" i="23"/>
  <c r="M85" i="23"/>
  <c r="K85" i="23"/>
  <c r="H85" i="23"/>
  <c r="F85" i="23"/>
  <c r="C85" i="23"/>
  <c r="AB84" i="23"/>
  <c r="X84" i="23"/>
  <c r="W84" i="23"/>
  <c r="U84" i="23"/>
  <c r="M84" i="23"/>
  <c r="K84" i="23"/>
  <c r="H84" i="23"/>
  <c r="F84" i="23"/>
  <c r="C84" i="23"/>
  <c r="Z84" i="23" s="1"/>
  <c r="AB83" i="23"/>
  <c r="Z83" i="23"/>
  <c r="X83" i="23"/>
  <c r="W83" i="23"/>
  <c r="U83" i="23"/>
  <c r="M83" i="23"/>
  <c r="K83" i="23"/>
  <c r="H83" i="23"/>
  <c r="F83" i="23"/>
  <c r="C83" i="23"/>
  <c r="AB82" i="23"/>
  <c r="X82" i="23"/>
  <c r="W82" i="23"/>
  <c r="U82" i="23"/>
  <c r="M82" i="23"/>
  <c r="K82" i="23"/>
  <c r="H82" i="23"/>
  <c r="F82" i="23"/>
  <c r="C82" i="23"/>
  <c r="Z82" i="23" s="1"/>
  <c r="AB81" i="23"/>
  <c r="Z81" i="23"/>
  <c r="X81" i="23"/>
  <c r="W81" i="23"/>
  <c r="U81" i="23"/>
  <c r="M81" i="23"/>
  <c r="K81" i="23"/>
  <c r="H81" i="23"/>
  <c r="F81" i="23"/>
  <c r="C81" i="23"/>
  <c r="AB80" i="23"/>
  <c r="X80" i="23"/>
  <c r="W80" i="23"/>
  <c r="U80" i="23"/>
  <c r="M80" i="23"/>
  <c r="K80" i="23"/>
  <c r="H80" i="23"/>
  <c r="F80" i="23"/>
  <c r="C80" i="23"/>
  <c r="Z80" i="23" s="1"/>
  <c r="AB79" i="23"/>
  <c r="Z79" i="23"/>
  <c r="X79" i="23"/>
  <c r="W79" i="23"/>
  <c r="U79" i="23"/>
  <c r="M79" i="23"/>
  <c r="K79" i="23"/>
  <c r="H79" i="23"/>
  <c r="F79" i="23"/>
  <c r="C79" i="23"/>
  <c r="AB78" i="23"/>
  <c r="X78" i="23"/>
  <c r="W78" i="23"/>
  <c r="U78" i="23"/>
  <c r="M78" i="23"/>
  <c r="K78" i="23"/>
  <c r="H78" i="23"/>
  <c r="F78" i="23"/>
  <c r="C78" i="23"/>
  <c r="Z78" i="23" s="1"/>
  <c r="AB77" i="23"/>
  <c r="Z77" i="23"/>
  <c r="X77" i="23"/>
  <c r="W77" i="23"/>
  <c r="U77" i="23"/>
  <c r="M77" i="23"/>
  <c r="K77" i="23"/>
  <c r="H77" i="23"/>
  <c r="F77" i="23"/>
  <c r="C77" i="23"/>
  <c r="AB76" i="23"/>
  <c r="X76" i="23"/>
  <c r="W76" i="23"/>
  <c r="U76" i="23"/>
  <c r="M76" i="23"/>
  <c r="K76" i="23"/>
  <c r="H76" i="23"/>
  <c r="F76" i="23"/>
  <c r="C76" i="23"/>
  <c r="Z76" i="23" s="1"/>
  <c r="AB75" i="23"/>
  <c r="Z75" i="23"/>
  <c r="X75" i="23"/>
  <c r="W75" i="23"/>
  <c r="U75" i="23"/>
  <c r="M75" i="23"/>
  <c r="K75" i="23"/>
  <c r="H75" i="23"/>
  <c r="F75" i="23"/>
  <c r="C75" i="23"/>
  <c r="AB74" i="23"/>
  <c r="X74" i="23"/>
  <c r="W74" i="23"/>
  <c r="U74" i="23"/>
  <c r="M74" i="23"/>
  <c r="K74" i="23"/>
  <c r="H74" i="23"/>
  <c r="F74" i="23"/>
  <c r="C74" i="23"/>
  <c r="Z74" i="23" s="1"/>
  <c r="AB73" i="23"/>
  <c r="Z73" i="23"/>
  <c r="X73" i="23"/>
  <c r="W73" i="23"/>
  <c r="U73" i="23"/>
  <c r="M73" i="23"/>
  <c r="K73" i="23"/>
  <c r="H73" i="23"/>
  <c r="F73" i="23"/>
  <c r="C73" i="23"/>
  <c r="AB72" i="23"/>
  <c r="X72" i="23"/>
  <c r="W72" i="23"/>
  <c r="U72" i="23"/>
  <c r="M72" i="23"/>
  <c r="K72" i="23"/>
  <c r="H72" i="23"/>
  <c r="F72" i="23"/>
  <c r="C72" i="23"/>
  <c r="Z72" i="23" s="1"/>
  <c r="AB71" i="23"/>
  <c r="Z71" i="23"/>
  <c r="X71" i="23"/>
  <c r="W71" i="23"/>
  <c r="U71" i="23"/>
  <c r="M71" i="23"/>
  <c r="K71" i="23"/>
  <c r="H71" i="23"/>
  <c r="F71" i="23"/>
  <c r="C71" i="23"/>
  <c r="AB70" i="23"/>
  <c r="X70" i="23"/>
  <c r="W70" i="23"/>
  <c r="U70" i="23"/>
  <c r="M70" i="23"/>
  <c r="K70" i="23"/>
  <c r="H70" i="23"/>
  <c r="F70" i="23"/>
  <c r="C70" i="23"/>
  <c r="Z70" i="23" s="1"/>
  <c r="AB69" i="23"/>
  <c r="Z69" i="23"/>
  <c r="X69" i="23"/>
  <c r="W69" i="23"/>
  <c r="U69" i="23"/>
  <c r="M69" i="23"/>
  <c r="K69" i="23"/>
  <c r="H69" i="23"/>
  <c r="F69" i="23"/>
  <c r="C69" i="23"/>
  <c r="AB68" i="23"/>
  <c r="X68" i="23"/>
  <c r="W68" i="23"/>
  <c r="U68" i="23"/>
  <c r="M68" i="23"/>
  <c r="K68" i="23"/>
  <c r="H68" i="23"/>
  <c r="F68" i="23"/>
  <c r="C68" i="23"/>
  <c r="Z68" i="23" s="1"/>
  <c r="AB67" i="23"/>
  <c r="Z67" i="23"/>
  <c r="X67" i="23"/>
  <c r="W67" i="23"/>
  <c r="U67" i="23"/>
  <c r="M67" i="23"/>
  <c r="K67" i="23"/>
  <c r="H67" i="23"/>
  <c r="F67" i="23"/>
  <c r="C67" i="23"/>
  <c r="AB66" i="23"/>
  <c r="X66" i="23"/>
  <c r="W66" i="23"/>
  <c r="U66" i="23"/>
  <c r="M66" i="23"/>
  <c r="K66" i="23"/>
  <c r="H66" i="23"/>
  <c r="F66" i="23"/>
  <c r="C66" i="23"/>
  <c r="Z66" i="23" s="1"/>
  <c r="AB65" i="23"/>
  <c r="Z65" i="23"/>
  <c r="X65" i="23"/>
  <c r="W65" i="23"/>
  <c r="U65" i="23"/>
  <c r="M65" i="23"/>
  <c r="K65" i="23"/>
  <c r="H65" i="23"/>
  <c r="F65" i="23"/>
  <c r="C65" i="23"/>
  <c r="AB64" i="23"/>
  <c r="X64" i="23"/>
  <c r="W64" i="23"/>
  <c r="U64" i="23"/>
  <c r="M64" i="23"/>
  <c r="K64" i="23"/>
  <c r="H64" i="23"/>
  <c r="F64" i="23"/>
  <c r="C64" i="23"/>
  <c r="Z64" i="23" s="1"/>
  <c r="AB63" i="23"/>
  <c r="X63" i="23"/>
  <c r="W63" i="23"/>
  <c r="U63" i="23"/>
  <c r="M63" i="23"/>
  <c r="K63" i="23"/>
  <c r="H63" i="23"/>
  <c r="F63" i="23"/>
  <c r="C63" i="23"/>
  <c r="AB62" i="23"/>
  <c r="X62" i="23"/>
  <c r="W62" i="23"/>
  <c r="U62" i="23"/>
  <c r="M62" i="23"/>
  <c r="K62" i="23"/>
  <c r="H62" i="23"/>
  <c r="F62" i="23"/>
  <c r="C62" i="23"/>
  <c r="Z62" i="23" s="1"/>
  <c r="AB61" i="23"/>
  <c r="X61" i="23"/>
  <c r="W61" i="23"/>
  <c r="U61" i="23"/>
  <c r="M61" i="23"/>
  <c r="K61" i="23"/>
  <c r="H61" i="23"/>
  <c r="F61" i="23"/>
  <c r="C61" i="23"/>
  <c r="AB60" i="23"/>
  <c r="X60" i="23"/>
  <c r="W60" i="23"/>
  <c r="U60" i="23"/>
  <c r="M60" i="23"/>
  <c r="K60" i="23"/>
  <c r="H60" i="23"/>
  <c r="F60" i="23"/>
  <c r="C60" i="23"/>
  <c r="Z60" i="23" s="1"/>
  <c r="AB59" i="23"/>
  <c r="X59" i="23"/>
  <c r="W59" i="23"/>
  <c r="U59" i="23"/>
  <c r="M59" i="23"/>
  <c r="K59" i="23"/>
  <c r="H59" i="23"/>
  <c r="F59" i="23"/>
  <c r="C59" i="23"/>
  <c r="AB58" i="23"/>
  <c r="X58" i="23"/>
  <c r="W58" i="23"/>
  <c r="U58" i="23"/>
  <c r="M58" i="23"/>
  <c r="K58" i="23"/>
  <c r="H58" i="23"/>
  <c r="F58" i="23"/>
  <c r="C58" i="23"/>
  <c r="X57" i="23"/>
  <c r="W57" i="23"/>
  <c r="U57" i="23"/>
  <c r="M57" i="23"/>
  <c r="K57" i="23"/>
  <c r="H57" i="23"/>
  <c r="F57" i="23"/>
  <c r="C57" i="23"/>
  <c r="Z63" i="23" s="1"/>
  <c r="X56" i="23"/>
  <c r="W56" i="23"/>
  <c r="U56" i="23"/>
  <c r="M56" i="23"/>
  <c r="K56" i="23"/>
  <c r="H56" i="23"/>
  <c r="F56" i="23"/>
  <c r="C56" i="23"/>
  <c r="X55" i="23"/>
  <c r="W55" i="23"/>
  <c r="U55" i="23"/>
  <c r="M55" i="23"/>
  <c r="K55" i="23"/>
  <c r="H55" i="23"/>
  <c r="F55" i="23"/>
  <c r="C55" i="23"/>
  <c r="Z61" i="23" s="1"/>
  <c r="X54" i="23"/>
  <c r="W54" i="23"/>
  <c r="U54" i="23"/>
  <c r="M54" i="23"/>
  <c r="K54" i="23"/>
  <c r="H54" i="23"/>
  <c r="F54" i="23"/>
  <c r="C54" i="23"/>
  <c r="X53" i="23"/>
  <c r="W53" i="23"/>
  <c r="U53" i="23"/>
  <c r="M53" i="23"/>
  <c r="K53" i="23"/>
  <c r="H53" i="23"/>
  <c r="F53" i="23"/>
  <c r="C53" i="23"/>
  <c r="Z59" i="23" s="1"/>
  <c r="X52" i="23"/>
  <c r="W52" i="23"/>
  <c r="U52" i="23"/>
  <c r="M52" i="23"/>
  <c r="K52" i="23"/>
  <c r="H52" i="23"/>
  <c r="F52" i="23"/>
  <c r="C52" i="23"/>
  <c r="X51" i="23"/>
  <c r="W51" i="23"/>
  <c r="U51" i="23"/>
  <c r="M51" i="23"/>
  <c r="K51" i="23"/>
  <c r="H51" i="23"/>
  <c r="F51" i="23"/>
  <c r="C51" i="23"/>
  <c r="X50" i="23"/>
  <c r="W50" i="23"/>
  <c r="U50" i="23"/>
  <c r="M50" i="23"/>
  <c r="K50" i="23"/>
  <c r="H50" i="23"/>
  <c r="F50" i="23"/>
  <c r="C50" i="23"/>
  <c r="X49" i="23"/>
  <c r="W49" i="23"/>
  <c r="U49" i="23"/>
  <c r="M49" i="23"/>
  <c r="K49" i="23"/>
  <c r="H49" i="23"/>
  <c r="F49" i="23"/>
  <c r="C49" i="23"/>
  <c r="X48" i="23"/>
  <c r="W48" i="23"/>
  <c r="U48" i="23"/>
  <c r="M48" i="23"/>
  <c r="K48" i="23"/>
  <c r="H48" i="23"/>
  <c r="F48" i="23"/>
  <c r="C48" i="23"/>
  <c r="X47" i="23"/>
  <c r="W47" i="23"/>
  <c r="U47" i="23"/>
  <c r="M47" i="23"/>
  <c r="K47" i="23"/>
  <c r="H47" i="23"/>
  <c r="F47" i="23"/>
  <c r="C47" i="23"/>
  <c r="X46" i="23"/>
  <c r="W46" i="23"/>
  <c r="U46" i="23"/>
  <c r="M46" i="23"/>
  <c r="K46" i="23"/>
  <c r="H46" i="23"/>
  <c r="F46" i="23"/>
  <c r="C46" i="23"/>
  <c r="X45" i="23"/>
  <c r="W45" i="23"/>
  <c r="U45" i="23"/>
  <c r="M45" i="23"/>
  <c r="K45" i="23"/>
  <c r="H45" i="23"/>
  <c r="F45" i="23"/>
  <c r="C45" i="23"/>
  <c r="X44" i="23"/>
  <c r="W44" i="23"/>
  <c r="U44" i="23"/>
  <c r="M44" i="23"/>
  <c r="K44" i="23"/>
  <c r="H44" i="23"/>
  <c r="F44" i="23"/>
  <c r="C44" i="23"/>
  <c r="X43" i="23"/>
  <c r="W43" i="23"/>
  <c r="U43" i="23"/>
  <c r="M43" i="23"/>
  <c r="K43" i="23"/>
  <c r="H43" i="23"/>
  <c r="F43" i="23"/>
  <c r="C43" i="23"/>
  <c r="X42" i="23"/>
  <c r="W42" i="23"/>
  <c r="U42" i="23"/>
  <c r="M42" i="23"/>
  <c r="K42" i="23"/>
  <c r="H42" i="23"/>
  <c r="F42" i="23"/>
  <c r="C42" i="23"/>
  <c r="X41" i="23"/>
  <c r="W41" i="23"/>
  <c r="U41" i="23"/>
  <c r="M41" i="23"/>
  <c r="K41" i="23"/>
  <c r="H41" i="23"/>
  <c r="F41" i="23"/>
  <c r="C41" i="23"/>
  <c r="X40" i="23"/>
  <c r="W40" i="23"/>
  <c r="U40" i="23"/>
  <c r="M40" i="23"/>
  <c r="K40" i="23"/>
  <c r="H40" i="23"/>
  <c r="F40" i="23"/>
  <c r="C40" i="23"/>
  <c r="X39" i="23"/>
  <c r="W39" i="23"/>
  <c r="U39" i="23"/>
  <c r="M39" i="23"/>
  <c r="K39" i="23"/>
  <c r="H39" i="23"/>
  <c r="F39" i="23"/>
  <c r="C39" i="23"/>
  <c r="X38" i="23"/>
  <c r="W38" i="23"/>
  <c r="U38" i="23"/>
  <c r="M38" i="23"/>
  <c r="K38" i="23"/>
  <c r="H38" i="23"/>
  <c r="F38" i="23"/>
  <c r="C38" i="23"/>
  <c r="X37" i="23"/>
  <c r="W37" i="23"/>
  <c r="U37" i="23"/>
  <c r="M37" i="23"/>
  <c r="K37" i="23"/>
  <c r="H37" i="23"/>
  <c r="F37" i="23"/>
  <c r="C37" i="23"/>
  <c r="X36" i="23"/>
  <c r="W36" i="23"/>
  <c r="U36" i="23"/>
  <c r="H36" i="23"/>
  <c r="X35" i="23"/>
  <c r="W35" i="23"/>
  <c r="U35" i="23"/>
  <c r="H35" i="23"/>
  <c r="X34" i="23"/>
  <c r="W34" i="23"/>
  <c r="U34" i="23"/>
  <c r="H34" i="23"/>
  <c r="X33" i="23"/>
  <c r="W33" i="23"/>
  <c r="U33" i="23"/>
  <c r="H33" i="23"/>
  <c r="X32" i="23"/>
  <c r="W32" i="23"/>
  <c r="U32" i="23"/>
  <c r="H32" i="23"/>
  <c r="X31" i="23"/>
  <c r="W31" i="23"/>
  <c r="U31" i="23"/>
  <c r="H31" i="23"/>
  <c r="X30" i="23"/>
  <c r="W30" i="23"/>
  <c r="U30" i="23"/>
  <c r="H30" i="23"/>
  <c r="X29" i="23"/>
  <c r="W29" i="23"/>
  <c r="U29" i="23"/>
  <c r="H29" i="23"/>
  <c r="X28" i="23"/>
  <c r="W28" i="23"/>
  <c r="U28" i="23"/>
  <c r="H28" i="23"/>
  <c r="X27" i="23"/>
  <c r="W27" i="23"/>
  <c r="U27" i="23"/>
  <c r="H27" i="23"/>
  <c r="X26" i="23"/>
  <c r="W26" i="23"/>
  <c r="U26" i="23"/>
  <c r="H26" i="23"/>
  <c r="X25" i="23"/>
  <c r="W25" i="23"/>
  <c r="U25" i="23"/>
  <c r="H25" i="23"/>
  <c r="X24" i="23"/>
  <c r="W24" i="23"/>
  <c r="U24" i="23"/>
  <c r="H24" i="23"/>
  <c r="X23" i="23"/>
  <c r="W23" i="23"/>
  <c r="U23" i="23"/>
  <c r="H23" i="23"/>
  <c r="X22" i="23"/>
  <c r="W22" i="23"/>
  <c r="U22" i="23"/>
  <c r="H22" i="23"/>
  <c r="X21" i="23"/>
  <c r="W21" i="23"/>
  <c r="U21" i="23"/>
  <c r="H21" i="23"/>
  <c r="X20" i="23"/>
  <c r="W20" i="23"/>
  <c r="U20" i="23"/>
  <c r="H20" i="23"/>
  <c r="X19" i="23"/>
  <c r="W19" i="23"/>
  <c r="U19" i="23"/>
  <c r="H19" i="23"/>
  <c r="X18" i="23"/>
  <c r="W18" i="23"/>
  <c r="U18" i="23"/>
  <c r="H18" i="23"/>
  <c r="X17" i="23"/>
  <c r="W17" i="23"/>
  <c r="U17" i="23"/>
  <c r="H17" i="23"/>
  <c r="X16" i="23"/>
  <c r="W16" i="23"/>
  <c r="H16" i="23"/>
  <c r="X15" i="23"/>
  <c r="W15" i="23"/>
  <c r="H15" i="23"/>
  <c r="X14" i="23"/>
  <c r="W14" i="23"/>
  <c r="H14" i="23"/>
  <c r="H13" i="23"/>
  <c r="H12" i="23"/>
  <c r="H11" i="23"/>
  <c r="H10" i="23"/>
  <c r="H9" i="23"/>
  <c r="H8" i="23"/>
  <c r="H7" i="23"/>
  <c r="H6" i="23"/>
  <c r="H5" i="23"/>
  <c r="H4" i="23"/>
  <c r="H3" i="23"/>
  <c r="H9697" i="3"/>
  <c r="G9697" i="3"/>
  <c r="F9697" i="3"/>
  <c r="H9696" i="3"/>
  <c r="G9696" i="3"/>
  <c r="F9696" i="3"/>
  <c r="H9695" i="3"/>
  <c r="G9695" i="3"/>
  <c r="F9695" i="3"/>
  <c r="H9694" i="3"/>
  <c r="G9694" i="3"/>
  <c r="F9694" i="3"/>
  <c r="H9693" i="3"/>
  <c r="G9693" i="3"/>
  <c r="F9693" i="3"/>
  <c r="H9692" i="3"/>
  <c r="G9692" i="3"/>
  <c r="F9692" i="3"/>
  <c r="H9691" i="3"/>
  <c r="G9691" i="3"/>
  <c r="F9691" i="3"/>
  <c r="H9690" i="3"/>
  <c r="G9690" i="3"/>
  <c r="F9690" i="3"/>
  <c r="H9689" i="3"/>
  <c r="G9689" i="3"/>
  <c r="F9689" i="3"/>
  <c r="H9688" i="3"/>
  <c r="G9688" i="3"/>
  <c r="F9688" i="3"/>
  <c r="H9687" i="3"/>
  <c r="G9687" i="3"/>
  <c r="F9687" i="3"/>
  <c r="H9686" i="3"/>
  <c r="G9686" i="3"/>
  <c r="F9686" i="3"/>
  <c r="H9685" i="3"/>
  <c r="G9685" i="3"/>
  <c r="F9685" i="3"/>
  <c r="H9684" i="3"/>
  <c r="G9684" i="3"/>
  <c r="F9684" i="3"/>
  <c r="H9683" i="3"/>
  <c r="G9683" i="3"/>
  <c r="F9683" i="3"/>
  <c r="H9682" i="3"/>
  <c r="G9682" i="3"/>
  <c r="F9682" i="3"/>
  <c r="H9681" i="3"/>
  <c r="G9681" i="3"/>
  <c r="F9681" i="3"/>
  <c r="H9680" i="3"/>
  <c r="G9680" i="3"/>
  <c r="F9680" i="3"/>
  <c r="H9679" i="3"/>
  <c r="G9679" i="3"/>
  <c r="F9679" i="3"/>
  <c r="H9678" i="3"/>
  <c r="G9678" i="3"/>
  <c r="F9678" i="3"/>
  <c r="H9677" i="3"/>
  <c r="G9677" i="3"/>
  <c r="F9677" i="3"/>
  <c r="H9676" i="3"/>
  <c r="G9676" i="3"/>
  <c r="F9676" i="3"/>
  <c r="H9675" i="3"/>
  <c r="G9675" i="3"/>
  <c r="F9675" i="3"/>
  <c r="H9674" i="3"/>
  <c r="G9674" i="3"/>
  <c r="F9674" i="3"/>
  <c r="D9697" i="3"/>
  <c r="D9696" i="3"/>
  <c r="D9695" i="3"/>
  <c r="D9694" i="3"/>
  <c r="D9693" i="3"/>
  <c r="D9692" i="3"/>
  <c r="D9691" i="3"/>
  <c r="D9690" i="3"/>
  <c r="D9689" i="3"/>
  <c r="D9688" i="3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S405" i="1"/>
  <c r="J405" i="1"/>
  <c r="E405" i="1"/>
  <c r="R405" i="1" s="1"/>
  <c r="F405" i="1"/>
  <c r="C405" i="1"/>
  <c r="T405" i="1" s="1"/>
  <c r="M403" i="1"/>
  <c r="C404" i="1"/>
  <c r="E404" i="1"/>
  <c r="F404" i="1"/>
  <c r="J404" i="1"/>
  <c r="R404" i="1"/>
  <c r="S404" i="1"/>
  <c r="H9673" i="3"/>
  <c r="G9673" i="3"/>
  <c r="F9673" i="3"/>
  <c r="H9672" i="3"/>
  <c r="G9672" i="3"/>
  <c r="F9672" i="3"/>
  <c r="H9671" i="3"/>
  <c r="G9671" i="3"/>
  <c r="F9671" i="3"/>
  <c r="H9670" i="3"/>
  <c r="G9670" i="3"/>
  <c r="F9670" i="3"/>
  <c r="H9669" i="3"/>
  <c r="G9669" i="3"/>
  <c r="F9669" i="3"/>
  <c r="H9668" i="3"/>
  <c r="G9668" i="3"/>
  <c r="F9668" i="3"/>
  <c r="H9667" i="3"/>
  <c r="G9667" i="3"/>
  <c r="F9667" i="3"/>
  <c r="H9666" i="3"/>
  <c r="G9666" i="3"/>
  <c r="F9666" i="3"/>
  <c r="H9665" i="3"/>
  <c r="G9665" i="3"/>
  <c r="F9665" i="3"/>
  <c r="H9664" i="3"/>
  <c r="G9664" i="3"/>
  <c r="F9664" i="3"/>
  <c r="H9663" i="3"/>
  <c r="G9663" i="3"/>
  <c r="F9663" i="3"/>
  <c r="H9662" i="3"/>
  <c r="G9662" i="3"/>
  <c r="F9662" i="3"/>
  <c r="H9661" i="3"/>
  <c r="G9661" i="3"/>
  <c r="F9661" i="3"/>
  <c r="H9660" i="3"/>
  <c r="G9660" i="3"/>
  <c r="F9660" i="3"/>
  <c r="H9659" i="3"/>
  <c r="G9659" i="3"/>
  <c r="F9659" i="3"/>
  <c r="H9658" i="3"/>
  <c r="G9658" i="3"/>
  <c r="F9658" i="3"/>
  <c r="H9657" i="3"/>
  <c r="G9657" i="3"/>
  <c r="F9657" i="3"/>
  <c r="H9656" i="3"/>
  <c r="G9656" i="3"/>
  <c r="F9656" i="3"/>
  <c r="H9655" i="3"/>
  <c r="G9655" i="3"/>
  <c r="F9655" i="3"/>
  <c r="H9654" i="3"/>
  <c r="G9654" i="3"/>
  <c r="F9654" i="3"/>
  <c r="H9653" i="3"/>
  <c r="G9653" i="3"/>
  <c r="F9653" i="3"/>
  <c r="H9652" i="3"/>
  <c r="G9652" i="3"/>
  <c r="F9652" i="3"/>
  <c r="H9651" i="3"/>
  <c r="G9651" i="3"/>
  <c r="F9651" i="3"/>
  <c r="H9650" i="3"/>
  <c r="G9650" i="3"/>
  <c r="F9650" i="3"/>
  <c r="D9673" i="3"/>
  <c r="D9672" i="3"/>
  <c r="D9671" i="3"/>
  <c r="D9670" i="3"/>
  <c r="D9669" i="3"/>
  <c r="D9668" i="3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H9649" i="3"/>
  <c r="G9649" i="3"/>
  <c r="F9649" i="3"/>
  <c r="H9648" i="3"/>
  <c r="G9648" i="3"/>
  <c r="F9648" i="3"/>
  <c r="H9647" i="3"/>
  <c r="G9647" i="3"/>
  <c r="F9647" i="3"/>
  <c r="H9646" i="3"/>
  <c r="G9646" i="3"/>
  <c r="F9646" i="3"/>
  <c r="H9645" i="3"/>
  <c r="G9645" i="3"/>
  <c r="F9645" i="3"/>
  <c r="H9644" i="3"/>
  <c r="G9644" i="3"/>
  <c r="F9644" i="3"/>
  <c r="H9643" i="3"/>
  <c r="G9643" i="3"/>
  <c r="F9643" i="3"/>
  <c r="H9642" i="3"/>
  <c r="G9642" i="3"/>
  <c r="F9642" i="3"/>
  <c r="H9641" i="3"/>
  <c r="G9641" i="3"/>
  <c r="F9641" i="3"/>
  <c r="H9640" i="3"/>
  <c r="G9640" i="3"/>
  <c r="F9640" i="3"/>
  <c r="H9639" i="3"/>
  <c r="G9639" i="3"/>
  <c r="F9639" i="3"/>
  <c r="H9638" i="3"/>
  <c r="G9638" i="3"/>
  <c r="F9638" i="3"/>
  <c r="H9637" i="3"/>
  <c r="G9637" i="3"/>
  <c r="F9637" i="3"/>
  <c r="H9636" i="3"/>
  <c r="G9636" i="3"/>
  <c r="F9636" i="3"/>
  <c r="H9635" i="3"/>
  <c r="G9635" i="3"/>
  <c r="F9635" i="3"/>
  <c r="H9634" i="3"/>
  <c r="G9634" i="3"/>
  <c r="F9634" i="3"/>
  <c r="H9633" i="3"/>
  <c r="G9633" i="3"/>
  <c r="F9633" i="3"/>
  <c r="H9632" i="3"/>
  <c r="G9632" i="3"/>
  <c r="F9632" i="3"/>
  <c r="H9631" i="3"/>
  <c r="G9631" i="3"/>
  <c r="F9631" i="3"/>
  <c r="H9630" i="3"/>
  <c r="G9630" i="3"/>
  <c r="F9630" i="3"/>
  <c r="H9629" i="3"/>
  <c r="G9629" i="3"/>
  <c r="F9629" i="3"/>
  <c r="H9628" i="3"/>
  <c r="G9628" i="3"/>
  <c r="F9628" i="3"/>
  <c r="H9627" i="3"/>
  <c r="G9627" i="3"/>
  <c r="F9627" i="3"/>
  <c r="H9626" i="3"/>
  <c r="G9626" i="3"/>
  <c r="F9626" i="3"/>
  <c r="D9649" i="3"/>
  <c r="D9648" i="3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D9627" i="3"/>
  <c r="D9626" i="3"/>
  <c r="S403" i="1"/>
  <c r="J403" i="1"/>
  <c r="E403" i="1"/>
  <c r="F403" i="1"/>
  <c r="C403" i="1"/>
  <c r="R403" i="1" s="1"/>
  <c r="M395" i="1"/>
  <c r="M396" i="1"/>
  <c r="M397" i="1"/>
  <c r="M398" i="1"/>
  <c r="M399" i="1"/>
  <c r="M400" i="1"/>
  <c r="M401" i="1"/>
  <c r="M402" i="1"/>
  <c r="H9625" i="3"/>
  <c r="G9625" i="3"/>
  <c r="F9625" i="3"/>
  <c r="H9624" i="3"/>
  <c r="G9624" i="3"/>
  <c r="F9624" i="3"/>
  <c r="H9623" i="3"/>
  <c r="G9623" i="3"/>
  <c r="F9623" i="3"/>
  <c r="H9622" i="3"/>
  <c r="G9622" i="3"/>
  <c r="F9622" i="3"/>
  <c r="H9621" i="3"/>
  <c r="G9621" i="3"/>
  <c r="F9621" i="3"/>
  <c r="H9620" i="3"/>
  <c r="G9620" i="3"/>
  <c r="F9620" i="3"/>
  <c r="H9619" i="3"/>
  <c r="G9619" i="3"/>
  <c r="F9619" i="3"/>
  <c r="H9618" i="3"/>
  <c r="G9618" i="3"/>
  <c r="F9618" i="3"/>
  <c r="H9617" i="3"/>
  <c r="G9617" i="3"/>
  <c r="F9617" i="3"/>
  <c r="H9616" i="3"/>
  <c r="G9616" i="3"/>
  <c r="F9616" i="3"/>
  <c r="H9615" i="3"/>
  <c r="G9615" i="3"/>
  <c r="F9615" i="3"/>
  <c r="H9614" i="3"/>
  <c r="G9614" i="3"/>
  <c r="F9614" i="3"/>
  <c r="H9613" i="3"/>
  <c r="G9613" i="3"/>
  <c r="F9613" i="3"/>
  <c r="H9612" i="3"/>
  <c r="G9612" i="3"/>
  <c r="F9612" i="3"/>
  <c r="H9611" i="3"/>
  <c r="G9611" i="3"/>
  <c r="F9611" i="3"/>
  <c r="H9610" i="3"/>
  <c r="G9610" i="3"/>
  <c r="F9610" i="3"/>
  <c r="H9609" i="3"/>
  <c r="G9609" i="3"/>
  <c r="F9609" i="3"/>
  <c r="H9608" i="3"/>
  <c r="G9608" i="3"/>
  <c r="F9608" i="3"/>
  <c r="H9607" i="3"/>
  <c r="G9607" i="3"/>
  <c r="F9607" i="3"/>
  <c r="H9606" i="3"/>
  <c r="G9606" i="3"/>
  <c r="F9606" i="3"/>
  <c r="H9605" i="3"/>
  <c r="G9605" i="3"/>
  <c r="F9605" i="3"/>
  <c r="H9604" i="3"/>
  <c r="G9604" i="3"/>
  <c r="F9604" i="3"/>
  <c r="H9603" i="3"/>
  <c r="G9603" i="3"/>
  <c r="F9603" i="3"/>
  <c r="H9602" i="3"/>
  <c r="G9602" i="3"/>
  <c r="F9602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D9607" i="3"/>
  <c r="D9606" i="3"/>
  <c r="D9605" i="3"/>
  <c r="D9604" i="3"/>
  <c r="D9603" i="3"/>
  <c r="D9602" i="3"/>
  <c r="S402" i="1"/>
  <c r="J402" i="1"/>
  <c r="F402" i="1"/>
  <c r="C402" i="1"/>
  <c r="H9601" i="3"/>
  <c r="G9601" i="3"/>
  <c r="F9601" i="3"/>
  <c r="D9601" i="3"/>
  <c r="H9600" i="3"/>
  <c r="G9600" i="3"/>
  <c r="F9600" i="3"/>
  <c r="D9600" i="3"/>
  <c r="H9599" i="3"/>
  <c r="G9599" i="3"/>
  <c r="F9599" i="3"/>
  <c r="D9599" i="3"/>
  <c r="H9598" i="3"/>
  <c r="G9598" i="3"/>
  <c r="F9598" i="3"/>
  <c r="D9598" i="3"/>
  <c r="H9597" i="3"/>
  <c r="G9597" i="3"/>
  <c r="F9597" i="3"/>
  <c r="D9597" i="3"/>
  <c r="H9596" i="3"/>
  <c r="G9596" i="3"/>
  <c r="F9596" i="3"/>
  <c r="D9596" i="3"/>
  <c r="H9595" i="3"/>
  <c r="G9595" i="3"/>
  <c r="F9595" i="3"/>
  <c r="D9595" i="3"/>
  <c r="H9594" i="3"/>
  <c r="G9594" i="3"/>
  <c r="F9594" i="3"/>
  <c r="D9594" i="3"/>
  <c r="H9593" i="3"/>
  <c r="G9593" i="3"/>
  <c r="F9593" i="3"/>
  <c r="D9593" i="3"/>
  <c r="H9592" i="3"/>
  <c r="G9592" i="3"/>
  <c r="F9592" i="3"/>
  <c r="D9592" i="3"/>
  <c r="H9591" i="3"/>
  <c r="G9591" i="3"/>
  <c r="F9591" i="3"/>
  <c r="D9591" i="3"/>
  <c r="H9590" i="3"/>
  <c r="G9590" i="3"/>
  <c r="F9590" i="3"/>
  <c r="D9590" i="3"/>
  <c r="H9589" i="3"/>
  <c r="G9589" i="3"/>
  <c r="F9589" i="3"/>
  <c r="D9589" i="3"/>
  <c r="H9588" i="3"/>
  <c r="G9588" i="3"/>
  <c r="F9588" i="3"/>
  <c r="D9588" i="3"/>
  <c r="H9587" i="3"/>
  <c r="G9587" i="3"/>
  <c r="F9587" i="3"/>
  <c r="D9587" i="3"/>
  <c r="H9586" i="3"/>
  <c r="G9586" i="3"/>
  <c r="F9586" i="3"/>
  <c r="D9586" i="3"/>
  <c r="H9585" i="3"/>
  <c r="G9585" i="3"/>
  <c r="F9585" i="3"/>
  <c r="D9585" i="3"/>
  <c r="H9584" i="3"/>
  <c r="G9584" i="3"/>
  <c r="F9584" i="3"/>
  <c r="D9584" i="3"/>
  <c r="H9583" i="3"/>
  <c r="G9583" i="3"/>
  <c r="F9583" i="3"/>
  <c r="D9583" i="3"/>
  <c r="H9582" i="3"/>
  <c r="G9582" i="3"/>
  <c r="F9582" i="3"/>
  <c r="D9582" i="3"/>
  <c r="H9581" i="3"/>
  <c r="G9581" i="3"/>
  <c r="F9581" i="3"/>
  <c r="D9581" i="3"/>
  <c r="H9580" i="3"/>
  <c r="G9580" i="3"/>
  <c r="F9580" i="3"/>
  <c r="D9580" i="3"/>
  <c r="H9579" i="3"/>
  <c r="G9579" i="3"/>
  <c r="F9579" i="3"/>
  <c r="D9579" i="3"/>
  <c r="H9578" i="3"/>
  <c r="G9578" i="3"/>
  <c r="F9578" i="3"/>
  <c r="D9578" i="3"/>
  <c r="S401" i="1"/>
  <c r="J401" i="1"/>
  <c r="F401" i="1"/>
  <c r="C401" i="1"/>
  <c r="H9577" i="3"/>
  <c r="G9577" i="3"/>
  <c r="H9576" i="3"/>
  <c r="G9576" i="3"/>
  <c r="H9575" i="3"/>
  <c r="G9575" i="3"/>
  <c r="H9574" i="3"/>
  <c r="G9574" i="3"/>
  <c r="H9573" i="3"/>
  <c r="G9573" i="3"/>
  <c r="H9572" i="3"/>
  <c r="G9572" i="3"/>
  <c r="H9571" i="3"/>
  <c r="G9571" i="3"/>
  <c r="H9570" i="3"/>
  <c r="G9570" i="3"/>
  <c r="H9569" i="3"/>
  <c r="G9569" i="3"/>
  <c r="H9568" i="3"/>
  <c r="G9568" i="3"/>
  <c r="H9567" i="3"/>
  <c r="G9567" i="3"/>
  <c r="H9566" i="3"/>
  <c r="G9566" i="3"/>
  <c r="H9565" i="3"/>
  <c r="G9565" i="3"/>
  <c r="H9564" i="3"/>
  <c r="G9564" i="3"/>
  <c r="H9563" i="3"/>
  <c r="G9563" i="3"/>
  <c r="H9562" i="3"/>
  <c r="G9562" i="3"/>
  <c r="H9561" i="3"/>
  <c r="G9561" i="3"/>
  <c r="H9560" i="3"/>
  <c r="G9560" i="3"/>
  <c r="H9559" i="3"/>
  <c r="G9559" i="3"/>
  <c r="H9558" i="3"/>
  <c r="G9558" i="3"/>
  <c r="H9557" i="3"/>
  <c r="G9557" i="3"/>
  <c r="H9556" i="3"/>
  <c r="G9556" i="3"/>
  <c r="H9555" i="3"/>
  <c r="G9555" i="3"/>
  <c r="H9554" i="3"/>
  <c r="G9554" i="3"/>
  <c r="S400" i="1"/>
  <c r="J400" i="1"/>
  <c r="F400" i="1"/>
  <c r="C400" i="1"/>
  <c r="J399" i="1"/>
  <c r="C399" i="1"/>
  <c r="H9553" i="3"/>
  <c r="G9553" i="3"/>
  <c r="H9552" i="3"/>
  <c r="G9552" i="3"/>
  <c r="H9551" i="3"/>
  <c r="G9551" i="3"/>
  <c r="H9550" i="3"/>
  <c r="G9550" i="3"/>
  <c r="H9549" i="3"/>
  <c r="G9549" i="3"/>
  <c r="H9548" i="3"/>
  <c r="G9548" i="3"/>
  <c r="H9547" i="3"/>
  <c r="G9547" i="3"/>
  <c r="H9546" i="3"/>
  <c r="G9546" i="3"/>
  <c r="H9545" i="3"/>
  <c r="G9545" i="3"/>
  <c r="H9544" i="3"/>
  <c r="G9544" i="3"/>
  <c r="H9543" i="3"/>
  <c r="G9543" i="3"/>
  <c r="H9542" i="3"/>
  <c r="G9542" i="3"/>
  <c r="H9541" i="3"/>
  <c r="G9541" i="3"/>
  <c r="H9540" i="3"/>
  <c r="G9540" i="3"/>
  <c r="H9539" i="3"/>
  <c r="G9539" i="3"/>
  <c r="H9538" i="3"/>
  <c r="G9538" i="3"/>
  <c r="H9537" i="3"/>
  <c r="G9537" i="3"/>
  <c r="H9536" i="3"/>
  <c r="G9536" i="3"/>
  <c r="H9535" i="3"/>
  <c r="G9535" i="3"/>
  <c r="H9534" i="3"/>
  <c r="G9534" i="3"/>
  <c r="H9533" i="3"/>
  <c r="G9533" i="3"/>
  <c r="H9532" i="3"/>
  <c r="G9532" i="3"/>
  <c r="H9531" i="3"/>
  <c r="G9531" i="3"/>
  <c r="H9530" i="3"/>
  <c r="G9530" i="3"/>
  <c r="S399" i="1"/>
  <c r="F399" i="1"/>
  <c r="H9529" i="3"/>
  <c r="G9529" i="3"/>
  <c r="H9528" i="3"/>
  <c r="G9528" i="3"/>
  <c r="H9527" i="3"/>
  <c r="G9527" i="3"/>
  <c r="H9526" i="3"/>
  <c r="G9526" i="3"/>
  <c r="H9525" i="3"/>
  <c r="G9525" i="3"/>
  <c r="H9524" i="3"/>
  <c r="G9524" i="3"/>
  <c r="H9523" i="3"/>
  <c r="G9523" i="3"/>
  <c r="H9522" i="3"/>
  <c r="G9522" i="3"/>
  <c r="H9521" i="3"/>
  <c r="G9521" i="3"/>
  <c r="H9520" i="3"/>
  <c r="G9520" i="3"/>
  <c r="H9519" i="3"/>
  <c r="G9519" i="3"/>
  <c r="H9518" i="3"/>
  <c r="G9518" i="3"/>
  <c r="H9517" i="3"/>
  <c r="G9517" i="3"/>
  <c r="H9516" i="3"/>
  <c r="G9516" i="3"/>
  <c r="H9515" i="3"/>
  <c r="G9515" i="3"/>
  <c r="H9514" i="3"/>
  <c r="G9514" i="3"/>
  <c r="H9513" i="3"/>
  <c r="G9513" i="3"/>
  <c r="H9512" i="3"/>
  <c r="G9512" i="3"/>
  <c r="H9511" i="3"/>
  <c r="G9511" i="3"/>
  <c r="H9510" i="3"/>
  <c r="G9510" i="3"/>
  <c r="H9509" i="3"/>
  <c r="G9509" i="3"/>
  <c r="H9508" i="3"/>
  <c r="G9508" i="3"/>
  <c r="H9507" i="3"/>
  <c r="G9507" i="3"/>
  <c r="H9506" i="3"/>
  <c r="G9506" i="3"/>
  <c r="S398" i="1"/>
  <c r="F398" i="1"/>
  <c r="S397" i="1"/>
  <c r="F397" i="1"/>
  <c r="H9505" i="3"/>
  <c r="G9505" i="3"/>
  <c r="H9504" i="3"/>
  <c r="G9504" i="3"/>
  <c r="H9503" i="3"/>
  <c r="G9503" i="3"/>
  <c r="H9502" i="3"/>
  <c r="G9502" i="3"/>
  <c r="H9501" i="3"/>
  <c r="G9501" i="3"/>
  <c r="H9500" i="3"/>
  <c r="G9500" i="3"/>
  <c r="H9499" i="3"/>
  <c r="G9499" i="3"/>
  <c r="H9498" i="3"/>
  <c r="G9498" i="3"/>
  <c r="H9497" i="3"/>
  <c r="G9497" i="3"/>
  <c r="H9496" i="3"/>
  <c r="G9496" i="3"/>
  <c r="H9495" i="3"/>
  <c r="G9495" i="3"/>
  <c r="H9494" i="3"/>
  <c r="G9494" i="3"/>
  <c r="H9493" i="3"/>
  <c r="G9493" i="3"/>
  <c r="H9492" i="3"/>
  <c r="G9492" i="3"/>
  <c r="H9491" i="3"/>
  <c r="G9491" i="3"/>
  <c r="H9490" i="3"/>
  <c r="G9490" i="3"/>
  <c r="H9489" i="3"/>
  <c r="G9489" i="3"/>
  <c r="H9488" i="3"/>
  <c r="G9488" i="3"/>
  <c r="H9487" i="3"/>
  <c r="G9487" i="3"/>
  <c r="H9486" i="3"/>
  <c r="G9486" i="3"/>
  <c r="H9485" i="3"/>
  <c r="G9485" i="3"/>
  <c r="H9484" i="3"/>
  <c r="G9484" i="3"/>
  <c r="H9483" i="3"/>
  <c r="G9483" i="3"/>
  <c r="H9482" i="3"/>
  <c r="G9482" i="3"/>
  <c r="H9481" i="3"/>
  <c r="G9481" i="3"/>
  <c r="H9480" i="3"/>
  <c r="G9480" i="3"/>
  <c r="H9479" i="3"/>
  <c r="G9479" i="3"/>
  <c r="H9478" i="3"/>
  <c r="G9478" i="3"/>
  <c r="H9477" i="3"/>
  <c r="G9477" i="3"/>
  <c r="H9476" i="3"/>
  <c r="G9476" i="3"/>
  <c r="H9475" i="3"/>
  <c r="G9475" i="3"/>
  <c r="H9474" i="3"/>
  <c r="G9474" i="3"/>
  <c r="H9473" i="3"/>
  <c r="G9473" i="3"/>
  <c r="H9472" i="3"/>
  <c r="G9472" i="3"/>
  <c r="H9471" i="3"/>
  <c r="G9471" i="3"/>
  <c r="H9470" i="3"/>
  <c r="G9470" i="3"/>
  <c r="H9469" i="3"/>
  <c r="G9469" i="3"/>
  <c r="H9468" i="3"/>
  <c r="G9468" i="3"/>
  <c r="H9467" i="3"/>
  <c r="G9467" i="3"/>
  <c r="H9466" i="3"/>
  <c r="G9466" i="3"/>
  <c r="H9465" i="3"/>
  <c r="G9465" i="3"/>
  <c r="H9464" i="3"/>
  <c r="G9464" i="3"/>
  <c r="H9463" i="3"/>
  <c r="G9463" i="3"/>
  <c r="H9462" i="3"/>
  <c r="G9462" i="3"/>
  <c r="H9461" i="3"/>
  <c r="G9461" i="3"/>
  <c r="H9460" i="3"/>
  <c r="G9460" i="3"/>
  <c r="H9459" i="3"/>
  <c r="G9459" i="3"/>
  <c r="H9458" i="3"/>
  <c r="G9458" i="3"/>
  <c r="S396" i="1"/>
  <c r="F396" i="1"/>
  <c r="H9457" i="3"/>
  <c r="G9457" i="3"/>
  <c r="H9456" i="3"/>
  <c r="G9456" i="3"/>
  <c r="H9455" i="3"/>
  <c r="G9455" i="3"/>
  <c r="H9454" i="3"/>
  <c r="G9454" i="3"/>
  <c r="H9453" i="3"/>
  <c r="G9453" i="3"/>
  <c r="H9452" i="3"/>
  <c r="G9452" i="3"/>
  <c r="H9451" i="3"/>
  <c r="G9451" i="3"/>
  <c r="H9450" i="3"/>
  <c r="G9450" i="3"/>
  <c r="H9449" i="3"/>
  <c r="G9449" i="3"/>
  <c r="H9448" i="3"/>
  <c r="G9448" i="3"/>
  <c r="H9447" i="3"/>
  <c r="G9447" i="3"/>
  <c r="H9446" i="3"/>
  <c r="G9446" i="3"/>
  <c r="H9445" i="3"/>
  <c r="G9445" i="3"/>
  <c r="H9444" i="3"/>
  <c r="G9444" i="3"/>
  <c r="H9443" i="3"/>
  <c r="G9443" i="3"/>
  <c r="H9442" i="3"/>
  <c r="G9442" i="3"/>
  <c r="H9441" i="3"/>
  <c r="G9441" i="3"/>
  <c r="H9440" i="3"/>
  <c r="G9440" i="3"/>
  <c r="H9439" i="3"/>
  <c r="G9439" i="3"/>
  <c r="H9438" i="3"/>
  <c r="G9438" i="3"/>
  <c r="H9437" i="3"/>
  <c r="G9437" i="3"/>
  <c r="H9436" i="3"/>
  <c r="G9436" i="3"/>
  <c r="H9435" i="3"/>
  <c r="G9435" i="3"/>
  <c r="H9434" i="3"/>
  <c r="G9434" i="3"/>
  <c r="M393" i="1"/>
  <c r="M394" i="1"/>
  <c r="S395" i="1"/>
  <c r="F395" i="1"/>
  <c r="H9433" i="3"/>
  <c r="G9433" i="3"/>
  <c r="H9432" i="3"/>
  <c r="G9432" i="3"/>
  <c r="H9431" i="3"/>
  <c r="G9431" i="3"/>
  <c r="H9430" i="3"/>
  <c r="G9430" i="3"/>
  <c r="H9429" i="3"/>
  <c r="G9429" i="3"/>
  <c r="H9428" i="3"/>
  <c r="G9428" i="3"/>
  <c r="H9427" i="3"/>
  <c r="G9427" i="3"/>
  <c r="H9426" i="3"/>
  <c r="G9426" i="3"/>
  <c r="H9425" i="3"/>
  <c r="G9425" i="3"/>
  <c r="H9424" i="3"/>
  <c r="G9424" i="3"/>
  <c r="H9423" i="3"/>
  <c r="G9423" i="3"/>
  <c r="H9422" i="3"/>
  <c r="G9422" i="3"/>
  <c r="H9421" i="3"/>
  <c r="G9421" i="3"/>
  <c r="H9420" i="3"/>
  <c r="G9420" i="3"/>
  <c r="H9419" i="3"/>
  <c r="G9419" i="3"/>
  <c r="H9418" i="3"/>
  <c r="G9418" i="3"/>
  <c r="H9417" i="3"/>
  <c r="G9417" i="3"/>
  <c r="H9416" i="3"/>
  <c r="G9416" i="3"/>
  <c r="H9415" i="3"/>
  <c r="G9415" i="3"/>
  <c r="H9414" i="3"/>
  <c r="G9414" i="3"/>
  <c r="H9413" i="3"/>
  <c r="G9413" i="3"/>
  <c r="H9412" i="3"/>
  <c r="G9412" i="3"/>
  <c r="H9411" i="3"/>
  <c r="G9411" i="3"/>
  <c r="H9410" i="3"/>
  <c r="G9410" i="3"/>
  <c r="S394" i="1"/>
  <c r="F394" i="1"/>
  <c r="H9409" i="3"/>
  <c r="G9409" i="3"/>
  <c r="H9408" i="3"/>
  <c r="G9408" i="3"/>
  <c r="H9407" i="3"/>
  <c r="G9407" i="3"/>
  <c r="H9406" i="3"/>
  <c r="G9406" i="3"/>
  <c r="H9405" i="3"/>
  <c r="G9405" i="3"/>
  <c r="H9404" i="3"/>
  <c r="G9404" i="3"/>
  <c r="H9403" i="3"/>
  <c r="G9403" i="3"/>
  <c r="H9402" i="3"/>
  <c r="G9402" i="3"/>
  <c r="H9401" i="3"/>
  <c r="G9401" i="3"/>
  <c r="H9400" i="3"/>
  <c r="G9400" i="3"/>
  <c r="H9399" i="3"/>
  <c r="G9399" i="3"/>
  <c r="H9398" i="3"/>
  <c r="G9398" i="3"/>
  <c r="H9397" i="3"/>
  <c r="G9397" i="3"/>
  <c r="H9396" i="3"/>
  <c r="G9396" i="3"/>
  <c r="H9395" i="3"/>
  <c r="G9395" i="3"/>
  <c r="H9394" i="3"/>
  <c r="G9394" i="3"/>
  <c r="H9393" i="3"/>
  <c r="G9393" i="3"/>
  <c r="H9392" i="3"/>
  <c r="G9392" i="3"/>
  <c r="H9391" i="3"/>
  <c r="G9391" i="3"/>
  <c r="H9390" i="3"/>
  <c r="G9390" i="3"/>
  <c r="H9389" i="3"/>
  <c r="G9389" i="3"/>
  <c r="H9388" i="3"/>
  <c r="G9388" i="3"/>
  <c r="H9387" i="3"/>
  <c r="G9387" i="3"/>
  <c r="H9386" i="3"/>
  <c r="G9386" i="3"/>
  <c r="M391" i="1"/>
  <c r="M392" i="1"/>
  <c r="Y152" i="23" l="1"/>
  <c r="X120" i="23"/>
  <c r="D144" i="23"/>
  <c r="Z150" i="23"/>
  <c r="Z144" i="23"/>
  <c r="W120" i="23"/>
  <c r="U120" i="23"/>
  <c r="G152" i="23"/>
  <c r="W119" i="23"/>
  <c r="U123" i="23"/>
  <c r="Z127" i="23"/>
  <c r="Z132" i="23"/>
  <c r="G155" i="23"/>
  <c r="F156" i="23"/>
  <c r="F170" i="23"/>
  <c r="F172" i="23"/>
  <c r="Z173" i="23"/>
  <c r="Z176" i="23"/>
  <c r="F179" i="23"/>
  <c r="Z180" i="23"/>
  <c r="F183" i="23"/>
  <c r="Z184" i="23"/>
  <c r="F187" i="23"/>
  <c r="Z188" i="23"/>
  <c r="F191" i="23"/>
  <c r="AA192" i="23"/>
  <c r="Z201" i="23"/>
  <c r="AA211" i="23"/>
  <c r="Z211" i="23"/>
  <c r="Z217" i="23"/>
  <c r="AA219" i="23"/>
  <c r="Z219" i="23"/>
  <c r="Z225" i="23"/>
  <c r="AA227" i="23"/>
  <c r="Z227" i="23"/>
  <c r="Z233" i="23"/>
  <c r="AA259" i="23"/>
  <c r="Z259" i="23"/>
  <c r="D124" i="23"/>
  <c r="X140" i="23"/>
  <c r="Z151" i="23"/>
  <c r="Z159" i="23"/>
  <c r="Z160" i="23"/>
  <c r="F164" i="23"/>
  <c r="W136" i="23"/>
  <c r="C142" i="23"/>
  <c r="Z142" i="23" s="1"/>
  <c r="W142" i="23"/>
  <c r="AB142" i="23"/>
  <c r="G143" i="23"/>
  <c r="F152" i="23"/>
  <c r="F165" i="23"/>
  <c r="F168" i="23"/>
  <c r="Z168" i="23"/>
  <c r="F182" i="23"/>
  <c r="F186" i="23"/>
  <c r="F195" i="23"/>
  <c r="F190" i="23"/>
  <c r="F203" i="23"/>
  <c r="AA242" i="23"/>
  <c r="Z242" i="23"/>
  <c r="AA247" i="23"/>
  <c r="Z247" i="23"/>
  <c r="AA263" i="23"/>
  <c r="Z263" i="23"/>
  <c r="U119" i="23"/>
  <c r="G123" i="23"/>
  <c r="W123" i="23" s="1"/>
  <c r="F146" i="23"/>
  <c r="Z152" i="23"/>
  <c r="F157" i="23"/>
  <c r="F163" i="23"/>
  <c r="F166" i="23"/>
  <c r="F169" i="23"/>
  <c r="Z178" i="23"/>
  <c r="Z182" i="23"/>
  <c r="Z186" i="23"/>
  <c r="Z190" i="23"/>
  <c r="Z194" i="23"/>
  <c r="Z195" i="23"/>
  <c r="Z198" i="23"/>
  <c r="Z199" i="23"/>
  <c r="AA202" i="23"/>
  <c r="Z208" i="23"/>
  <c r="AA203" i="23"/>
  <c r="AA207" i="23"/>
  <c r="Z207" i="23"/>
  <c r="Z213" i="23"/>
  <c r="AA215" i="23"/>
  <c r="Z215" i="23"/>
  <c r="Z221" i="23"/>
  <c r="AA223" i="23"/>
  <c r="Z223" i="23"/>
  <c r="Z229" i="23"/>
  <c r="Z237" i="23"/>
  <c r="AA231" i="23"/>
  <c r="Z231" i="23"/>
  <c r="AA233" i="23"/>
  <c r="AA251" i="23"/>
  <c r="Z251" i="23"/>
  <c r="AA267" i="23"/>
  <c r="Z267" i="23"/>
  <c r="Z143" i="23"/>
  <c r="F145" i="23"/>
  <c r="F148" i="23"/>
  <c r="F153" i="23"/>
  <c r="F193" i="23"/>
  <c r="F197" i="23"/>
  <c r="Z205" i="23"/>
  <c r="F207" i="23"/>
  <c r="AA255" i="23"/>
  <c r="Z255" i="23"/>
  <c r="AA271" i="23"/>
  <c r="Z271" i="23"/>
  <c r="AA210" i="23"/>
  <c r="AA214" i="23"/>
  <c r="AA218" i="23"/>
  <c r="AA222" i="23"/>
  <c r="AA226" i="23"/>
  <c r="AA230" i="23"/>
  <c r="Z236" i="23"/>
  <c r="AA238" i="23"/>
  <c r="Z238" i="23"/>
  <c r="Z239" i="23"/>
  <c r="Z244" i="23"/>
  <c r="AA249" i="23"/>
  <c r="Z249" i="23"/>
  <c r="AA253" i="23"/>
  <c r="Z253" i="23"/>
  <c r="AA257" i="23"/>
  <c r="Z257" i="23"/>
  <c r="AA261" i="23"/>
  <c r="Z261" i="23"/>
  <c r="AA265" i="23"/>
  <c r="Z265" i="23"/>
  <c r="AA269" i="23"/>
  <c r="Z269" i="23"/>
  <c r="AA273" i="23"/>
  <c r="Z273" i="23"/>
  <c r="Z204" i="23"/>
  <c r="Z212" i="23"/>
  <c r="Z216" i="23"/>
  <c r="Z220" i="23"/>
  <c r="Z224" i="23"/>
  <c r="Z228" i="23"/>
  <c r="Z235" i="23"/>
  <c r="Z241" i="23"/>
  <c r="AA246" i="23"/>
  <c r="Z246" i="23"/>
  <c r="AA250" i="23"/>
  <c r="Z250" i="23"/>
  <c r="AA254" i="23"/>
  <c r="Z254" i="23"/>
  <c r="AA258" i="23"/>
  <c r="Z258" i="23"/>
  <c r="AA262" i="23"/>
  <c r="Z262" i="23"/>
  <c r="AA266" i="23"/>
  <c r="Z266" i="23"/>
  <c r="AA270" i="23"/>
  <c r="Z270" i="23"/>
  <c r="Z234" i="23"/>
  <c r="AA235" i="23"/>
  <c r="AA248" i="23"/>
  <c r="Z248" i="23"/>
  <c r="AA252" i="23"/>
  <c r="Z252" i="23"/>
  <c r="AA256" i="23"/>
  <c r="Z256" i="23"/>
  <c r="AA260" i="23"/>
  <c r="Z260" i="23"/>
  <c r="AA264" i="23"/>
  <c r="Z264" i="23"/>
  <c r="AA268" i="23"/>
  <c r="Z268" i="23"/>
  <c r="AA272" i="23"/>
  <c r="Z272" i="23"/>
  <c r="Z281" i="23"/>
  <c r="Z283" i="23"/>
  <c r="Z284" i="23"/>
  <c r="Z288" i="23"/>
  <c r="Z299" i="23"/>
  <c r="Z309" i="23"/>
  <c r="Z314" i="23"/>
  <c r="Z317" i="23"/>
  <c r="Z362" i="23"/>
  <c r="AA362" i="23"/>
  <c r="Z245" i="23"/>
  <c r="Z274" i="23"/>
  <c r="Z275" i="23"/>
  <c r="Z276" i="23"/>
  <c r="Z277" i="23"/>
  <c r="Z279" i="23"/>
  <c r="Z280" i="23"/>
  <c r="Z285" i="23"/>
  <c r="Z293" i="23"/>
  <c r="Z301" i="23"/>
  <c r="AA308" i="23"/>
  <c r="Z319" i="23"/>
  <c r="AA326" i="23"/>
  <c r="AA328" i="23"/>
  <c r="AA330" i="23"/>
  <c r="Z332" i="23"/>
  <c r="AA332" i="23"/>
  <c r="AA334" i="23"/>
  <c r="Z334" i="23"/>
  <c r="AA384" i="23"/>
  <c r="Z384" i="23"/>
  <c r="Z278" i="23"/>
  <c r="Z282" i="23"/>
  <c r="Z287" i="23"/>
  <c r="Z295" i="23"/>
  <c r="Z303" i="23"/>
  <c r="Z313" i="23"/>
  <c r="Z321" i="23"/>
  <c r="AA335" i="23"/>
  <c r="Z335" i="23"/>
  <c r="AA282" i="23"/>
  <c r="AA285" i="23"/>
  <c r="Z289" i="23"/>
  <c r="Z297" i="23"/>
  <c r="Z305" i="23"/>
  <c r="Z307" i="23"/>
  <c r="AA307" i="23"/>
  <c r="Z315" i="23"/>
  <c r="Z323" i="23"/>
  <c r="Z325" i="23"/>
  <c r="AA325" i="23"/>
  <c r="Z327" i="23"/>
  <c r="AA327" i="23"/>
  <c r="Z329" i="23"/>
  <c r="AA329" i="23"/>
  <c r="Z331" i="23"/>
  <c r="AA331" i="23"/>
  <c r="Z333" i="23"/>
  <c r="AA333" i="23"/>
  <c r="Z336" i="23"/>
  <c r="AA336" i="23"/>
  <c r="O399" i="23"/>
  <c r="N399" i="23"/>
  <c r="N400" i="23" s="1"/>
  <c r="N401" i="23" s="1"/>
  <c r="N402" i="23" s="1"/>
  <c r="N403" i="23" s="1"/>
  <c r="N404" i="23" s="1"/>
  <c r="N405" i="23" s="1"/>
  <c r="Z338" i="23"/>
  <c r="AA338" i="23"/>
  <c r="Z340" i="23"/>
  <c r="AA340" i="23"/>
  <c r="Z342" i="23"/>
  <c r="AA342" i="23"/>
  <c r="Z344" i="23"/>
  <c r="AA344" i="23"/>
  <c r="Z346" i="23"/>
  <c r="AA346" i="23"/>
  <c r="Z348" i="23"/>
  <c r="AA348" i="23"/>
  <c r="Z350" i="23"/>
  <c r="Z352" i="23"/>
  <c r="Z354" i="23"/>
  <c r="AA388" i="23"/>
  <c r="Z388" i="23"/>
  <c r="Z337" i="23"/>
  <c r="AA337" i="23"/>
  <c r="Z339" i="23"/>
  <c r="AA339" i="23"/>
  <c r="Z341" i="23"/>
  <c r="AA341" i="23"/>
  <c r="Z343" i="23"/>
  <c r="AA343" i="23"/>
  <c r="Z345" i="23"/>
  <c r="AA345" i="23"/>
  <c r="Z347" i="23"/>
  <c r="AA347" i="23"/>
  <c r="Z349" i="23"/>
  <c r="Z351" i="23"/>
  <c r="Z353" i="23"/>
  <c r="Z355" i="23"/>
  <c r="Z360" i="23"/>
  <c r="AA360" i="23"/>
  <c r="AA382" i="23"/>
  <c r="Z382" i="23"/>
  <c r="AA400" i="23"/>
  <c r="Z400" i="23"/>
  <c r="Z359" i="23"/>
  <c r="Z363" i="23"/>
  <c r="AA363" i="23"/>
  <c r="Z365" i="23"/>
  <c r="AA365" i="23"/>
  <c r="Z367" i="23"/>
  <c r="AA367" i="23"/>
  <c r="AC383" i="23"/>
  <c r="Z369" i="23"/>
  <c r="AA369" i="23"/>
  <c r="AC402" i="23"/>
  <c r="AA404" i="23"/>
  <c r="AA393" i="23"/>
  <c r="Z393" i="23"/>
  <c r="Z358" i="23"/>
  <c r="AA358" i="23"/>
  <c r="Z361" i="23"/>
  <c r="Z364" i="23"/>
  <c r="AA364" i="23"/>
  <c r="Z372" i="23"/>
  <c r="Z366" i="23"/>
  <c r="AA366" i="23"/>
  <c r="Z374" i="23"/>
  <c r="Z368" i="23"/>
  <c r="AA368" i="23"/>
  <c r="Z376" i="23"/>
  <c r="Z370" i="23"/>
  <c r="AA370" i="23"/>
  <c r="Z373" i="23"/>
  <c r="AC377" i="23"/>
  <c r="AC379" i="23"/>
  <c r="AC382" i="23"/>
  <c r="AA383" i="23"/>
  <c r="Z383" i="23"/>
  <c r="AC384" i="23"/>
  <c r="Z387" i="23"/>
  <c r="AA389" i="23"/>
  <c r="Z390" i="23"/>
  <c r="AC397" i="23"/>
  <c r="Z398" i="23"/>
  <c r="Z401" i="23"/>
  <c r="AA402" i="23"/>
  <c r="AC381" i="23"/>
  <c r="Z385" i="23"/>
  <c r="Z392" i="23"/>
  <c r="Z394" i="23"/>
  <c r="AC396" i="23"/>
  <c r="AC398" i="23"/>
  <c r="Z399" i="23"/>
  <c r="AC401" i="23"/>
  <c r="R401" i="23"/>
  <c r="AA401" i="23"/>
  <c r="Z389" i="23"/>
  <c r="Z402" i="23"/>
  <c r="Z404" i="23"/>
  <c r="T404" i="1"/>
  <c r="T403" i="1"/>
  <c r="F393" i="1"/>
  <c r="S393" i="1"/>
  <c r="D125" i="23" l="1"/>
  <c r="U124" i="23"/>
  <c r="W124" i="23"/>
  <c r="X123" i="23"/>
  <c r="G124" i="23"/>
  <c r="Z148" i="23"/>
  <c r="D145" i="23"/>
  <c r="G144" i="23"/>
  <c r="W144" i="23" s="1"/>
  <c r="X143" i="23"/>
  <c r="G156" i="23"/>
  <c r="W143" i="23"/>
  <c r="H9385" i="3"/>
  <c r="G9385" i="3"/>
  <c r="H9384" i="3"/>
  <c r="G9384" i="3"/>
  <c r="H9383" i="3"/>
  <c r="G9383" i="3"/>
  <c r="H9382" i="3"/>
  <c r="G9382" i="3"/>
  <c r="H9381" i="3"/>
  <c r="G9381" i="3"/>
  <c r="H9380" i="3"/>
  <c r="G9380" i="3"/>
  <c r="H9379" i="3"/>
  <c r="G9379" i="3"/>
  <c r="H9378" i="3"/>
  <c r="G9378" i="3"/>
  <c r="H9377" i="3"/>
  <c r="G9377" i="3"/>
  <c r="H9376" i="3"/>
  <c r="G9376" i="3"/>
  <c r="H9375" i="3"/>
  <c r="G9375" i="3"/>
  <c r="H9374" i="3"/>
  <c r="G9374" i="3"/>
  <c r="H9373" i="3"/>
  <c r="G9373" i="3"/>
  <c r="H9372" i="3"/>
  <c r="G9372" i="3"/>
  <c r="H9371" i="3"/>
  <c r="G9371" i="3"/>
  <c r="H9370" i="3"/>
  <c r="G9370" i="3"/>
  <c r="H9369" i="3"/>
  <c r="G9369" i="3"/>
  <c r="H9368" i="3"/>
  <c r="G9368" i="3"/>
  <c r="H9367" i="3"/>
  <c r="G9367" i="3"/>
  <c r="H9366" i="3"/>
  <c r="G9366" i="3"/>
  <c r="H9365" i="3"/>
  <c r="G9365" i="3"/>
  <c r="H9364" i="3"/>
  <c r="G9364" i="3"/>
  <c r="H9363" i="3"/>
  <c r="G9363" i="3"/>
  <c r="H9362" i="3"/>
  <c r="G9362" i="3"/>
  <c r="S392" i="1"/>
  <c r="F392" i="1"/>
  <c r="H9361" i="3"/>
  <c r="G9361" i="3"/>
  <c r="H9360" i="3"/>
  <c r="G9360" i="3"/>
  <c r="H9359" i="3"/>
  <c r="G9359" i="3"/>
  <c r="H9358" i="3"/>
  <c r="G9358" i="3"/>
  <c r="H9357" i="3"/>
  <c r="G9357" i="3"/>
  <c r="H9356" i="3"/>
  <c r="G9356" i="3"/>
  <c r="H9355" i="3"/>
  <c r="G9355" i="3"/>
  <c r="H9354" i="3"/>
  <c r="G9354" i="3"/>
  <c r="H9353" i="3"/>
  <c r="G9353" i="3"/>
  <c r="H9352" i="3"/>
  <c r="G9352" i="3"/>
  <c r="H9351" i="3"/>
  <c r="G9351" i="3"/>
  <c r="H9350" i="3"/>
  <c r="G9350" i="3"/>
  <c r="H9349" i="3"/>
  <c r="G9349" i="3"/>
  <c r="H9348" i="3"/>
  <c r="G9348" i="3"/>
  <c r="H9347" i="3"/>
  <c r="G9347" i="3"/>
  <c r="H9346" i="3"/>
  <c r="G9346" i="3"/>
  <c r="H9345" i="3"/>
  <c r="G9345" i="3"/>
  <c r="H9344" i="3"/>
  <c r="G9344" i="3"/>
  <c r="H9343" i="3"/>
  <c r="G9343" i="3"/>
  <c r="H9342" i="3"/>
  <c r="G9342" i="3"/>
  <c r="H9341" i="3"/>
  <c r="G9341" i="3"/>
  <c r="H9340" i="3"/>
  <c r="G9340" i="3"/>
  <c r="H9339" i="3"/>
  <c r="G9339" i="3"/>
  <c r="H9338" i="3"/>
  <c r="G9338" i="3"/>
  <c r="M389" i="1"/>
  <c r="M390" i="1"/>
  <c r="S391" i="1"/>
  <c r="F391" i="1"/>
  <c r="T26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" i="15"/>
  <c r="S26" i="15"/>
  <c r="R26" i="15"/>
  <c r="Q26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" i="15"/>
  <c r="N26" i="15"/>
  <c r="O5" i="15"/>
  <c r="O9" i="15"/>
  <c r="O13" i="15"/>
  <c r="O17" i="15"/>
  <c r="O21" i="15"/>
  <c r="O25" i="15"/>
  <c r="L3" i="15"/>
  <c r="O3" i="15" s="1"/>
  <c r="L4" i="15"/>
  <c r="O4" i="15" s="1"/>
  <c r="L5" i="15"/>
  <c r="L6" i="15"/>
  <c r="O6" i="15" s="1"/>
  <c r="L7" i="15"/>
  <c r="O7" i="15" s="1"/>
  <c r="L8" i="15"/>
  <c r="O8" i="15" s="1"/>
  <c r="L9" i="15"/>
  <c r="L10" i="15"/>
  <c r="O10" i="15" s="1"/>
  <c r="L11" i="15"/>
  <c r="O11" i="15" s="1"/>
  <c r="L12" i="15"/>
  <c r="O12" i="15" s="1"/>
  <c r="L13" i="15"/>
  <c r="L14" i="15"/>
  <c r="O14" i="15" s="1"/>
  <c r="L15" i="15"/>
  <c r="O15" i="15" s="1"/>
  <c r="L16" i="15"/>
  <c r="O16" i="15" s="1"/>
  <c r="L17" i="15"/>
  <c r="L18" i="15"/>
  <c r="O18" i="15" s="1"/>
  <c r="L19" i="15"/>
  <c r="O19" i="15" s="1"/>
  <c r="L20" i="15"/>
  <c r="O20" i="15" s="1"/>
  <c r="L21" i="15"/>
  <c r="L22" i="15"/>
  <c r="O22" i="15" s="1"/>
  <c r="L23" i="15"/>
  <c r="O23" i="15" s="1"/>
  <c r="L24" i="15"/>
  <c r="O24" i="15" s="1"/>
  <c r="L25" i="15"/>
  <c r="L26" i="15"/>
  <c r="O26" i="15" s="1"/>
  <c r="L2" i="15"/>
  <c r="O2" i="15" s="1"/>
  <c r="H9337" i="3"/>
  <c r="G9337" i="3"/>
  <c r="H9336" i="3"/>
  <c r="G9336" i="3"/>
  <c r="H9335" i="3"/>
  <c r="G9335" i="3"/>
  <c r="H9334" i="3"/>
  <c r="G9334" i="3"/>
  <c r="H9333" i="3"/>
  <c r="G9333" i="3"/>
  <c r="H9332" i="3"/>
  <c r="G9332" i="3"/>
  <c r="H9331" i="3"/>
  <c r="G9331" i="3"/>
  <c r="H9330" i="3"/>
  <c r="G9330" i="3"/>
  <c r="H9329" i="3"/>
  <c r="G9329" i="3"/>
  <c r="H9328" i="3"/>
  <c r="G9328" i="3"/>
  <c r="H9327" i="3"/>
  <c r="G9327" i="3"/>
  <c r="H9326" i="3"/>
  <c r="G9326" i="3"/>
  <c r="H9325" i="3"/>
  <c r="G9325" i="3"/>
  <c r="H9324" i="3"/>
  <c r="G9324" i="3"/>
  <c r="H9323" i="3"/>
  <c r="G9323" i="3"/>
  <c r="H9322" i="3"/>
  <c r="G9322" i="3"/>
  <c r="H9321" i="3"/>
  <c r="G9321" i="3"/>
  <c r="H9320" i="3"/>
  <c r="G9320" i="3"/>
  <c r="H9319" i="3"/>
  <c r="G9319" i="3"/>
  <c r="H9318" i="3"/>
  <c r="G9318" i="3"/>
  <c r="H9317" i="3"/>
  <c r="G9317" i="3"/>
  <c r="H9316" i="3"/>
  <c r="G9316" i="3"/>
  <c r="H9315" i="3"/>
  <c r="G9315" i="3"/>
  <c r="H9314" i="3"/>
  <c r="G9314" i="3"/>
  <c r="S390" i="1"/>
  <c r="J169" i="1"/>
  <c r="J388" i="1"/>
  <c r="J387" i="1" s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370" i="1" s="1"/>
  <c r="J369" i="1" s="1"/>
  <c r="J368" i="1" s="1"/>
  <c r="J367" i="1" s="1"/>
  <c r="J366" i="1" s="1"/>
  <c r="J365" i="1" s="1"/>
  <c r="J364" i="1" s="1"/>
  <c r="J363" i="1" s="1"/>
  <c r="J362" i="1" s="1"/>
  <c r="J361" i="1" s="1"/>
  <c r="J360" i="1" s="1"/>
  <c r="J359" i="1" s="1"/>
  <c r="J358" i="1" s="1"/>
  <c r="J357" i="1" s="1"/>
  <c r="J356" i="1" s="1"/>
  <c r="J355" i="1" s="1"/>
  <c r="J354" i="1" s="1"/>
  <c r="J353" i="1" s="1"/>
  <c r="J352" i="1" s="1"/>
  <c r="J351" i="1" s="1"/>
  <c r="J350" i="1" s="1"/>
  <c r="J349" i="1" s="1"/>
  <c r="J348" i="1" s="1"/>
  <c r="J347" i="1" s="1"/>
  <c r="J346" i="1" s="1"/>
  <c r="J345" i="1" s="1"/>
  <c r="J344" i="1" s="1"/>
  <c r="J343" i="1" s="1"/>
  <c r="J342" i="1" s="1"/>
  <c r="J341" i="1" s="1"/>
  <c r="J340" i="1" s="1"/>
  <c r="J339" i="1" s="1"/>
  <c r="J338" i="1" s="1"/>
  <c r="J337" i="1" s="1"/>
  <c r="J336" i="1" s="1"/>
  <c r="J335" i="1" s="1"/>
  <c r="J334" i="1" s="1"/>
  <c r="J333" i="1" s="1"/>
  <c r="J332" i="1" s="1"/>
  <c r="J331" i="1" s="1"/>
  <c r="J330" i="1" s="1"/>
  <c r="J329" i="1" s="1"/>
  <c r="J328" i="1" s="1"/>
  <c r="J327" i="1" s="1"/>
  <c r="J326" i="1" s="1"/>
  <c r="J325" i="1" s="1"/>
  <c r="J324" i="1" s="1"/>
  <c r="J323" i="1" s="1"/>
  <c r="J322" i="1" s="1"/>
  <c r="J321" i="1" s="1"/>
  <c r="J320" i="1" s="1"/>
  <c r="J319" i="1" s="1"/>
  <c r="J318" i="1" s="1"/>
  <c r="J317" i="1" s="1"/>
  <c r="J316" i="1" s="1"/>
  <c r="J315" i="1" s="1"/>
  <c r="J314" i="1" s="1"/>
  <c r="J313" i="1" s="1"/>
  <c r="J312" i="1" s="1"/>
  <c r="J311" i="1" s="1"/>
  <c r="J310" i="1" s="1"/>
  <c r="J309" i="1" s="1"/>
  <c r="J308" i="1" s="1"/>
  <c r="J307" i="1" s="1"/>
  <c r="J306" i="1" s="1"/>
  <c r="J305" i="1" s="1"/>
  <c r="J304" i="1" s="1"/>
  <c r="J303" i="1" s="1"/>
  <c r="J302" i="1" s="1"/>
  <c r="J301" i="1" s="1"/>
  <c r="J300" i="1" s="1"/>
  <c r="J299" i="1" s="1"/>
  <c r="J298" i="1" s="1"/>
  <c r="J297" i="1" s="1"/>
  <c r="J296" i="1" s="1"/>
  <c r="J295" i="1" s="1"/>
  <c r="J294" i="1" s="1"/>
  <c r="J293" i="1" s="1"/>
  <c r="J292" i="1" s="1"/>
  <c r="J291" i="1" s="1"/>
  <c r="J290" i="1" s="1"/>
  <c r="J289" i="1" s="1"/>
  <c r="J288" i="1" s="1"/>
  <c r="J287" i="1" s="1"/>
  <c r="J286" i="1" s="1"/>
  <c r="J285" i="1" s="1"/>
  <c r="J284" i="1" s="1"/>
  <c r="J283" i="1" s="1"/>
  <c r="J282" i="1" s="1"/>
  <c r="J281" i="1" s="1"/>
  <c r="J280" i="1" s="1"/>
  <c r="J279" i="1" s="1"/>
  <c r="J278" i="1" s="1"/>
  <c r="J277" i="1" s="1"/>
  <c r="J276" i="1" s="1"/>
  <c r="J275" i="1" s="1"/>
  <c r="J274" i="1" s="1"/>
  <c r="J273" i="1" s="1"/>
  <c r="J272" i="1" s="1"/>
  <c r="J271" i="1" s="1"/>
  <c r="J270" i="1" s="1"/>
  <c r="J269" i="1" s="1"/>
  <c r="J268" i="1" s="1"/>
  <c r="J267" i="1" s="1"/>
  <c r="J266" i="1" s="1"/>
  <c r="J265" i="1" s="1"/>
  <c r="J264" i="1" s="1"/>
  <c r="J263" i="1" s="1"/>
  <c r="J262" i="1" s="1"/>
  <c r="J261" i="1" s="1"/>
  <c r="J260" i="1" s="1"/>
  <c r="J259" i="1" s="1"/>
  <c r="J258" i="1" s="1"/>
  <c r="J257" i="1" s="1"/>
  <c r="J256" i="1" s="1"/>
  <c r="J255" i="1" s="1"/>
  <c r="J254" i="1" s="1"/>
  <c r="J253" i="1" s="1"/>
  <c r="J252" i="1" s="1"/>
  <c r="J251" i="1" s="1"/>
  <c r="J250" i="1" s="1"/>
  <c r="J249" i="1" s="1"/>
  <c r="J248" i="1" s="1"/>
  <c r="J247" i="1" s="1"/>
  <c r="J246" i="1" s="1"/>
  <c r="J245" i="1" s="1"/>
  <c r="J244" i="1" s="1"/>
  <c r="J243" i="1" s="1"/>
  <c r="J242" i="1" s="1"/>
  <c r="J241" i="1" s="1"/>
  <c r="J240" i="1" s="1"/>
  <c r="J239" i="1" s="1"/>
  <c r="J238" i="1" s="1"/>
  <c r="J237" i="1" s="1"/>
  <c r="J236" i="1" s="1"/>
  <c r="J235" i="1" s="1"/>
  <c r="J234" i="1" s="1"/>
  <c r="J233" i="1" s="1"/>
  <c r="J232" i="1" s="1"/>
  <c r="J231" i="1" s="1"/>
  <c r="J230" i="1" s="1"/>
  <c r="J229" i="1" s="1"/>
  <c r="J228" i="1" s="1"/>
  <c r="J227" i="1" s="1"/>
  <c r="J226" i="1" s="1"/>
  <c r="J225" i="1" s="1"/>
  <c r="J224" i="1" s="1"/>
  <c r="J223" i="1" s="1"/>
  <c r="J222" i="1" s="1"/>
  <c r="J221" i="1" s="1"/>
  <c r="J220" i="1" s="1"/>
  <c r="J219" i="1" s="1"/>
  <c r="J218" i="1" s="1"/>
  <c r="J217" i="1" s="1"/>
  <c r="J216" i="1" s="1"/>
  <c r="J215" i="1" s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198" i="1" s="1"/>
  <c r="J197" i="1" s="1"/>
  <c r="J196" i="1" s="1"/>
  <c r="J195" i="1" s="1"/>
  <c r="J194" i="1" s="1"/>
  <c r="J193" i="1" s="1"/>
  <c r="J192" i="1" s="1"/>
  <c r="J191" i="1" s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74" i="1" s="1"/>
  <c r="J173" i="1" s="1"/>
  <c r="J172" i="1" s="1"/>
  <c r="J171" i="1" s="1"/>
  <c r="J170" i="1" s="1"/>
  <c r="J390" i="1"/>
  <c r="J391" i="1" s="1"/>
  <c r="J392" i="1" s="1"/>
  <c r="J393" i="1" s="1"/>
  <c r="J394" i="1" s="1"/>
  <c r="J395" i="1" s="1"/>
  <c r="J396" i="1" s="1"/>
  <c r="J397" i="1" s="1"/>
  <c r="J398" i="1" s="1"/>
  <c r="F390" i="1"/>
  <c r="G157" i="23" l="1"/>
  <c r="G145" i="23"/>
  <c r="X144" i="23"/>
  <c r="D146" i="23"/>
  <c r="X124" i="23"/>
  <c r="G125" i="23"/>
  <c r="U125" i="23"/>
  <c r="H9313" i="3"/>
  <c r="G9313" i="3"/>
  <c r="H9312" i="3"/>
  <c r="G9312" i="3"/>
  <c r="H9311" i="3"/>
  <c r="G9311" i="3"/>
  <c r="H9310" i="3"/>
  <c r="G9310" i="3"/>
  <c r="H9309" i="3"/>
  <c r="G9309" i="3"/>
  <c r="H9308" i="3"/>
  <c r="G9308" i="3"/>
  <c r="H9307" i="3"/>
  <c r="G9307" i="3"/>
  <c r="H9306" i="3"/>
  <c r="G9306" i="3"/>
  <c r="H9305" i="3"/>
  <c r="G9305" i="3"/>
  <c r="H9304" i="3"/>
  <c r="G9304" i="3"/>
  <c r="H9303" i="3"/>
  <c r="G9303" i="3"/>
  <c r="H9302" i="3"/>
  <c r="G9302" i="3"/>
  <c r="H9301" i="3"/>
  <c r="G9301" i="3"/>
  <c r="H9300" i="3"/>
  <c r="G9300" i="3"/>
  <c r="H9299" i="3"/>
  <c r="G9299" i="3"/>
  <c r="H9298" i="3"/>
  <c r="G9298" i="3"/>
  <c r="H9297" i="3"/>
  <c r="G9297" i="3"/>
  <c r="H9296" i="3"/>
  <c r="G9296" i="3"/>
  <c r="H9295" i="3"/>
  <c r="G9295" i="3"/>
  <c r="H9294" i="3"/>
  <c r="G9294" i="3"/>
  <c r="H9293" i="3"/>
  <c r="G9293" i="3"/>
  <c r="H9292" i="3"/>
  <c r="G9292" i="3"/>
  <c r="H9291" i="3"/>
  <c r="G9291" i="3"/>
  <c r="H9290" i="3"/>
  <c r="G9290" i="3"/>
  <c r="M386" i="1"/>
  <c r="M387" i="1"/>
  <c r="M388" i="1"/>
  <c r="F389" i="1"/>
  <c r="S389" i="1"/>
  <c r="H9289" i="3"/>
  <c r="G9289" i="3"/>
  <c r="H9288" i="3"/>
  <c r="G9288" i="3"/>
  <c r="H9287" i="3"/>
  <c r="G9287" i="3"/>
  <c r="H9286" i="3"/>
  <c r="G9286" i="3"/>
  <c r="H9285" i="3"/>
  <c r="G9285" i="3"/>
  <c r="H9284" i="3"/>
  <c r="G9284" i="3"/>
  <c r="H9283" i="3"/>
  <c r="G9283" i="3"/>
  <c r="H9282" i="3"/>
  <c r="G9282" i="3"/>
  <c r="H9281" i="3"/>
  <c r="G9281" i="3"/>
  <c r="H9280" i="3"/>
  <c r="G9280" i="3"/>
  <c r="H9279" i="3"/>
  <c r="G9279" i="3"/>
  <c r="H9278" i="3"/>
  <c r="G9278" i="3"/>
  <c r="H9277" i="3"/>
  <c r="G9277" i="3"/>
  <c r="H9276" i="3"/>
  <c r="G9276" i="3"/>
  <c r="H9275" i="3"/>
  <c r="G9275" i="3"/>
  <c r="H9274" i="3"/>
  <c r="G9274" i="3"/>
  <c r="H9273" i="3"/>
  <c r="G9273" i="3"/>
  <c r="H9272" i="3"/>
  <c r="G9272" i="3"/>
  <c r="H9271" i="3"/>
  <c r="G9271" i="3"/>
  <c r="H9270" i="3"/>
  <c r="G9270" i="3"/>
  <c r="H9269" i="3"/>
  <c r="G9269" i="3"/>
  <c r="H9268" i="3"/>
  <c r="G9268" i="3"/>
  <c r="H9267" i="3"/>
  <c r="G9267" i="3"/>
  <c r="H9266" i="3"/>
  <c r="G9266" i="3"/>
  <c r="S388" i="1"/>
  <c r="F388" i="1"/>
  <c r="H9265" i="3"/>
  <c r="G9265" i="3"/>
  <c r="H9264" i="3"/>
  <c r="G9264" i="3"/>
  <c r="H9263" i="3"/>
  <c r="G9263" i="3"/>
  <c r="H9262" i="3"/>
  <c r="G9262" i="3"/>
  <c r="H9261" i="3"/>
  <c r="G9261" i="3"/>
  <c r="H9260" i="3"/>
  <c r="G9260" i="3"/>
  <c r="H9259" i="3"/>
  <c r="G9259" i="3"/>
  <c r="H9258" i="3"/>
  <c r="G9258" i="3"/>
  <c r="H9257" i="3"/>
  <c r="G9257" i="3"/>
  <c r="H9256" i="3"/>
  <c r="G9256" i="3"/>
  <c r="H9255" i="3"/>
  <c r="G9255" i="3"/>
  <c r="H9254" i="3"/>
  <c r="G9254" i="3"/>
  <c r="H9253" i="3"/>
  <c r="G9253" i="3"/>
  <c r="H9252" i="3"/>
  <c r="G9252" i="3"/>
  <c r="H9251" i="3"/>
  <c r="G9251" i="3"/>
  <c r="H9250" i="3"/>
  <c r="G9250" i="3"/>
  <c r="H9249" i="3"/>
  <c r="G9249" i="3"/>
  <c r="H9248" i="3"/>
  <c r="G9248" i="3"/>
  <c r="H9247" i="3"/>
  <c r="G9247" i="3"/>
  <c r="H9246" i="3"/>
  <c r="G9246" i="3"/>
  <c r="H9245" i="3"/>
  <c r="G9245" i="3"/>
  <c r="H9244" i="3"/>
  <c r="G9244" i="3"/>
  <c r="H9243" i="3"/>
  <c r="G9243" i="3"/>
  <c r="H9242" i="3"/>
  <c r="G9242" i="3"/>
  <c r="S387" i="1"/>
  <c r="F387" i="1"/>
  <c r="BH26" i="18"/>
  <c r="M384" i="1"/>
  <c r="M385" i="1"/>
  <c r="S386" i="1"/>
  <c r="F386" i="1"/>
  <c r="H9241" i="3"/>
  <c r="G9241" i="3"/>
  <c r="H9240" i="3"/>
  <c r="G9240" i="3"/>
  <c r="H9239" i="3"/>
  <c r="G9239" i="3"/>
  <c r="H9238" i="3"/>
  <c r="G9238" i="3"/>
  <c r="H9237" i="3"/>
  <c r="G9237" i="3"/>
  <c r="H9236" i="3"/>
  <c r="G9236" i="3"/>
  <c r="H9235" i="3"/>
  <c r="G9235" i="3"/>
  <c r="H9234" i="3"/>
  <c r="G9234" i="3"/>
  <c r="H9233" i="3"/>
  <c r="G9233" i="3"/>
  <c r="H9232" i="3"/>
  <c r="G9232" i="3"/>
  <c r="H9231" i="3"/>
  <c r="G9231" i="3"/>
  <c r="H9230" i="3"/>
  <c r="G9230" i="3"/>
  <c r="H9229" i="3"/>
  <c r="G9229" i="3"/>
  <c r="H9228" i="3"/>
  <c r="G9228" i="3"/>
  <c r="H9227" i="3"/>
  <c r="G9227" i="3"/>
  <c r="H9226" i="3"/>
  <c r="G9226" i="3"/>
  <c r="H9225" i="3"/>
  <c r="G9225" i="3"/>
  <c r="H9224" i="3"/>
  <c r="G9224" i="3"/>
  <c r="H9223" i="3"/>
  <c r="G9223" i="3"/>
  <c r="H9222" i="3"/>
  <c r="G9222" i="3"/>
  <c r="H9221" i="3"/>
  <c r="G9221" i="3"/>
  <c r="H9220" i="3"/>
  <c r="G9220" i="3"/>
  <c r="H9219" i="3"/>
  <c r="G9219" i="3"/>
  <c r="H9218" i="3"/>
  <c r="G9218" i="3"/>
  <c r="BE26" i="18"/>
  <c r="BF26" i="18"/>
  <c r="BG26" i="18"/>
  <c r="H9217" i="3"/>
  <c r="G9217" i="3"/>
  <c r="H9216" i="3"/>
  <c r="G9216" i="3"/>
  <c r="H9215" i="3"/>
  <c r="G9215" i="3"/>
  <c r="H9214" i="3"/>
  <c r="G9214" i="3"/>
  <c r="H9213" i="3"/>
  <c r="G9213" i="3"/>
  <c r="H9212" i="3"/>
  <c r="G9212" i="3"/>
  <c r="H9211" i="3"/>
  <c r="G9211" i="3"/>
  <c r="H9210" i="3"/>
  <c r="G9210" i="3"/>
  <c r="H9209" i="3"/>
  <c r="G9209" i="3"/>
  <c r="H9208" i="3"/>
  <c r="G9208" i="3"/>
  <c r="H9207" i="3"/>
  <c r="G9207" i="3"/>
  <c r="H9206" i="3"/>
  <c r="G9206" i="3"/>
  <c r="H9205" i="3"/>
  <c r="G9205" i="3"/>
  <c r="H9204" i="3"/>
  <c r="G9204" i="3"/>
  <c r="H9203" i="3"/>
  <c r="G9203" i="3"/>
  <c r="H9202" i="3"/>
  <c r="G9202" i="3"/>
  <c r="H9201" i="3"/>
  <c r="G9201" i="3"/>
  <c r="H9200" i="3"/>
  <c r="G9200" i="3"/>
  <c r="H9199" i="3"/>
  <c r="G9199" i="3"/>
  <c r="H9198" i="3"/>
  <c r="G9198" i="3"/>
  <c r="H9197" i="3"/>
  <c r="G9197" i="3"/>
  <c r="H9196" i="3"/>
  <c r="G9196" i="3"/>
  <c r="H9195" i="3"/>
  <c r="G9195" i="3"/>
  <c r="H9194" i="3"/>
  <c r="G9194" i="3"/>
  <c r="S385" i="1"/>
  <c r="F385" i="1"/>
  <c r="H9193" i="3"/>
  <c r="G9193" i="3"/>
  <c r="H9192" i="3"/>
  <c r="G9192" i="3"/>
  <c r="H9191" i="3"/>
  <c r="G9191" i="3"/>
  <c r="H9190" i="3"/>
  <c r="G9190" i="3"/>
  <c r="H9189" i="3"/>
  <c r="G9189" i="3"/>
  <c r="H9188" i="3"/>
  <c r="G9188" i="3"/>
  <c r="H9187" i="3"/>
  <c r="G9187" i="3"/>
  <c r="H9186" i="3"/>
  <c r="G9186" i="3"/>
  <c r="H9185" i="3"/>
  <c r="G9185" i="3"/>
  <c r="H9184" i="3"/>
  <c r="G9184" i="3"/>
  <c r="H9183" i="3"/>
  <c r="G9183" i="3"/>
  <c r="H9182" i="3"/>
  <c r="G9182" i="3"/>
  <c r="H9181" i="3"/>
  <c r="G9181" i="3"/>
  <c r="H9180" i="3"/>
  <c r="G9180" i="3"/>
  <c r="H9179" i="3"/>
  <c r="G9179" i="3"/>
  <c r="H9178" i="3"/>
  <c r="G9178" i="3"/>
  <c r="H9177" i="3"/>
  <c r="G9177" i="3"/>
  <c r="H9176" i="3"/>
  <c r="G9176" i="3"/>
  <c r="H9175" i="3"/>
  <c r="G9175" i="3"/>
  <c r="H9174" i="3"/>
  <c r="G9174" i="3"/>
  <c r="H9173" i="3"/>
  <c r="G9173" i="3"/>
  <c r="H9172" i="3"/>
  <c r="G9172" i="3"/>
  <c r="H9171" i="3"/>
  <c r="G9171" i="3"/>
  <c r="H9170" i="3"/>
  <c r="G9170" i="3"/>
  <c r="S384" i="1"/>
  <c r="F384" i="1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128" i="3"/>
  <c r="G9127" i="3"/>
  <c r="G9152" i="3"/>
  <c r="G9151" i="3"/>
  <c r="E4922" i="3"/>
  <c r="M380" i="1"/>
  <c r="M381" i="1"/>
  <c r="M382" i="1"/>
  <c r="M383" i="1"/>
  <c r="BC26" i="18"/>
  <c r="BD26" i="18"/>
  <c r="H9169" i="3"/>
  <c r="G9169" i="3"/>
  <c r="H9168" i="3"/>
  <c r="G9168" i="3"/>
  <c r="H9167" i="3"/>
  <c r="G9167" i="3"/>
  <c r="H9166" i="3"/>
  <c r="G9166" i="3"/>
  <c r="H9165" i="3"/>
  <c r="G9165" i="3"/>
  <c r="H9164" i="3"/>
  <c r="G9164" i="3"/>
  <c r="H9163" i="3"/>
  <c r="G9163" i="3"/>
  <c r="H9162" i="3"/>
  <c r="G9162" i="3"/>
  <c r="H9161" i="3"/>
  <c r="G9161" i="3"/>
  <c r="H9160" i="3"/>
  <c r="G9160" i="3"/>
  <c r="H9159" i="3"/>
  <c r="G9159" i="3"/>
  <c r="H9158" i="3"/>
  <c r="G9158" i="3"/>
  <c r="H9157" i="3"/>
  <c r="G9157" i="3"/>
  <c r="H9156" i="3"/>
  <c r="G9156" i="3"/>
  <c r="H9155" i="3"/>
  <c r="G9155" i="3"/>
  <c r="H9154" i="3"/>
  <c r="G9154" i="3"/>
  <c r="H9153" i="3"/>
  <c r="G9153" i="3"/>
  <c r="H9152" i="3"/>
  <c r="H9151" i="3"/>
  <c r="H9150" i="3"/>
  <c r="G9150" i="3"/>
  <c r="H9149" i="3"/>
  <c r="G9149" i="3"/>
  <c r="H9148" i="3"/>
  <c r="G9148" i="3"/>
  <c r="H9147" i="3"/>
  <c r="G9147" i="3"/>
  <c r="H9146" i="3"/>
  <c r="G9146" i="3"/>
  <c r="S383" i="1"/>
  <c r="F383" i="1"/>
  <c r="H9145" i="3"/>
  <c r="G9145" i="3"/>
  <c r="H9144" i="3"/>
  <c r="G9144" i="3"/>
  <c r="H9143" i="3"/>
  <c r="G9143" i="3"/>
  <c r="H9142" i="3"/>
  <c r="G9142" i="3"/>
  <c r="H9141" i="3"/>
  <c r="G9141" i="3"/>
  <c r="H9140" i="3"/>
  <c r="G9140" i="3"/>
  <c r="H9139" i="3"/>
  <c r="G9139" i="3"/>
  <c r="H9138" i="3"/>
  <c r="G9138" i="3"/>
  <c r="H9137" i="3"/>
  <c r="G9137" i="3"/>
  <c r="H9136" i="3"/>
  <c r="G9136" i="3"/>
  <c r="H9135" i="3"/>
  <c r="G9135" i="3"/>
  <c r="H9134" i="3"/>
  <c r="G9134" i="3"/>
  <c r="H9133" i="3"/>
  <c r="G9133" i="3"/>
  <c r="H9132" i="3"/>
  <c r="G9132" i="3"/>
  <c r="H9131" i="3"/>
  <c r="G9131" i="3"/>
  <c r="H9130" i="3"/>
  <c r="G9130" i="3"/>
  <c r="H9129" i="3"/>
  <c r="G9129" i="3"/>
  <c r="H9128" i="3"/>
  <c r="H9127" i="3"/>
  <c r="H9126" i="3"/>
  <c r="G9126" i="3"/>
  <c r="H9125" i="3"/>
  <c r="G9125" i="3"/>
  <c r="H9124" i="3"/>
  <c r="G9124" i="3"/>
  <c r="H9123" i="3"/>
  <c r="G9123" i="3"/>
  <c r="H9122" i="3"/>
  <c r="G9122" i="3"/>
  <c r="S382" i="1"/>
  <c r="F382" i="1"/>
  <c r="H9121" i="3"/>
  <c r="H9120" i="3"/>
  <c r="H9119" i="3"/>
  <c r="H9118" i="3"/>
  <c r="H9117" i="3"/>
  <c r="H9116" i="3"/>
  <c r="H9115" i="3"/>
  <c r="H9114" i="3"/>
  <c r="H9113" i="3"/>
  <c r="H9112" i="3"/>
  <c r="H9111" i="3"/>
  <c r="H9110" i="3"/>
  <c r="H9109" i="3"/>
  <c r="H9108" i="3"/>
  <c r="H9107" i="3"/>
  <c r="H9106" i="3"/>
  <c r="H9105" i="3"/>
  <c r="H9104" i="3"/>
  <c r="H9103" i="3"/>
  <c r="H9102" i="3"/>
  <c r="H9101" i="3"/>
  <c r="H9100" i="3"/>
  <c r="H9099" i="3"/>
  <c r="H9098" i="3"/>
  <c r="S381" i="1"/>
  <c r="F381" i="1"/>
  <c r="H9080" i="3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M378" i="1"/>
  <c r="M379" i="1"/>
  <c r="H9097" i="3"/>
  <c r="H9096" i="3"/>
  <c r="H9095" i="3"/>
  <c r="H9094" i="3"/>
  <c r="H9093" i="3"/>
  <c r="H9092" i="3"/>
  <c r="H9091" i="3"/>
  <c r="H9090" i="3"/>
  <c r="H9089" i="3"/>
  <c r="H9088" i="3"/>
  <c r="H9087" i="3"/>
  <c r="H9086" i="3"/>
  <c r="H9085" i="3"/>
  <c r="H9084" i="3"/>
  <c r="H9083" i="3"/>
  <c r="H9082" i="3"/>
  <c r="H9081" i="3"/>
  <c r="H9079" i="3"/>
  <c r="H9078" i="3"/>
  <c r="H9077" i="3"/>
  <c r="H9076" i="3"/>
  <c r="H9075" i="3"/>
  <c r="H9074" i="3"/>
  <c r="S380" i="1"/>
  <c r="F380" i="1"/>
  <c r="H9073" i="3"/>
  <c r="H9072" i="3"/>
  <c r="H9071" i="3"/>
  <c r="H9070" i="3"/>
  <c r="H9069" i="3"/>
  <c r="H9068" i="3"/>
  <c r="H9067" i="3"/>
  <c r="H9066" i="3"/>
  <c r="H9065" i="3"/>
  <c r="H9064" i="3"/>
  <c r="H9063" i="3"/>
  <c r="H9062" i="3"/>
  <c r="H9061" i="3"/>
  <c r="H9060" i="3"/>
  <c r="H9059" i="3"/>
  <c r="H9058" i="3"/>
  <c r="H9057" i="3"/>
  <c r="H9056" i="3"/>
  <c r="H9055" i="3"/>
  <c r="H9054" i="3"/>
  <c r="H9053" i="3"/>
  <c r="H9052" i="3"/>
  <c r="H9051" i="3"/>
  <c r="H9050" i="3"/>
  <c r="S379" i="1"/>
  <c r="F379" i="1"/>
  <c r="G126" i="23" l="1"/>
  <c r="X125" i="23"/>
  <c r="G146" i="23"/>
  <c r="X145" i="23"/>
  <c r="W146" i="23"/>
  <c r="D147" i="23"/>
  <c r="W125" i="23"/>
  <c r="W145" i="23"/>
  <c r="G158" i="23"/>
  <c r="F378" i="1"/>
  <c r="S378" i="1"/>
  <c r="H9049" i="3"/>
  <c r="H9048" i="3"/>
  <c r="H9047" i="3"/>
  <c r="H9046" i="3"/>
  <c r="H9045" i="3"/>
  <c r="H9044" i="3"/>
  <c r="H9043" i="3"/>
  <c r="H9042" i="3"/>
  <c r="H9041" i="3"/>
  <c r="H9040" i="3"/>
  <c r="H9039" i="3"/>
  <c r="H9038" i="3"/>
  <c r="H9037" i="3"/>
  <c r="H9036" i="3"/>
  <c r="H9035" i="3"/>
  <c r="H9034" i="3"/>
  <c r="H9033" i="3"/>
  <c r="H9032" i="3"/>
  <c r="H9031" i="3"/>
  <c r="H9030" i="3"/>
  <c r="H9029" i="3"/>
  <c r="H9028" i="3"/>
  <c r="H9027" i="3"/>
  <c r="H9026" i="3"/>
  <c r="M375" i="1"/>
  <c r="M376" i="1"/>
  <c r="M377" i="1"/>
  <c r="H9025" i="3"/>
  <c r="H9024" i="3"/>
  <c r="H9023" i="3"/>
  <c r="H9022" i="3"/>
  <c r="H9021" i="3"/>
  <c r="H9020" i="3"/>
  <c r="H9019" i="3"/>
  <c r="H9018" i="3"/>
  <c r="H9017" i="3"/>
  <c r="H9016" i="3"/>
  <c r="H9015" i="3"/>
  <c r="H9014" i="3"/>
  <c r="H9013" i="3"/>
  <c r="H9012" i="3"/>
  <c r="H9011" i="3"/>
  <c r="H9010" i="3"/>
  <c r="H9009" i="3"/>
  <c r="H9008" i="3"/>
  <c r="H9007" i="3"/>
  <c r="H9006" i="3"/>
  <c r="H9005" i="3"/>
  <c r="H9004" i="3"/>
  <c r="H9003" i="3"/>
  <c r="H9002" i="3"/>
  <c r="H9001" i="3"/>
  <c r="H9000" i="3"/>
  <c r="H8999" i="3"/>
  <c r="H8998" i="3"/>
  <c r="H8997" i="3"/>
  <c r="H8996" i="3"/>
  <c r="H8995" i="3"/>
  <c r="H8994" i="3"/>
  <c r="H8993" i="3"/>
  <c r="H8992" i="3"/>
  <c r="H8991" i="3"/>
  <c r="H8990" i="3"/>
  <c r="H8989" i="3"/>
  <c r="H8988" i="3"/>
  <c r="H8987" i="3"/>
  <c r="H8986" i="3"/>
  <c r="H8985" i="3"/>
  <c r="H8984" i="3"/>
  <c r="H8983" i="3"/>
  <c r="H8982" i="3"/>
  <c r="H8981" i="3"/>
  <c r="H8980" i="3"/>
  <c r="H8979" i="3"/>
  <c r="H8978" i="3"/>
  <c r="F376" i="1"/>
  <c r="F377" i="1"/>
  <c r="S376" i="1"/>
  <c r="S377" i="1"/>
  <c r="M373" i="1"/>
  <c r="M374" i="1"/>
  <c r="F375" i="1"/>
  <c r="S375" i="1"/>
  <c r="H8977" i="3"/>
  <c r="H8976" i="3"/>
  <c r="H8975" i="3"/>
  <c r="H8974" i="3"/>
  <c r="H8973" i="3"/>
  <c r="H8972" i="3"/>
  <c r="H8971" i="3"/>
  <c r="H8970" i="3"/>
  <c r="H8969" i="3"/>
  <c r="H8968" i="3"/>
  <c r="H8967" i="3"/>
  <c r="H8966" i="3"/>
  <c r="H8965" i="3"/>
  <c r="H8964" i="3"/>
  <c r="H8963" i="3"/>
  <c r="H8962" i="3"/>
  <c r="H8961" i="3"/>
  <c r="H8960" i="3"/>
  <c r="H8959" i="3"/>
  <c r="H8958" i="3"/>
  <c r="H8957" i="3"/>
  <c r="H8956" i="3"/>
  <c r="H8955" i="3"/>
  <c r="H8954" i="3"/>
  <c r="S374" i="1"/>
  <c r="F374" i="1"/>
  <c r="H8953" i="3"/>
  <c r="G8953" i="3"/>
  <c r="H8952" i="3"/>
  <c r="G8952" i="3"/>
  <c r="H8951" i="3"/>
  <c r="G8951" i="3"/>
  <c r="H8950" i="3"/>
  <c r="G8950" i="3"/>
  <c r="H8949" i="3"/>
  <c r="G8949" i="3"/>
  <c r="H8948" i="3"/>
  <c r="G8948" i="3"/>
  <c r="H8947" i="3"/>
  <c r="G8947" i="3"/>
  <c r="H8946" i="3"/>
  <c r="G8946" i="3"/>
  <c r="H8945" i="3"/>
  <c r="G8945" i="3"/>
  <c r="H8944" i="3"/>
  <c r="G8944" i="3"/>
  <c r="H8943" i="3"/>
  <c r="G8943" i="3"/>
  <c r="H8942" i="3"/>
  <c r="G8942" i="3"/>
  <c r="H8941" i="3"/>
  <c r="G8941" i="3"/>
  <c r="H8940" i="3"/>
  <c r="G8940" i="3"/>
  <c r="H8939" i="3"/>
  <c r="G8939" i="3"/>
  <c r="H8938" i="3"/>
  <c r="G8938" i="3"/>
  <c r="H8937" i="3"/>
  <c r="G8937" i="3"/>
  <c r="H8936" i="3"/>
  <c r="G8936" i="3"/>
  <c r="H8935" i="3"/>
  <c r="G8935" i="3"/>
  <c r="H8934" i="3"/>
  <c r="G8934" i="3"/>
  <c r="H8933" i="3"/>
  <c r="G8933" i="3"/>
  <c r="H8932" i="3"/>
  <c r="G8932" i="3"/>
  <c r="H8931" i="3"/>
  <c r="G8931" i="3"/>
  <c r="H8930" i="3"/>
  <c r="G8930" i="3"/>
  <c r="D29" i="18"/>
  <c r="M369" i="1"/>
  <c r="M371" i="1"/>
  <c r="M372" i="1"/>
  <c r="H8929" i="3"/>
  <c r="G8929" i="3"/>
  <c r="H8928" i="3"/>
  <c r="G8928" i="3"/>
  <c r="H8927" i="3"/>
  <c r="G8927" i="3"/>
  <c r="H8926" i="3"/>
  <c r="G8926" i="3"/>
  <c r="H8925" i="3"/>
  <c r="G8925" i="3"/>
  <c r="H8924" i="3"/>
  <c r="G8924" i="3"/>
  <c r="H8923" i="3"/>
  <c r="G8923" i="3"/>
  <c r="H8922" i="3"/>
  <c r="G8922" i="3"/>
  <c r="H8921" i="3"/>
  <c r="G8921" i="3"/>
  <c r="H8920" i="3"/>
  <c r="G8920" i="3"/>
  <c r="H8919" i="3"/>
  <c r="G8919" i="3"/>
  <c r="H8918" i="3"/>
  <c r="G8918" i="3"/>
  <c r="H8917" i="3"/>
  <c r="G8917" i="3"/>
  <c r="H8916" i="3"/>
  <c r="G8916" i="3"/>
  <c r="H8915" i="3"/>
  <c r="G8915" i="3"/>
  <c r="H8914" i="3"/>
  <c r="G8914" i="3"/>
  <c r="H8913" i="3"/>
  <c r="G8913" i="3"/>
  <c r="H8912" i="3"/>
  <c r="G8912" i="3"/>
  <c r="H8911" i="3"/>
  <c r="G8911" i="3"/>
  <c r="H8910" i="3"/>
  <c r="G8910" i="3"/>
  <c r="H8909" i="3"/>
  <c r="G8909" i="3"/>
  <c r="H8908" i="3"/>
  <c r="G8908" i="3"/>
  <c r="H8907" i="3"/>
  <c r="G8907" i="3"/>
  <c r="H8906" i="3"/>
  <c r="G8906" i="3"/>
  <c r="S373" i="1"/>
  <c r="F373" i="1"/>
  <c r="H8905" i="3"/>
  <c r="G8905" i="3"/>
  <c r="H8904" i="3"/>
  <c r="G8904" i="3"/>
  <c r="H8903" i="3"/>
  <c r="G8903" i="3"/>
  <c r="H8902" i="3"/>
  <c r="G8902" i="3"/>
  <c r="H8901" i="3"/>
  <c r="G8901" i="3"/>
  <c r="H8900" i="3"/>
  <c r="G8900" i="3"/>
  <c r="H8899" i="3"/>
  <c r="G8899" i="3"/>
  <c r="H8898" i="3"/>
  <c r="G8898" i="3"/>
  <c r="H8897" i="3"/>
  <c r="G8897" i="3"/>
  <c r="H8896" i="3"/>
  <c r="G8896" i="3"/>
  <c r="H8895" i="3"/>
  <c r="G8895" i="3"/>
  <c r="H8894" i="3"/>
  <c r="G8894" i="3"/>
  <c r="H8893" i="3"/>
  <c r="G8893" i="3"/>
  <c r="H8892" i="3"/>
  <c r="G8892" i="3"/>
  <c r="H8891" i="3"/>
  <c r="G8891" i="3"/>
  <c r="H8890" i="3"/>
  <c r="G8890" i="3"/>
  <c r="H8889" i="3"/>
  <c r="G8889" i="3"/>
  <c r="H8888" i="3"/>
  <c r="G8888" i="3"/>
  <c r="H8887" i="3"/>
  <c r="G8887" i="3"/>
  <c r="H8886" i="3"/>
  <c r="G8886" i="3"/>
  <c r="H8885" i="3"/>
  <c r="G8885" i="3"/>
  <c r="H8884" i="3"/>
  <c r="G8884" i="3"/>
  <c r="H8883" i="3"/>
  <c r="G8883" i="3"/>
  <c r="H8882" i="3"/>
  <c r="G8882" i="3"/>
  <c r="S372" i="1"/>
  <c r="F372" i="1"/>
  <c r="H8881" i="3"/>
  <c r="G8881" i="3"/>
  <c r="H8880" i="3"/>
  <c r="G8880" i="3"/>
  <c r="H8879" i="3"/>
  <c r="G8879" i="3"/>
  <c r="H8878" i="3"/>
  <c r="G8878" i="3"/>
  <c r="H8877" i="3"/>
  <c r="G8877" i="3"/>
  <c r="H8876" i="3"/>
  <c r="G8876" i="3"/>
  <c r="H8875" i="3"/>
  <c r="G8875" i="3"/>
  <c r="H8874" i="3"/>
  <c r="G8874" i="3"/>
  <c r="H8873" i="3"/>
  <c r="G8873" i="3"/>
  <c r="H8872" i="3"/>
  <c r="G8872" i="3"/>
  <c r="H8871" i="3"/>
  <c r="G8871" i="3"/>
  <c r="H8870" i="3"/>
  <c r="G8870" i="3"/>
  <c r="H8869" i="3"/>
  <c r="G8869" i="3"/>
  <c r="H8868" i="3"/>
  <c r="G8868" i="3"/>
  <c r="H8867" i="3"/>
  <c r="G8867" i="3"/>
  <c r="H8866" i="3"/>
  <c r="G8866" i="3"/>
  <c r="H8865" i="3"/>
  <c r="G8865" i="3"/>
  <c r="H8864" i="3"/>
  <c r="G8864" i="3"/>
  <c r="H8863" i="3"/>
  <c r="G8863" i="3"/>
  <c r="H8862" i="3"/>
  <c r="G8862" i="3"/>
  <c r="H8861" i="3"/>
  <c r="G8861" i="3"/>
  <c r="H8860" i="3"/>
  <c r="G8860" i="3"/>
  <c r="H8859" i="3"/>
  <c r="G8859" i="3"/>
  <c r="H8858" i="3"/>
  <c r="G8858" i="3"/>
  <c r="S371" i="1"/>
  <c r="F371" i="1"/>
  <c r="H8857" i="3"/>
  <c r="G8857" i="3"/>
  <c r="H8856" i="3"/>
  <c r="G8856" i="3"/>
  <c r="H8855" i="3"/>
  <c r="G8855" i="3"/>
  <c r="H8854" i="3"/>
  <c r="G8854" i="3"/>
  <c r="H8853" i="3"/>
  <c r="G8853" i="3"/>
  <c r="H8852" i="3"/>
  <c r="G8852" i="3"/>
  <c r="H8851" i="3"/>
  <c r="G8851" i="3"/>
  <c r="H8850" i="3"/>
  <c r="G8850" i="3"/>
  <c r="H8849" i="3"/>
  <c r="G8849" i="3"/>
  <c r="H8848" i="3"/>
  <c r="G8848" i="3"/>
  <c r="H8847" i="3"/>
  <c r="G8847" i="3"/>
  <c r="H8846" i="3"/>
  <c r="G8846" i="3"/>
  <c r="H8845" i="3"/>
  <c r="G8845" i="3"/>
  <c r="H8844" i="3"/>
  <c r="G8844" i="3"/>
  <c r="H8843" i="3"/>
  <c r="G8843" i="3"/>
  <c r="H8842" i="3"/>
  <c r="G8842" i="3"/>
  <c r="H8841" i="3"/>
  <c r="G8841" i="3"/>
  <c r="H8840" i="3"/>
  <c r="G8840" i="3"/>
  <c r="H8839" i="3"/>
  <c r="G8839" i="3"/>
  <c r="H8838" i="3"/>
  <c r="G8838" i="3"/>
  <c r="H8837" i="3"/>
  <c r="G8837" i="3"/>
  <c r="H8836" i="3"/>
  <c r="G8836" i="3"/>
  <c r="H8835" i="3"/>
  <c r="G8835" i="3"/>
  <c r="H8834" i="3"/>
  <c r="G8834" i="3"/>
  <c r="S370" i="1"/>
  <c r="F370" i="1"/>
  <c r="H8833" i="3"/>
  <c r="G8833" i="3"/>
  <c r="H8832" i="3"/>
  <c r="G8832" i="3"/>
  <c r="H8831" i="3"/>
  <c r="G8831" i="3"/>
  <c r="H8830" i="3"/>
  <c r="G8830" i="3"/>
  <c r="H8829" i="3"/>
  <c r="G8829" i="3"/>
  <c r="H8828" i="3"/>
  <c r="G8828" i="3"/>
  <c r="H8827" i="3"/>
  <c r="G8827" i="3"/>
  <c r="H8826" i="3"/>
  <c r="G8826" i="3"/>
  <c r="H8825" i="3"/>
  <c r="G8825" i="3"/>
  <c r="H8824" i="3"/>
  <c r="G8824" i="3"/>
  <c r="H8823" i="3"/>
  <c r="G8823" i="3"/>
  <c r="H8822" i="3"/>
  <c r="G8822" i="3"/>
  <c r="H8821" i="3"/>
  <c r="G8821" i="3"/>
  <c r="H8820" i="3"/>
  <c r="G8820" i="3"/>
  <c r="H8819" i="3"/>
  <c r="G8819" i="3"/>
  <c r="H8818" i="3"/>
  <c r="G8818" i="3"/>
  <c r="H8817" i="3"/>
  <c r="G8817" i="3"/>
  <c r="H8816" i="3"/>
  <c r="G8816" i="3"/>
  <c r="H8815" i="3"/>
  <c r="G8815" i="3"/>
  <c r="H8814" i="3"/>
  <c r="G8814" i="3"/>
  <c r="H8813" i="3"/>
  <c r="G8813" i="3"/>
  <c r="H8812" i="3"/>
  <c r="G8812" i="3"/>
  <c r="H8811" i="3"/>
  <c r="G8811" i="3"/>
  <c r="H8810" i="3"/>
  <c r="G8810" i="3"/>
  <c r="S369" i="1"/>
  <c r="F369" i="1"/>
  <c r="M367" i="1"/>
  <c r="M368" i="1"/>
  <c r="G147" i="23" l="1"/>
  <c r="X146" i="23"/>
  <c r="G159" i="23"/>
  <c r="W147" i="23"/>
  <c r="D148" i="23"/>
  <c r="X126" i="23"/>
  <c r="W126" i="23"/>
  <c r="H8809" i="3"/>
  <c r="G8809" i="3"/>
  <c r="H8808" i="3"/>
  <c r="G8808" i="3"/>
  <c r="H8807" i="3"/>
  <c r="G8807" i="3"/>
  <c r="H8806" i="3"/>
  <c r="G8806" i="3"/>
  <c r="H8805" i="3"/>
  <c r="G8805" i="3"/>
  <c r="H8804" i="3"/>
  <c r="G8804" i="3"/>
  <c r="H8803" i="3"/>
  <c r="G8803" i="3"/>
  <c r="H8802" i="3"/>
  <c r="G8802" i="3"/>
  <c r="H8801" i="3"/>
  <c r="G8801" i="3"/>
  <c r="H8800" i="3"/>
  <c r="G8800" i="3"/>
  <c r="H8799" i="3"/>
  <c r="G8799" i="3"/>
  <c r="H8798" i="3"/>
  <c r="G8798" i="3"/>
  <c r="H8797" i="3"/>
  <c r="G8797" i="3"/>
  <c r="H8796" i="3"/>
  <c r="G8796" i="3"/>
  <c r="H8795" i="3"/>
  <c r="G8795" i="3"/>
  <c r="H8794" i="3"/>
  <c r="G8794" i="3"/>
  <c r="H8793" i="3"/>
  <c r="G8793" i="3"/>
  <c r="H8792" i="3"/>
  <c r="G8792" i="3"/>
  <c r="H8791" i="3"/>
  <c r="G8791" i="3"/>
  <c r="H8790" i="3"/>
  <c r="G8790" i="3"/>
  <c r="H8789" i="3"/>
  <c r="G8789" i="3"/>
  <c r="H8788" i="3"/>
  <c r="G8788" i="3"/>
  <c r="H8787" i="3"/>
  <c r="G8787" i="3"/>
  <c r="H8786" i="3"/>
  <c r="G8786" i="3"/>
  <c r="S368" i="1"/>
  <c r="F368" i="1"/>
  <c r="G160" i="23" l="1"/>
  <c r="D149" i="23"/>
  <c r="W148" i="23"/>
  <c r="X147" i="23"/>
  <c r="G148" i="23"/>
  <c r="X148" i="23" s="1"/>
  <c r="M365" i="1"/>
  <c r="M366" i="1"/>
  <c r="S367" i="1"/>
  <c r="F367" i="1"/>
  <c r="H8785" i="3"/>
  <c r="G8785" i="3"/>
  <c r="H8784" i="3"/>
  <c r="G8784" i="3"/>
  <c r="H8783" i="3"/>
  <c r="G8783" i="3"/>
  <c r="H8782" i="3"/>
  <c r="G8782" i="3"/>
  <c r="H8781" i="3"/>
  <c r="G8781" i="3"/>
  <c r="H8780" i="3"/>
  <c r="G8780" i="3"/>
  <c r="H8779" i="3"/>
  <c r="G8779" i="3"/>
  <c r="H8778" i="3"/>
  <c r="G8778" i="3"/>
  <c r="H8777" i="3"/>
  <c r="G8777" i="3"/>
  <c r="H8776" i="3"/>
  <c r="G8776" i="3"/>
  <c r="H8775" i="3"/>
  <c r="G8775" i="3"/>
  <c r="H8774" i="3"/>
  <c r="G8774" i="3"/>
  <c r="H8773" i="3"/>
  <c r="G8773" i="3"/>
  <c r="H8772" i="3"/>
  <c r="G8772" i="3"/>
  <c r="H8771" i="3"/>
  <c r="G8771" i="3"/>
  <c r="H8770" i="3"/>
  <c r="G8770" i="3"/>
  <c r="H8769" i="3"/>
  <c r="G8769" i="3"/>
  <c r="H8768" i="3"/>
  <c r="G8768" i="3"/>
  <c r="H8767" i="3"/>
  <c r="G8767" i="3"/>
  <c r="H8766" i="3"/>
  <c r="G8766" i="3"/>
  <c r="H8765" i="3"/>
  <c r="G8765" i="3"/>
  <c r="H8764" i="3"/>
  <c r="G8764" i="3"/>
  <c r="H8763" i="3"/>
  <c r="G8763" i="3"/>
  <c r="H8762" i="3"/>
  <c r="G8762" i="3"/>
  <c r="S366" i="1"/>
  <c r="H8761" i="3"/>
  <c r="G8761" i="3"/>
  <c r="H8760" i="3"/>
  <c r="G8760" i="3"/>
  <c r="H8759" i="3"/>
  <c r="G8759" i="3"/>
  <c r="H8758" i="3"/>
  <c r="G8758" i="3"/>
  <c r="H8757" i="3"/>
  <c r="G8757" i="3"/>
  <c r="H8756" i="3"/>
  <c r="G8756" i="3"/>
  <c r="H8755" i="3"/>
  <c r="G8755" i="3"/>
  <c r="H8754" i="3"/>
  <c r="G8754" i="3"/>
  <c r="H8753" i="3"/>
  <c r="G8753" i="3"/>
  <c r="H8752" i="3"/>
  <c r="G8752" i="3"/>
  <c r="H8751" i="3"/>
  <c r="G8751" i="3"/>
  <c r="H8750" i="3"/>
  <c r="G8750" i="3"/>
  <c r="H8749" i="3"/>
  <c r="G8749" i="3"/>
  <c r="H8748" i="3"/>
  <c r="G8748" i="3"/>
  <c r="H8747" i="3"/>
  <c r="G8747" i="3"/>
  <c r="H8746" i="3"/>
  <c r="G8746" i="3"/>
  <c r="H8745" i="3"/>
  <c r="G8745" i="3"/>
  <c r="H8744" i="3"/>
  <c r="G8744" i="3"/>
  <c r="H8743" i="3"/>
  <c r="G8743" i="3"/>
  <c r="H8742" i="3"/>
  <c r="G8742" i="3"/>
  <c r="H8741" i="3"/>
  <c r="G8741" i="3"/>
  <c r="H8740" i="3"/>
  <c r="G8740" i="3"/>
  <c r="H8739" i="3"/>
  <c r="G8739" i="3"/>
  <c r="H8738" i="3"/>
  <c r="G8738" i="3"/>
  <c r="F366" i="1"/>
  <c r="D150" i="23" l="1"/>
  <c r="X149" i="23"/>
  <c r="W149" i="23"/>
  <c r="G161" i="23"/>
  <c r="H8737" i="3"/>
  <c r="G8737" i="3"/>
  <c r="H8736" i="3"/>
  <c r="G8736" i="3"/>
  <c r="H8735" i="3"/>
  <c r="G8735" i="3"/>
  <c r="H8734" i="3"/>
  <c r="G8734" i="3"/>
  <c r="H8733" i="3"/>
  <c r="G8733" i="3"/>
  <c r="H8732" i="3"/>
  <c r="G8732" i="3"/>
  <c r="H8731" i="3"/>
  <c r="G8731" i="3"/>
  <c r="H8730" i="3"/>
  <c r="G8730" i="3"/>
  <c r="H8729" i="3"/>
  <c r="G8729" i="3"/>
  <c r="H8728" i="3"/>
  <c r="G8728" i="3"/>
  <c r="H8727" i="3"/>
  <c r="G8727" i="3"/>
  <c r="H8726" i="3"/>
  <c r="G8726" i="3"/>
  <c r="H8725" i="3"/>
  <c r="G8725" i="3"/>
  <c r="H8724" i="3"/>
  <c r="G8724" i="3"/>
  <c r="H8723" i="3"/>
  <c r="G8723" i="3"/>
  <c r="H8722" i="3"/>
  <c r="G8722" i="3"/>
  <c r="H8721" i="3"/>
  <c r="G8721" i="3"/>
  <c r="H8720" i="3"/>
  <c r="G8720" i="3"/>
  <c r="H8719" i="3"/>
  <c r="G8719" i="3"/>
  <c r="H8718" i="3"/>
  <c r="G8718" i="3"/>
  <c r="H8717" i="3"/>
  <c r="G8717" i="3"/>
  <c r="H8716" i="3"/>
  <c r="G8716" i="3"/>
  <c r="H8715" i="3"/>
  <c r="G8715" i="3"/>
  <c r="H8714" i="3"/>
  <c r="G8714" i="3"/>
  <c r="S365" i="1"/>
  <c r="F365" i="1"/>
  <c r="H8713" i="3"/>
  <c r="G8713" i="3"/>
  <c r="H8712" i="3"/>
  <c r="G8712" i="3"/>
  <c r="H8711" i="3"/>
  <c r="G8711" i="3"/>
  <c r="H8710" i="3"/>
  <c r="G8710" i="3"/>
  <c r="H8709" i="3"/>
  <c r="G8709" i="3"/>
  <c r="H8708" i="3"/>
  <c r="G8708" i="3"/>
  <c r="H8707" i="3"/>
  <c r="G8707" i="3"/>
  <c r="H8706" i="3"/>
  <c r="G8706" i="3"/>
  <c r="H8705" i="3"/>
  <c r="G8705" i="3"/>
  <c r="H8704" i="3"/>
  <c r="G8704" i="3"/>
  <c r="H8703" i="3"/>
  <c r="G8703" i="3"/>
  <c r="H8702" i="3"/>
  <c r="G8702" i="3"/>
  <c r="H8701" i="3"/>
  <c r="G8701" i="3"/>
  <c r="H8700" i="3"/>
  <c r="G8700" i="3"/>
  <c r="H8699" i="3"/>
  <c r="G8699" i="3"/>
  <c r="H8698" i="3"/>
  <c r="G8698" i="3"/>
  <c r="H8697" i="3"/>
  <c r="G8697" i="3"/>
  <c r="H8696" i="3"/>
  <c r="G8696" i="3"/>
  <c r="H8695" i="3"/>
  <c r="G8695" i="3"/>
  <c r="H8694" i="3"/>
  <c r="G8694" i="3"/>
  <c r="H8693" i="3"/>
  <c r="G8693" i="3"/>
  <c r="H8692" i="3"/>
  <c r="G8692" i="3"/>
  <c r="H8691" i="3"/>
  <c r="G8691" i="3"/>
  <c r="H8690" i="3"/>
  <c r="G8690" i="3"/>
  <c r="M362" i="1"/>
  <c r="M363" i="1"/>
  <c r="M364" i="1"/>
  <c r="S364" i="1"/>
  <c r="F364" i="1"/>
  <c r="G8671" i="3"/>
  <c r="H8689" i="3"/>
  <c r="G8689" i="3"/>
  <c r="H8688" i="3"/>
  <c r="G8688" i="3"/>
  <c r="H8687" i="3"/>
  <c r="G8687" i="3"/>
  <c r="H8686" i="3"/>
  <c r="G8686" i="3"/>
  <c r="H8685" i="3"/>
  <c r="G8685" i="3"/>
  <c r="H8684" i="3"/>
  <c r="G8684" i="3"/>
  <c r="H8683" i="3"/>
  <c r="G8683" i="3"/>
  <c r="H8682" i="3"/>
  <c r="G8682" i="3"/>
  <c r="H8681" i="3"/>
  <c r="G8681" i="3"/>
  <c r="H8680" i="3"/>
  <c r="G8680" i="3"/>
  <c r="H8679" i="3"/>
  <c r="G8679" i="3"/>
  <c r="H8678" i="3"/>
  <c r="G8678" i="3"/>
  <c r="H8677" i="3"/>
  <c r="G8677" i="3"/>
  <c r="H8676" i="3"/>
  <c r="G8676" i="3"/>
  <c r="H8675" i="3"/>
  <c r="G8675" i="3"/>
  <c r="H8674" i="3"/>
  <c r="G8674" i="3"/>
  <c r="H8673" i="3"/>
  <c r="G8673" i="3"/>
  <c r="H8672" i="3"/>
  <c r="G8672" i="3"/>
  <c r="H8671" i="3"/>
  <c r="H8670" i="3"/>
  <c r="G8670" i="3"/>
  <c r="H8669" i="3"/>
  <c r="G8669" i="3"/>
  <c r="H8668" i="3"/>
  <c r="G8668" i="3"/>
  <c r="H8667" i="3"/>
  <c r="G8667" i="3"/>
  <c r="H8666" i="3"/>
  <c r="G8666" i="3"/>
  <c r="S363" i="1"/>
  <c r="F363" i="1"/>
  <c r="G162" i="23" l="1"/>
  <c r="D151" i="23"/>
  <c r="W150" i="23"/>
  <c r="X150" i="23"/>
  <c r="M359" i="1"/>
  <c r="M360" i="1"/>
  <c r="M361" i="1"/>
  <c r="H8665" i="3"/>
  <c r="G8665" i="3"/>
  <c r="H8664" i="3"/>
  <c r="G8664" i="3"/>
  <c r="H8663" i="3"/>
  <c r="G8663" i="3"/>
  <c r="H8662" i="3"/>
  <c r="G8662" i="3"/>
  <c r="H8661" i="3"/>
  <c r="G8661" i="3"/>
  <c r="H8660" i="3"/>
  <c r="G8660" i="3"/>
  <c r="H8659" i="3"/>
  <c r="G8659" i="3"/>
  <c r="H8658" i="3"/>
  <c r="G8658" i="3"/>
  <c r="H8657" i="3"/>
  <c r="G8657" i="3"/>
  <c r="H8656" i="3"/>
  <c r="G8656" i="3"/>
  <c r="H8655" i="3"/>
  <c r="G8655" i="3"/>
  <c r="H8654" i="3"/>
  <c r="G8654" i="3"/>
  <c r="H8653" i="3"/>
  <c r="G8653" i="3"/>
  <c r="H8652" i="3"/>
  <c r="G8652" i="3"/>
  <c r="H8651" i="3"/>
  <c r="G8651" i="3"/>
  <c r="H8650" i="3"/>
  <c r="G8650" i="3"/>
  <c r="H8649" i="3"/>
  <c r="G8649" i="3"/>
  <c r="H8648" i="3"/>
  <c r="G8648" i="3"/>
  <c r="H8647" i="3"/>
  <c r="G8647" i="3"/>
  <c r="H8646" i="3"/>
  <c r="G8646" i="3"/>
  <c r="H8645" i="3"/>
  <c r="G8645" i="3"/>
  <c r="H8644" i="3"/>
  <c r="G8644" i="3"/>
  <c r="H8643" i="3"/>
  <c r="G8643" i="3"/>
  <c r="H8642" i="3"/>
  <c r="G8642" i="3"/>
  <c r="S362" i="1"/>
  <c r="F362" i="1"/>
  <c r="D152" i="23" l="1"/>
  <c r="W151" i="23"/>
  <c r="X151" i="23"/>
  <c r="G163" i="23"/>
  <c r="H8641" i="3"/>
  <c r="G8641" i="3"/>
  <c r="H8640" i="3"/>
  <c r="G8640" i="3"/>
  <c r="H8639" i="3"/>
  <c r="G8639" i="3"/>
  <c r="H8638" i="3"/>
  <c r="G8638" i="3"/>
  <c r="H8637" i="3"/>
  <c r="G8637" i="3"/>
  <c r="H8636" i="3"/>
  <c r="G8636" i="3"/>
  <c r="H8635" i="3"/>
  <c r="G8635" i="3"/>
  <c r="H8634" i="3"/>
  <c r="G8634" i="3"/>
  <c r="H8633" i="3"/>
  <c r="G8633" i="3"/>
  <c r="H8632" i="3"/>
  <c r="G8632" i="3"/>
  <c r="H8631" i="3"/>
  <c r="G8631" i="3"/>
  <c r="H8630" i="3"/>
  <c r="G8630" i="3"/>
  <c r="H8629" i="3"/>
  <c r="G8629" i="3"/>
  <c r="H8628" i="3"/>
  <c r="G8628" i="3"/>
  <c r="H8627" i="3"/>
  <c r="G8627" i="3"/>
  <c r="H8626" i="3"/>
  <c r="G8626" i="3"/>
  <c r="H8625" i="3"/>
  <c r="G8625" i="3"/>
  <c r="H8624" i="3"/>
  <c r="G8624" i="3"/>
  <c r="H8623" i="3"/>
  <c r="G8623" i="3"/>
  <c r="H8622" i="3"/>
  <c r="G8622" i="3"/>
  <c r="H8621" i="3"/>
  <c r="G8621" i="3"/>
  <c r="H8620" i="3"/>
  <c r="G8620" i="3"/>
  <c r="H8619" i="3"/>
  <c r="G8619" i="3"/>
  <c r="H8618" i="3"/>
  <c r="G8618" i="3"/>
  <c r="S361" i="1"/>
  <c r="F361" i="1"/>
  <c r="H8617" i="3"/>
  <c r="G8617" i="3"/>
  <c r="H8616" i="3"/>
  <c r="G8616" i="3"/>
  <c r="H8615" i="3"/>
  <c r="G8615" i="3"/>
  <c r="H8614" i="3"/>
  <c r="G8614" i="3"/>
  <c r="H8613" i="3"/>
  <c r="G8613" i="3"/>
  <c r="H8612" i="3"/>
  <c r="G8612" i="3"/>
  <c r="H8611" i="3"/>
  <c r="G8611" i="3"/>
  <c r="H8610" i="3"/>
  <c r="G8610" i="3"/>
  <c r="H8609" i="3"/>
  <c r="G8609" i="3"/>
  <c r="H8608" i="3"/>
  <c r="G8608" i="3"/>
  <c r="H8607" i="3"/>
  <c r="G8607" i="3"/>
  <c r="H8606" i="3"/>
  <c r="G8606" i="3"/>
  <c r="H8605" i="3"/>
  <c r="G8605" i="3"/>
  <c r="H8604" i="3"/>
  <c r="G8604" i="3"/>
  <c r="H8603" i="3"/>
  <c r="G8603" i="3"/>
  <c r="H8602" i="3"/>
  <c r="G8602" i="3"/>
  <c r="H8601" i="3"/>
  <c r="G8601" i="3"/>
  <c r="H8600" i="3"/>
  <c r="G8600" i="3"/>
  <c r="H8599" i="3"/>
  <c r="G8599" i="3"/>
  <c r="H8598" i="3"/>
  <c r="G8598" i="3"/>
  <c r="H8597" i="3"/>
  <c r="G8597" i="3"/>
  <c r="H8596" i="3"/>
  <c r="G8596" i="3"/>
  <c r="H8595" i="3"/>
  <c r="G8595" i="3"/>
  <c r="H8594" i="3"/>
  <c r="G8594" i="3"/>
  <c r="S360" i="1"/>
  <c r="F360" i="1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93" i="3"/>
  <c r="G164" i="23" l="1"/>
  <c r="W152" i="23"/>
  <c r="D153" i="23"/>
  <c r="X152" i="23"/>
  <c r="H8593" i="3"/>
  <c r="H8592" i="3"/>
  <c r="H8591" i="3"/>
  <c r="H8590" i="3"/>
  <c r="H8589" i="3"/>
  <c r="H8588" i="3"/>
  <c r="H8587" i="3"/>
  <c r="H8586" i="3"/>
  <c r="H8585" i="3"/>
  <c r="H8584" i="3"/>
  <c r="H8583" i="3"/>
  <c r="H8582" i="3"/>
  <c r="H8581" i="3"/>
  <c r="H8580" i="3"/>
  <c r="H8579" i="3"/>
  <c r="H8578" i="3"/>
  <c r="H8577" i="3"/>
  <c r="H8576" i="3"/>
  <c r="H8575" i="3"/>
  <c r="H8574" i="3"/>
  <c r="H8573" i="3"/>
  <c r="H8572" i="3"/>
  <c r="H8571" i="3"/>
  <c r="H8570" i="3"/>
  <c r="S359" i="1"/>
  <c r="F359" i="1"/>
  <c r="M353" i="1"/>
  <c r="M354" i="1"/>
  <c r="M355" i="1"/>
  <c r="M356" i="1"/>
  <c r="M357" i="1"/>
  <c r="M358" i="1"/>
  <c r="H8569" i="3"/>
  <c r="H8568" i="3"/>
  <c r="H8567" i="3"/>
  <c r="H8566" i="3"/>
  <c r="H8565" i="3"/>
  <c r="H8564" i="3"/>
  <c r="H8563" i="3"/>
  <c r="H8562" i="3"/>
  <c r="H8561" i="3"/>
  <c r="H8560" i="3"/>
  <c r="H8559" i="3"/>
  <c r="H8558" i="3"/>
  <c r="H8557" i="3"/>
  <c r="H8556" i="3"/>
  <c r="H8555" i="3"/>
  <c r="H8554" i="3"/>
  <c r="H8553" i="3"/>
  <c r="H8552" i="3"/>
  <c r="H8551" i="3"/>
  <c r="H8550" i="3"/>
  <c r="H8549" i="3"/>
  <c r="H8548" i="3"/>
  <c r="H8547" i="3"/>
  <c r="H8546" i="3"/>
  <c r="S358" i="1"/>
  <c r="F358" i="1"/>
  <c r="H8545" i="3"/>
  <c r="H8544" i="3"/>
  <c r="H8543" i="3"/>
  <c r="H8542" i="3"/>
  <c r="H8541" i="3"/>
  <c r="H8540" i="3"/>
  <c r="H8539" i="3"/>
  <c r="H8538" i="3"/>
  <c r="H8537" i="3"/>
  <c r="H8536" i="3"/>
  <c r="H8535" i="3"/>
  <c r="H8534" i="3"/>
  <c r="H8533" i="3"/>
  <c r="H8532" i="3"/>
  <c r="H8531" i="3"/>
  <c r="H8530" i="3"/>
  <c r="H8529" i="3"/>
  <c r="H8528" i="3"/>
  <c r="H8527" i="3"/>
  <c r="H8526" i="3"/>
  <c r="H8525" i="3"/>
  <c r="H8524" i="3"/>
  <c r="H8523" i="3"/>
  <c r="H8522" i="3"/>
  <c r="S357" i="1"/>
  <c r="F357" i="1"/>
  <c r="H8521" i="3"/>
  <c r="H8520" i="3"/>
  <c r="H8519" i="3"/>
  <c r="H8518" i="3"/>
  <c r="H8517" i="3"/>
  <c r="H8516" i="3"/>
  <c r="H8515" i="3"/>
  <c r="H8514" i="3"/>
  <c r="H8513" i="3"/>
  <c r="H8512" i="3"/>
  <c r="H8511" i="3"/>
  <c r="H8510" i="3"/>
  <c r="H8509" i="3"/>
  <c r="H8508" i="3"/>
  <c r="H8507" i="3"/>
  <c r="H8506" i="3"/>
  <c r="H8505" i="3"/>
  <c r="H8504" i="3"/>
  <c r="H8503" i="3"/>
  <c r="H8502" i="3"/>
  <c r="H8501" i="3"/>
  <c r="H8500" i="3"/>
  <c r="H8499" i="3"/>
  <c r="H8498" i="3"/>
  <c r="S356" i="1"/>
  <c r="F356" i="1"/>
  <c r="H8497" i="3"/>
  <c r="H8496" i="3"/>
  <c r="H8495" i="3"/>
  <c r="H8494" i="3"/>
  <c r="H8493" i="3"/>
  <c r="H8492" i="3"/>
  <c r="H8491" i="3"/>
  <c r="H8490" i="3"/>
  <c r="H8489" i="3"/>
  <c r="H8488" i="3"/>
  <c r="H8487" i="3"/>
  <c r="H8486" i="3"/>
  <c r="H8485" i="3"/>
  <c r="H8484" i="3"/>
  <c r="H8483" i="3"/>
  <c r="H8482" i="3"/>
  <c r="H8481" i="3"/>
  <c r="H8480" i="3"/>
  <c r="H8479" i="3"/>
  <c r="H8478" i="3"/>
  <c r="H8477" i="3"/>
  <c r="H8476" i="3"/>
  <c r="H8475" i="3"/>
  <c r="H8474" i="3"/>
  <c r="F355" i="1"/>
  <c r="S355" i="1"/>
  <c r="W153" i="23" l="1"/>
  <c r="D154" i="23"/>
  <c r="X153" i="23"/>
  <c r="G165" i="23"/>
  <c r="S354" i="1"/>
  <c r="H8473" i="3"/>
  <c r="H8472" i="3"/>
  <c r="H8471" i="3"/>
  <c r="H8470" i="3"/>
  <c r="H8469" i="3"/>
  <c r="H8468" i="3"/>
  <c r="H8467" i="3"/>
  <c r="H8466" i="3"/>
  <c r="H8465" i="3"/>
  <c r="H8464" i="3"/>
  <c r="H8463" i="3"/>
  <c r="H8462" i="3"/>
  <c r="H8461" i="3"/>
  <c r="H8460" i="3"/>
  <c r="H8459" i="3"/>
  <c r="H8458" i="3"/>
  <c r="H8457" i="3"/>
  <c r="H8456" i="3"/>
  <c r="H8455" i="3"/>
  <c r="H8454" i="3"/>
  <c r="H8453" i="3"/>
  <c r="H8452" i="3"/>
  <c r="H8451" i="3"/>
  <c r="H8450" i="3"/>
  <c r="F354" i="1"/>
  <c r="H8449" i="3"/>
  <c r="H8448" i="3"/>
  <c r="H8447" i="3"/>
  <c r="H8446" i="3"/>
  <c r="H8445" i="3"/>
  <c r="H8444" i="3"/>
  <c r="H8443" i="3"/>
  <c r="H8442" i="3"/>
  <c r="H8441" i="3"/>
  <c r="H8440" i="3"/>
  <c r="H8439" i="3"/>
  <c r="H8438" i="3"/>
  <c r="H8437" i="3"/>
  <c r="H8436" i="3"/>
  <c r="H8435" i="3"/>
  <c r="H8434" i="3"/>
  <c r="H8433" i="3"/>
  <c r="H8432" i="3"/>
  <c r="H8431" i="3"/>
  <c r="H8430" i="3"/>
  <c r="H8429" i="3"/>
  <c r="H8428" i="3"/>
  <c r="H8427" i="3"/>
  <c r="H8426" i="3"/>
  <c r="S353" i="1"/>
  <c r="F353" i="1"/>
  <c r="H8400" i="3"/>
  <c r="H8402" i="3"/>
  <c r="H7935" i="3"/>
  <c r="H7945" i="3"/>
  <c r="H7944" i="3"/>
  <c r="H7943" i="3"/>
  <c r="H7942" i="3"/>
  <c r="H7941" i="3"/>
  <c r="H7940" i="3"/>
  <c r="H7939" i="3"/>
  <c r="H7938" i="3"/>
  <c r="H7937" i="3"/>
  <c r="H7936" i="3"/>
  <c r="H7934" i="3"/>
  <c r="H7933" i="3"/>
  <c r="H7932" i="3"/>
  <c r="H7931" i="3"/>
  <c r="H7930" i="3"/>
  <c r="H7929" i="3"/>
  <c r="H7928" i="3"/>
  <c r="H7927" i="3"/>
  <c r="H7926" i="3"/>
  <c r="H7925" i="3"/>
  <c r="H7924" i="3"/>
  <c r="H7923" i="3"/>
  <c r="H7922" i="3"/>
  <c r="H7969" i="3"/>
  <c r="H7968" i="3"/>
  <c r="H7967" i="3"/>
  <c r="H7966" i="3"/>
  <c r="H7965" i="3"/>
  <c r="H7964" i="3"/>
  <c r="H7963" i="3"/>
  <c r="H7962" i="3"/>
  <c r="H7961" i="3"/>
  <c r="H7960" i="3"/>
  <c r="H7959" i="3"/>
  <c r="H7958" i="3"/>
  <c r="H7957" i="3"/>
  <c r="H7956" i="3"/>
  <c r="H7955" i="3"/>
  <c r="H7954" i="3"/>
  <c r="H7953" i="3"/>
  <c r="H7952" i="3"/>
  <c r="H7951" i="3"/>
  <c r="H7950" i="3"/>
  <c r="H7949" i="3"/>
  <c r="H7948" i="3"/>
  <c r="H7947" i="3"/>
  <c r="H7946" i="3"/>
  <c r="H7993" i="3"/>
  <c r="H7992" i="3"/>
  <c r="H7991" i="3"/>
  <c r="H7990" i="3"/>
  <c r="H7989" i="3"/>
  <c r="H7988" i="3"/>
  <c r="H7987" i="3"/>
  <c r="H7986" i="3"/>
  <c r="H7985" i="3"/>
  <c r="H7984" i="3"/>
  <c r="H7983" i="3"/>
  <c r="H7982" i="3"/>
  <c r="H7981" i="3"/>
  <c r="H7980" i="3"/>
  <c r="H7979" i="3"/>
  <c r="H7978" i="3"/>
  <c r="H7977" i="3"/>
  <c r="H7976" i="3"/>
  <c r="H7975" i="3"/>
  <c r="H7974" i="3"/>
  <c r="H7973" i="3"/>
  <c r="H7972" i="3"/>
  <c r="H7971" i="3"/>
  <c r="H7970" i="3"/>
  <c r="H8017" i="3"/>
  <c r="H8016" i="3"/>
  <c r="H8015" i="3"/>
  <c r="H8014" i="3"/>
  <c r="H8013" i="3"/>
  <c r="H8012" i="3"/>
  <c r="H8011" i="3"/>
  <c r="H8010" i="3"/>
  <c r="H8009" i="3"/>
  <c r="H8008" i="3"/>
  <c r="H8007" i="3"/>
  <c r="H8006" i="3"/>
  <c r="H8005" i="3"/>
  <c r="H8004" i="3"/>
  <c r="H8003" i="3"/>
  <c r="H8002" i="3"/>
  <c r="H8001" i="3"/>
  <c r="H8000" i="3"/>
  <c r="H7999" i="3"/>
  <c r="H7998" i="3"/>
  <c r="H7997" i="3"/>
  <c r="H7996" i="3"/>
  <c r="H7995" i="3"/>
  <c r="H7994" i="3"/>
  <c r="H8041" i="3"/>
  <c r="H8040" i="3"/>
  <c r="H8039" i="3"/>
  <c r="H8038" i="3"/>
  <c r="H8037" i="3"/>
  <c r="H8036" i="3"/>
  <c r="H8035" i="3"/>
  <c r="H8034" i="3"/>
  <c r="H8033" i="3"/>
  <c r="H8032" i="3"/>
  <c r="H8031" i="3"/>
  <c r="H8030" i="3"/>
  <c r="H8029" i="3"/>
  <c r="H8028" i="3"/>
  <c r="H8027" i="3"/>
  <c r="H8026" i="3"/>
  <c r="H8025" i="3"/>
  <c r="H8024" i="3"/>
  <c r="H8023" i="3"/>
  <c r="H8022" i="3"/>
  <c r="H8021" i="3"/>
  <c r="H8020" i="3"/>
  <c r="H8019" i="3"/>
  <c r="H8018" i="3"/>
  <c r="H8065" i="3"/>
  <c r="H8064" i="3"/>
  <c r="H8063" i="3"/>
  <c r="H8062" i="3"/>
  <c r="H8061" i="3"/>
  <c r="H8060" i="3"/>
  <c r="H8059" i="3"/>
  <c r="H8058" i="3"/>
  <c r="H8057" i="3"/>
  <c r="H8056" i="3"/>
  <c r="H8055" i="3"/>
  <c r="H8054" i="3"/>
  <c r="H8053" i="3"/>
  <c r="H8052" i="3"/>
  <c r="H8051" i="3"/>
  <c r="H8050" i="3"/>
  <c r="H8049" i="3"/>
  <c r="H8048" i="3"/>
  <c r="H8047" i="3"/>
  <c r="H8046" i="3"/>
  <c r="H8045" i="3"/>
  <c r="H8044" i="3"/>
  <c r="H8043" i="3"/>
  <c r="H8042" i="3"/>
  <c r="H8089" i="3"/>
  <c r="H8088" i="3"/>
  <c r="H8087" i="3"/>
  <c r="H8086" i="3"/>
  <c r="H8085" i="3"/>
  <c r="H8084" i="3"/>
  <c r="H8083" i="3"/>
  <c r="H8082" i="3"/>
  <c r="H8081" i="3"/>
  <c r="H8080" i="3"/>
  <c r="H8079" i="3"/>
  <c r="H8078" i="3"/>
  <c r="H8077" i="3"/>
  <c r="H8076" i="3"/>
  <c r="H8075" i="3"/>
  <c r="H8074" i="3"/>
  <c r="H8073" i="3"/>
  <c r="H8072" i="3"/>
  <c r="H8071" i="3"/>
  <c r="H8070" i="3"/>
  <c r="H8069" i="3"/>
  <c r="H8068" i="3"/>
  <c r="H8067" i="3"/>
  <c r="H8066" i="3"/>
  <c r="H8113" i="3"/>
  <c r="H8112" i="3"/>
  <c r="H8111" i="3"/>
  <c r="H8110" i="3"/>
  <c r="H8109" i="3"/>
  <c r="H8108" i="3"/>
  <c r="H8107" i="3"/>
  <c r="H8106" i="3"/>
  <c r="H8105" i="3"/>
  <c r="H8104" i="3"/>
  <c r="H8103" i="3"/>
  <c r="H8102" i="3"/>
  <c r="H8101" i="3"/>
  <c r="H8100" i="3"/>
  <c r="H8099" i="3"/>
  <c r="H8098" i="3"/>
  <c r="H8097" i="3"/>
  <c r="H8096" i="3"/>
  <c r="H8095" i="3"/>
  <c r="H8094" i="3"/>
  <c r="H8093" i="3"/>
  <c r="H8092" i="3"/>
  <c r="H8091" i="3"/>
  <c r="H8090" i="3"/>
  <c r="H8137" i="3"/>
  <c r="H8136" i="3"/>
  <c r="H8135" i="3"/>
  <c r="H8134" i="3"/>
  <c r="H8133" i="3"/>
  <c r="H8132" i="3"/>
  <c r="H8131" i="3"/>
  <c r="H8130" i="3"/>
  <c r="H8129" i="3"/>
  <c r="H8128" i="3"/>
  <c r="H8127" i="3"/>
  <c r="H8126" i="3"/>
  <c r="H8125" i="3"/>
  <c r="H8124" i="3"/>
  <c r="H8123" i="3"/>
  <c r="H8122" i="3"/>
  <c r="H8121" i="3"/>
  <c r="H8120" i="3"/>
  <c r="H8119" i="3"/>
  <c r="H8118" i="3"/>
  <c r="H8117" i="3"/>
  <c r="H8116" i="3"/>
  <c r="H8115" i="3"/>
  <c r="H8114" i="3"/>
  <c r="H8161" i="3"/>
  <c r="H8160" i="3"/>
  <c r="H8159" i="3"/>
  <c r="H8158" i="3"/>
  <c r="H8157" i="3"/>
  <c r="H8156" i="3"/>
  <c r="H8155" i="3"/>
  <c r="H8154" i="3"/>
  <c r="H8153" i="3"/>
  <c r="H8152" i="3"/>
  <c r="H8151" i="3"/>
  <c r="H8150" i="3"/>
  <c r="H8149" i="3"/>
  <c r="H8148" i="3"/>
  <c r="H8147" i="3"/>
  <c r="H8146" i="3"/>
  <c r="H8145" i="3"/>
  <c r="H8144" i="3"/>
  <c r="H8143" i="3"/>
  <c r="H8142" i="3"/>
  <c r="H8141" i="3"/>
  <c r="H8140" i="3"/>
  <c r="H8139" i="3"/>
  <c r="H8138" i="3"/>
  <c r="H8185" i="3"/>
  <c r="H8184" i="3"/>
  <c r="H8183" i="3"/>
  <c r="H8182" i="3"/>
  <c r="H8181" i="3"/>
  <c r="H8180" i="3"/>
  <c r="H8179" i="3"/>
  <c r="H8178" i="3"/>
  <c r="H8177" i="3"/>
  <c r="H8176" i="3"/>
  <c r="H8175" i="3"/>
  <c r="H8174" i="3"/>
  <c r="H8173" i="3"/>
  <c r="H8172" i="3"/>
  <c r="H8171" i="3"/>
  <c r="H8170" i="3"/>
  <c r="H8169" i="3"/>
  <c r="H8168" i="3"/>
  <c r="H8167" i="3"/>
  <c r="H8166" i="3"/>
  <c r="H8165" i="3"/>
  <c r="H8164" i="3"/>
  <c r="H8163" i="3"/>
  <c r="H8162" i="3"/>
  <c r="H8209" i="3"/>
  <c r="H8208" i="3"/>
  <c r="H8207" i="3"/>
  <c r="H8206" i="3"/>
  <c r="H8205" i="3"/>
  <c r="H8204" i="3"/>
  <c r="H8203" i="3"/>
  <c r="H8202" i="3"/>
  <c r="H8201" i="3"/>
  <c r="H8200" i="3"/>
  <c r="H8199" i="3"/>
  <c r="H8198" i="3"/>
  <c r="H8197" i="3"/>
  <c r="H8196" i="3"/>
  <c r="H8195" i="3"/>
  <c r="H8194" i="3"/>
  <c r="H8193" i="3"/>
  <c r="H8192" i="3"/>
  <c r="H8191" i="3"/>
  <c r="H8190" i="3"/>
  <c r="H8189" i="3"/>
  <c r="H8188" i="3"/>
  <c r="H8187" i="3"/>
  <c r="H8186" i="3"/>
  <c r="H8233" i="3"/>
  <c r="H8232" i="3"/>
  <c r="H8231" i="3"/>
  <c r="H8230" i="3"/>
  <c r="H8229" i="3"/>
  <c r="H8228" i="3"/>
  <c r="H8227" i="3"/>
  <c r="H8226" i="3"/>
  <c r="H8225" i="3"/>
  <c r="H8224" i="3"/>
  <c r="H8223" i="3"/>
  <c r="H8222" i="3"/>
  <c r="H8221" i="3"/>
  <c r="H8220" i="3"/>
  <c r="H8219" i="3"/>
  <c r="H8218" i="3"/>
  <c r="H8217" i="3"/>
  <c r="H8216" i="3"/>
  <c r="H8215" i="3"/>
  <c r="H8214" i="3"/>
  <c r="H8213" i="3"/>
  <c r="H8212" i="3"/>
  <c r="H8211" i="3"/>
  <c r="H8210" i="3"/>
  <c r="H8257" i="3"/>
  <c r="H8256" i="3"/>
  <c r="H8255" i="3"/>
  <c r="H8254" i="3"/>
  <c r="H8253" i="3"/>
  <c r="H8252" i="3"/>
  <c r="H8251" i="3"/>
  <c r="H8250" i="3"/>
  <c r="H8249" i="3"/>
  <c r="H8248" i="3"/>
  <c r="H8247" i="3"/>
  <c r="H8246" i="3"/>
  <c r="H8245" i="3"/>
  <c r="H8244" i="3"/>
  <c r="H8243" i="3"/>
  <c r="H8242" i="3"/>
  <c r="H8241" i="3"/>
  <c r="H8240" i="3"/>
  <c r="H8239" i="3"/>
  <c r="H8238" i="3"/>
  <c r="H8237" i="3"/>
  <c r="H8236" i="3"/>
  <c r="H8235" i="3"/>
  <c r="H8234" i="3"/>
  <c r="H8281" i="3"/>
  <c r="H8280" i="3"/>
  <c r="H8279" i="3"/>
  <c r="H8278" i="3"/>
  <c r="H8277" i="3"/>
  <c r="H8276" i="3"/>
  <c r="H8275" i="3"/>
  <c r="H8274" i="3"/>
  <c r="H8273" i="3"/>
  <c r="H8272" i="3"/>
  <c r="H8271" i="3"/>
  <c r="H8270" i="3"/>
  <c r="H8269" i="3"/>
  <c r="H8268" i="3"/>
  <c r="H8267" i="3"/>
  <c r="H8266" i="3"/>
  <c r="H8265" i="3"/>
  <c r="H8264" i="3"/>
  <c r="H8263" i="3"/>
  <c r="H8262" i="3"/>
  <c r="H8261" i="3"/>
  <c r="H8260" i="3"/>
  <c r="H8259" i="3"/>
  <c r="H8258" i="3"/>
  <c r="H8288" i="3"/>
  <c r="H8305" i="3"/>
  <c r="H8304" i="3"/>
  <c r="H8303" i="3"/>
  <c r="H8302" i="3"/>
  <c r="H8301" i="3"/>
  <c r="H8300" i="3"/>
  <c r="H8299" i="3"/>
  <c r="H8298" i="3"/>
  <c r="H8297" i="3"/>
  <c r="H8296" i="3"/>
  <c r="H8295" i="3"/>
  <c r="H8294" i="3"/>
  <c r="H8293" i="3"/>
  <c r="H8292" i="3"/>
  <c r="H8291" i="3"/>
  <c r="H8290" i="3"/>
  <c r="H8289" i="3"/>
  <c r="H8287" i="3"/>
  <c r="H8286" i="3"/>
  <c r="H8285" i="3"/>
  <c r="H8284" i="3"/>
  <c r="H8283" i="3"/>
  <c r="H8282" i="3"/>
  <c r="H8329" i="3"/>
  <c r="H8328" i="3"/>
  <c r="H8327" i="3"/>
  <c r="H8326" i="3"/>
  <c r="H8325" i="3"/>
  <c r="H8324" i="3"/>
  <c r="H8323" i="3"/>
  <c r="H8322" i="3"/>
  <c r="H8321" i="3"/>
  <c r="H8320" i="3"/>
  <c r="H8319" i="3"/>
  <c r="H8318" i="3"/>
  <c r="H8317" i="3"/>
  <c r="H8316" i="3"/>
  <c r="H8315" i="3"/>
  <c r="H8314" i="3"/>
  <c r="H8313" i="3"/>
  <c r="H8312" i="3"/>
  <c r="H8311" i="3"/>
  <c r="H8310" i="3"/>
  <c r="H8309" i="3"/>
  <c r="H8308" i="3"/>
  <c r="H8307" i="3"/>
  <c r="H8306" i="3"/>
  <c r="H8353" i="3"/>
  <c r="H8352" i="3"/>
  <c r="H8351" i="3"/>
  <c r="H8350" i="3"/>
  <c r="H8349" i="3"/>
  <c r="H8348" i="3"/>
  <c r="H8347" i="3"/>
  <c r="H8346" i="3"/>
  <c r="H8345" i="3"/>
  <c r="H8344" i="3"/>
  <c r="H8343" i="3"/>
  <c r="H8342" i="3"/>
  <c r="H8341" i="3"/>
  <c r="H8340" i="3"/>
  <c r="H8339" i="3"/>
  <c r="H8338" i="3"/>
  <c r="H8337" i="3"/>
  <c r="H8336" i="3"/>
  <c r="H8335" i="3"/>
  <c r="H8334" i="3"/>
  <c r="H8333" i="3"/>
  <c r="H8332" i="3"/>
  <c r="H8331" i="3"/>
  <c r="H8330" i="3"/>
  <c r="H8377" i="3"/>
  <c r="H8376" i="3"/>
  <c r="H8375" i="3"/>
  <c r="H8374" i="3"/>
  <c r="H8373" i="3"/>
  <c r="H8372" i="3"/>
  <c r="H8371" i="3"/>
  <c r="H8370" i="3"/>
  <c r="H8369" i="3"/>
  <c r="H8368" i="3"/>
  <c r="H8367" i="3"/>
  <c r="H8366" i="3"/>
  <c r="H8365" i="3"/>
  <c r="H8364" i="3"/>
  <c r="H8363" i="3"/>
  <c r="H8362" i="3"/>
  <c r="H8361" i="3"/>
  <c r="H8360" i="3"/>
  <c r="H8359" i="3"/>
  <c r="H8358" i="3"/>
  <c r="H8357" i="3"/>
  <c r="H8356" i="3"/>
  <c r="H8355" i="3"/>
  <c r="H8354" i="3"/>
  <c r="H8401" i="3"/>
  <c r="H8399" i="3"/>
  <c r="H8398" i="3"/>
  <c r="H8397" i="3"/>
  <c r="H8396" i="3"/>
  <c r="H8395" i="3"/>
  <c r="H8394" i="3"/>
  <c r="H8393" i="3"/>
  <c r="H8392" i="3"/>
  <c r="H8391" i="3"/>
  <c r="H8390" i="3"/>
  <c r="H8389" i="3"/>
  <c r="H8388" i="3"/>
  <c r="H8387" i="3"/>
  <c r="H8386" i="3"/>
  <c r="H8385" i="3"/>
  <c r="H8384" i="3"/>
  <c r="H8383" i="3"/>
  <c r="H8382" i="3"/>
  <c r="H8381" i="3"/>
  <c r="H8380" i="3"/>
  <c r="H8379" i="3"/>
  <c r="H8378" i="3"/>
  <c r="H8407" i="3"/>
  <c r="H8408" i="3"/>
  <c r="H8425" i="3"/>
  <c r="H8424" i="3"/>
  <c r="H8423" i="3"/>
  <c r="H8422" i="3"/>
  <c r="H8421" i="3"/>
  <c r="H8420" i="3"/>
  <c r="H8419" i="3"/>
  <c r="H8418" i="3"/>
  <c r="H8417" i="3"/>
  <c r="H8416" i="3"/>
  <c r="H8415" i="3"/>
  <c r="H8414" i="3"/>
  <c r="H8413" i="3"/>
  <c r="H8412" i="3"/>
  <c r="H8411" i="3"/>
  <c r="H8410" i="3"/>
  <c r="H8409" i="3"/>
  <c r="H8406" i="3"/>
  <c r="H8405" i="3"/>
  <c r="H8404" i="3"/>
  <c r="H8403" i="3"/>
  <c r="S351" i="1"/>
  <c r="S352" i="1"/>
  <c r="M350" i="1"/>
  <c r="M351" i="1"/>
  <c r="M352" i="1"/>
  <c r="F351" i="1"/>
  <c r="F352" i="1"/>
  <c r="S350" i="1"/>
  <c r="F350" i="1"/>
  <c r="S349" i="1"/>
  <c r="F349" i="1"/>
  <c r="M348" i="1"/>
  <c r="M347" i="1"/>
  <c r="M346" i="1"/>
  <c r="S348" i="1"/>
  <c r="F348" i="1"/>
  <c r="S347" i="1"/>
  <c r="F347" i="1"/>
  <c r="C35" i="12"/>
  <c r="M344" i="1"/>
  <c r="M345" i="1"/>
  <c r="S346" i="1"/>
  <c r="F346" i="1"/>
  <c r="S345" i="1"/>
  <c r="F345" i="1"/>
  <c r="M339" i="1"/>
  <c r="M340" i="1"/>
  <c r="M341" i="1"/>
  <c r="M342" i="1"/>
  <c r="M343" i="1"/>
  <c r="S344" i="1"/>
  <c r="F344" i="1"/>
  <c r="S343" i="1"/>
  <c r="F343" i="1"/>
  <c r="S342" i="1"/>
  <c r="F342" i="1"/>
  <c r="S341" i="1"/>
  <c r="F341" i="1"/>
  <c r="S340" i="1"/>
  <c r="H7921" i="3"/>
  <c r="H7920" i="3"/>
  <c r="H7919" i="3"/>
  <c r="H7918" i="3"/>
  <c r="H7917" i="3"/>
  <c r="H7916" i="3"/>
  <c r="H7915" i="3"/>
  <c r="H7914" i="3"/>
  <c r="H7913" i="3"/>
  <c r="H7912" i="3"/>
  <c r="H7911" i="3"/>
  <c r="H7910" i="3"/>
  <c r="H7909" i="3"/>
  <c r="H7908" i="3"/>
  <c r="H7907" i="3"/>
  <c r="H7906" i="3"/>
  <c r="H7905" i="3"/>
  <c r="H7904" i="3"/>
  <c r="H7903" i="3"/>
  <c r="H7902" i="3"/>
  <c r="H7901" i="3"/>
  <c r="H7900" i="3"/>
  <c r="H7899" i="3"/>
  <c r="H7898" i="3"/>
  <c r="F340" i="1"/>
  <c r="F7994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H7824" i="3"/>
  <c r="H7823" i="3"/>
  <c r="H7822" i="3"/>
  <c r="H7821" i="3"/>
  <c r="H7820" i="3"/>
  <c r="H7819" i="3"/>
  <c r="H7818" i="3"/>
  <c r="H7817" i="3"/>
  <c r="H7816" i="3"/>
  <c r="H7815" i="3"/>
  <c r="H7814" i="3"/>
  <c r="H7813" i="3"/>
  <c r="H7812" i="3"/>
  <c r="H7811" i="3"/>
  <c r="H7810" i="3"/>
  <c r="H7809" i="3"/>
  <c r="H7808" i="3"/>
  <c r="H7807" i="3"/>
  <c r="H7806" i="3"/>
  <c r="H7805" i="3"/>
  <c r="H7804" i="3"/>
  <c r="H7803" i="3"/>
  <c r="H7802" i="3"/>
  <c r="H7849" i="3"/>
  <c r="H7848" i="3"/>
  <c r="H7847" i="3"/>
  <c r="H7846" i="3"/>
  <c r="H7845" i="3"/>
  <c r="H7844" i="3"/>
  <c r="H7843" i="3"/>
  <c r="H7842" i="3"/>
  <c r="H7841" i="3"/>
  <c r="H7840" i="3"/>
  <c r="H7839" i="3"/>
  <c r="H7838" i="3"/>
  <c r="H7837" i="3"/>
  <c r="H7836" i="3"/>
  <c r="H7835" i="3"/>
  <c r="H7834" i="3"/>
  <c r="H7833" i="3"/>
  <c r="H7832" i="3"/>
  <c r="H7831" i="3"/>
  <c r="H7830" i="3"/>
  <c r="H7829" i="3"/>
  <c r="H7828" i="3"/>
  <c r="H7827" i="3"/>
  <c r="H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3" i="12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S324" i="1"/>
  <c r="F324" i="1"/>
  <c r="M320" i="1"/>
  <c r="M321" i="1"/>
  <c r="M322" i="1"/>
  <c r="S323" i="1"/>
  <c r="F323" i="1"/>
  <c r="S322" i="1"/>
  <c r="F322" i="1"/>
  <c r="S321" i="1"/>
  <c r="F321" i="1"/>
  <c r="S320" i="1"/>
  <c r="M319" i="1"/>
  <c r="F320" i="1"/>
  <c r="F319" i="1"/>
  <c r="S319" i="1"/>
  <c r="M317" i="1"/>
  <c r="M318" i="1"/>
  <c r="G166" i="23" l="1"/>
  <c r="D155" i="23"/>
  <c r="W154" i="23"/>
  <c r="X154" i="23"/>
  <c r="S318" i="1"/>
  <c r="F318" i="1"/>
  <c r="S317" i="1"/>
  <c r="F317" i="1"/>
  <c r="M314" i="1"/>
  <c r="M315" i="1"/>
  <c r="M316" i="1"/>
  <c r="S316" i="1"/>
  <c r="F316" i="1"/>
  <c r="S315" i="1"/>
  <c r="F315" i="1"/>
  <c r="M311" i="1"/>
  <c r="M312" i="1"/>
  <c r="M313" i="1"/>
  <c r="S314" i="1"/>
  <c r="F314" i="1"/>
  <c r="S313" i="1"/>
  <c r="F313" i="1"/>
  <c r="S312" i="1"/>
  <c r="F312" i="1"/>
  <c r="S311" i="1"/>
  <c r="F311" i="1"/>
  <c r="D156" i="23" l="1"/>
  <c r="W155" i="23"/>
  <c r="X155" i="23"/>
  <c r="G167" i="23"/>
  <c r="M309" i="1"/>
  <c r="M310" i="1"/>
  <c r="M305" i="1"/>
  <c r="M306" i="1"/>
  <c r="S310" i="1"/>
  <c r="F310" i="1"/>
  <c r="G168" i="23" l="1"/>
  <c r="W156" i="23"/>
  <c r="D157" i="23"/>
  <c r="X156" i="23"/>
  <c r="S309" i="1"/>
  <c r="F309" i="1"/>
  <c r="D158" i="23" l="1"/>
  <c r="W157" i="23"/>
  <c r="X157" i="23"/>
  <c r="G169" i="23"/>
  <c r="S308" i="1"/>
  <c r="F308" i="1"/>
  <c r="F307" i="1"/>
  <c r="G170" i="23" l="1"/>
  <c r="Y158" i="23"/>
  <c r="D159" i="23"/>
  <c r="W158" i="23"/>
  <c r="X158" i="23"/>
  <c r="S307" i="1"/>
  <c r="D160" i="23" l="1"/>
  <c r="W159" i="23"/>
  <c r="Y159" i="23"/>
  <c r="X159" i="23"/>
  <c r="G171" i="23"/>
  <c r="S306" i="1"/>
  <c r="F306" i="1"/>
  <c r="M304" i="1"/>
  <c r="S305" i="1"/>
  <c r="F305" i="1"/>
  <c r="S304" i="1"/>
  <c r="F304" i="1"/>
  <c r="G172" i="23" l="1"/>
  <c r="D161" i="23"/>
  <c r="W160" i="23"/>
  <c r="Y160" i="23"/>
  <c r="X160" i="23"/>
  <c r="M301" i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D162" i="23" l="1"/>
  <c r="W161" i="23"/>
  <c r="Y161" i="23"/>
  <c r="X161" i="23"/>
  <c r="G173" i="23"/>
  <c r="S296" i="1"/>
  <c r="F296" i="1"/>
  <c r="G174" i="23" l="1"/>
  <c r="W162" i="23"/>
  <c r="Y162" i="23"/>
  <c r="D163" i="23"/>
  <c r="X162" i="23"/>
  <c r="S295" i="1"/>
  <c r="F295" i="1"/>
  <c r="Y163" i="23" l="1"/>
  <c r="D164" i="23"/>
  <c r="W163" i="23"/>
  <c r="X163" i="23"/>
  <c r="G175" i="23"/>
  <c r="M293" i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D165" i="23" l="1"/>
  <c r="W164" i="23"/>
  <c r="Y164" i="23"/>
  <c r="X164" i="23"/>
  <c r="G176" i="23"/>
  <c r="F288" i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G177" i="23" l="1"/>
  <c r="W165" i="23"/>
  <c r="Y165" i="23"/>
  <c r="D166" i="23"/>
  <c r="X165" i="23"/>
  <c r="S287" i="1"/>
  <c r="S286" i="1"/>
  <c r="S285" i="1"/>
  <c r="W166" i="23" l="1"/>
  <c r="V166" i="23"/>
  <c r="Y166" i="23" s="1"/>
  <c r="D167" i="23"/>
  <c r="X166" i="23"/>
  <c r="G178" i="23"/>
  <c r="M284" i="1"/>
  <c r="M282" i="1"/>
  <c r="M283" i="1"/>
  <c r="S284" i="1"/>
  <c r="S283" i="1"/>
  <c r="D168" i="23" l="1"/>
  <c r="W167" i="23"/>
  <c r="V167" i="23"/>
  <c r="Y167" i="23" s="1"/>
  <c r="X167" i="23"/>
  <c r="G179" i="23"/>
  <c r="S282" i="1"/>
  <c r="G180" i="23" l="1"/>
  <c r="W168" i="23"/>
  <c r="V168" i="23"/>
  <c r="Y168" i="23" s="1"/>
  <c r="D169" i="23"/>
  <c r="X168" i="23"/>
  <c r="M277" i="1"/>
  <c r="M278" i="1"/>
  <c r="M279" i="1"/>
  <c r="M280" i="1"/>
  <c r="M281" i="1"/>
  <c r="S281" i="1"/>
  <c r="S280" i="1"/>
  <c r="S279" i="1"/>
  <c r="S278" i="1"/>
  <c r="M274" i="1"/>
  <c r="M275" i="1"/>
  <c r="M276" i="1"/>
  <c r="S277" i="1"/>
  <c r="G181" i="23" l="1"/>
  <c r="V169" i="23"/>
  <c r="Y169" i="23" s="1"/>
  <c r="D170" i="23"/>
  <c r="W169" i="23"/>
  <c r="X169" i="23"/>
  <c r="S276" i="1"/>
  <c r="W170" i="23" l="1"/>
  <c r="V170" i="23"/>
  <c r="Y170" i="23" s="1"/>
  <c r="D171" i="23"/>
  <c r="X170" i="23"/>
  <c r="G182" i="23"/>
  <c r="S275" i="1"/>
  <c r="M273" i="1"/>
  <c r="S274" i="1"/>
  <c r="V171" i="23" l="1"/>
  <c r="Y171" i="23" s="1"/>
  <c r="D172" i="23"/>
  <c r="U171" i="23"/>
  <c r="W171" i="23"/>
  <c r="X171" i="23"/>
  <c r="G183" i="23"/>
  <c r="M268" i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W172" i="23" l="1"/>
  <c r="D173" i="23"/>
  <c r="V172" i="23"/>
  <c r="Y172" i="23" s="1"/>
  <c r="U172" i="23"/>
  <c r="X172" i="23"/>
  <c r="G184" i="23"/>
  <c r="M260" i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G185" i="23" l="1"/>
  <c r="U173" i="23"/>
  <c r="W173" i="23"/>
  <c r="D174" i="23"/>
  <c r="V173" i="23"/>
  <c r="Y173" i="23" s="1"/>
  <c r="X173" i="23"/>
  <c r="E6264" i="3"/>
  <c r="E6262" i="3"/>
  <c r="E6261" i="3"/>
  <c r="E6260" i="3"/>
  <c r="E6258" i="3"/>
  <c r="E6254" i="3"/>
  <c r="E6248" i="3"/>
  <c r="E6247" i="3"/>
  <c r="E6246" i="3"/>
  <c r="E6245" i="3"/>
  <c r="E6243" i="3"/>
  <c r="E6242" i="3"/>
  <c r="E6253" i="3"/>
  <c r="E6252" i="3"/>
  <c r="E6251" i="3"/>
  <c r="S262" i="1"/>
  <c r="W174" i="23" l="1"/>
  <c r="D175" i="23"/>
  <c r="V174" i="23"/>
  <c r="Y174" i="23" s="1"/>
  <c r="U174" i="23"/>
  <c r="X174" i="23"/>
  <c r="G186" i="23"/>
  <c r="E6241" i="3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W175" i="23" l="1"/>
  <c r="D176" i="23"/>
  <c r="V175" i="23"/>
  <c r="Y175" i="23" s="1"/>
  <c r="U175" i="23"/>
  <c r="X175" i="23"/>
  <c r="G187" i="23"/>
  <c r="M258" i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G188" i="23" l="1"/>
  <c r="U176" i="23"/>
  <c r="W176" i="23"/>
  <c r="V176" i="23"/>
  <c r="Y176" i="23" s="1"/>
  <c r="D177" i="23"/>
  <c r="X176" i="23"/>
  <c r="M254" i="1"/>
  <c r="M255" i="1"/>
  <c r="M256" i="1"/>
  <c r="D178" i="23" l="1"/>
  <c r="V177" i="23"/>
  <c r="Y177" i="23" s="1"/>
  <c r="U177" i="23"/>
  <c r="W177" i="23"/>
  <c r="X177" i="23"/>
  <c r="G189" i="23"/>
  <c r="S256" i="1"/>
  <c r="G190" i="23" l="1"/>
  <c r="W178" i="23"/>
  <c r="D179" i="23"/>
  <c r="V178" i="23"/>
  <c r="Y178" i="23" s="1"/>
  <c r="U178" i="23"/>
  <c r="X178" i="23"/>
  <c r="S255" i="1"/>
  <c r="W179" i="23" l="1"/>
  <c r="D180" i="23"/>
  <c r="V179" i="23"/>
  <c r="Y179" i="23" s="1"/>
  <c r="U179" i="23"/>
  <c r="X179" i="23"/>
  <c r="G191" i="23"/>
  <c r="S254" i="1"/>
  <c r="M252" i="1"/>
  <c r="M253" i="1"/>
  <c r="M250" i="1"/>
  <c r="M251" i="1"/>
  <c r="S253" i="1"/>
  <c r="G192" i="23" l="1"/>
  <c r="U180" i="23"/>
  <c r="W180" i="23"/>
  <c r="D181" i="23"/>
  <c r="V180" i="23"/>
  <c r="Y180" i="23" s="1"/>
  <c r="X180" i="23"/>
  <c r="E6022" i="3"/>
  <c r="E6018" i="3"/>
  <c r="E6017" i="3"/>
  <c r="E6014" i="3"/>
  <c r="E6012" i="3"/>
  <c r="E6009" i="3"/>
  <c r="E6007" i="3"/>
  <c r="E6003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G193" i="23" l="1"/>
  <c r="D182" i="23"/>
  <c r="V181" i="23"/>
  <c r="Y181" i="23" s="1"/>
  <c r="U181" i="23"/>
  <c r="W181" i="23"/>
  <c r="X181" i="23"/>
  <c r="M247" i="1"/>
  <c r="S248" i="1"/>
  <c r="W182" i="23" l="1"/>
  <c r="D183" i="23"/>
  <c r="V182" i="23"/>
  <c r="Y182" i="23" s="1"/>
  <c r="U182" i="23"/>
  <c r="X182" i="23"/>
  <c r="G194" i="23"/>
  <c r="S247" i="1"/>
  <c r="M246" i="1"/>
  <c r="W183" i="23" l="1"/>
  <c r="D184" i="23"/>
  <c r="V183" i="23"/>
  <c r="Y183" i="23" s="1"/>
  <c r="U183" i="23"/>
  <c r="X183" i="23"/>
  <c r="G195" i="23"/>
  <c r="S246" i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8135" i="3" s="1"/>
  <c r="D8159" i="3" s="1"/>
  <c r="D8183" i="3" s="1"/>
  <c r="D8207" i="3" s="1"/>
  <c r="D8231" i="3" s="1"/>
  <c r="D8255" i="3" s="1"/>
  <c r="D8279" i="3" s="1"/>
  <c r="D8303" i="3" s="1"/>
  <c r="D8327" i="3" s="1"/>
  <c r="D8351" i="3" s="1"/>
  <c r="D8375" i="3" s="1"/>
  <c r="D8399" i="3" s="1"/>
  <c r="D8423" i="3" s="1"/>
  <c r="D8447" i="3" s="1"/>
  <c r="D8471" i="3" s="1"/>
  <c r="D8495" i="3" s="1"/>
  <c r="D8519" i="3" s="1"/>
  <c r="D8543" i="3" s="1"/>
  <c r="D8567" i="3" s="1"/>
  <c r="D8591" i="3" s="1"/>
  <c r="D8615" i="3" s="1"/>
  <c r="D8639" i="3" s="1"/>
  <c r="D8663" i="3" s="1"/>
  <c r="D8687" i="3" s="1"/>
  <c r="D8711" i="3" s="1"/>
  <c r="D8735" i="3" s="1"/>
  <c r="D8759" i="3" s="1"/>
  <c r="D8783" i="3" s="1"/>
  <c r="D8807" i="3" s="1"/>
  <c r="D8831" i="3" s="1"/>
  <c r="D8855" i="3" s="1"/>
  <c r="D8879" i="3" s="1"/>
  <c r="D8903" i="3" s="1"/>
  <c r="D8927" i="3" s="1"/>
  <c r="D8951" i="3" s="1"/>
  <c r="D8975" i="3" s="1"/>
  <c r="D8999" i="3" s="1"/>
  <c r="D9023" i="3" s="1"/>
  <c r="D9047" i="3" s="1"/>
  <c r="D9071" i="3" s="1"/>
  <c r="D9095" i="3" s="1"/>
  <c r="D9119" i="3" s="1"/>
  <c r="D9143" i="3" s="1"/>
  <c r="D9167" i="3" s="1"/>
  <c r="D9191" i="3" s="1"/>
  <c r="D9215" i="3" s="1"/>
  <c r="D9239" i="3" s="1"/>
  <c r="D9263" i="3" s="1"/>
  <c r="D9287" i="3" s="1"/>
  <c r="D9311" i="3" s="1"/>
  <c r="D9335" i="3" s="1"/>
  <c r="D9359" i="3" s="1"/>
  <c r="D9383" i="3" s="1"/>
  <c r="D9407" i="3" s="1"/>
  <c r="D9431" i="3" s="1"/>
  <c r="D9455" i="3" s="1"/>
  <c r="D9479" i="3" s="1"/>
  <c r="D9503" i="3" s="1"/>
  <c r="D9527" i="3" s="1"/>
  <c r="D9551" i="3" s="1"/>
  <c r="D9575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8134" i="3" s="1"/>
  <c r="D8158" i="3" s="1"/>
  <c r="D8182" i="3" s="1"/>
  <c r="D8206" i="3" s="1"/>
  <c r="D8230" i="3" s="1"/>
  <c r="D8254" i="3" s="1"/>
  <c r="D8278" i="3" s="1"/>
  <c r="D8302" i="3" s="1"/>
  <c r="D8326" i="3" s="1"/>
  <c r="D8350" i="3" s="1"/>
  <c r="D8374" i="3" s="1"/>
  <c r="D8398" i="3" s="1"/>
  <c r="D8422" i="3" s="1"/>
  <c r="D8446" i="3" s="1"/>
  <c r="D8470" i="3" s="1"/>
  <c r="D8494" i="3" s="1"/>
  <c r="D8518" i="3" s="1"/>
  <c r="D8542" i="3" s="1"/>
  <c r="D8566" i="3" s="1"/>
  <c r="D8590" i="3" s="1"/>
  <c r="D8614" i="3" s="1"/>
  <c r="D8638" i="3" s="1"/>
  <c r="D8662" i="3" s="1"/>
  <c r="D8686" i="3" s="1"/>
  <c r="D8710" i="3" s="1"/>
  <c r="D8734" i="3" s="1"/>
  <c r="D8758" i="3" s="1"/>
  <c r="D8782" i="3" s="1"/>
  <c r="D8806" i="3" s="1"/>
  <c r="D8830" i="3" s="1"/>
  <c r="D8854" i="3" s="1"/>
  <c r="D8878" i="3" s="1"/>
  <c r="D8902" i="3" s="1"/>
  <c r="D8926" i="3" s="1"/>
  <c r="D8950" i="3" s="1"/>
  <c r="D8974" i="3" s="1"/>
  <c r="D8998" i="3" s="1"/>
  <c r="D9022" i="3" s="1"/>
  <c r="D9046" i="3" s="1"/>
  <c r="D9070" i="3" s="1"/>
  <c r="D9094" i="3" s="1"/>
  <c r="D9118" i="3" s="1"/>
  <c r="D9142" i="3" s="1"/>
  <c r="D9166" i="3" s="1"/>
  <c r="D9190" i="3" s="1"/>
  <c r="D9214" i="3" s="1"/>
  <c r="D9238" i="3" s="1"/>
  <c r="D9262" i="3" s="1"/>
  <c r="D9286" i="3" s="1"/>
  <c r="D9310" i="3" s="1"/>
  <c r="D9334" i="3" s="1"/>
  <c r="D9358" i="3" s="1"/>
  <c r="D9382" i="3" s="1"/>
  <c r="D9406" i="3" s="1"/>
  <c r="D9430" i="3" s="1"/>
  <c r="D9454" i="3" s="1"/>
  <c r="D9478" i="3" s="1"/>
  <c r="D9502" i="3" s="1"/>
  <c r="D9526" i="3" s="1"/>
  <c r="D9550" i="3" s="1"/>
  <c r="D9574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8132" i="3" s="1"/>
  <c r="D8156" i="3" s="1"/>
  <c r="D8180" i="3" s="1"/>
  <c r="D8204" i="3" s="1"/>
  <c r="D8228" i="3" s="1"/>
  <c r="D8252" i="3" s="1"/>
  <c r="D8276" i="3" s="1"/>
  <c r="D8300" i="3" s="1"/>
  <c r="D8324" i="3" s="1"/>
  <c r="D8348" i="3" s="1"/>
  <c r="D8372" i="3" s="1"/>
  <c r="D8396" i="3" s="1"/>
  <c r="D8420" i="3" s="1"/>
  <c r="D8444" i="3" s="1"/>
  <c r="D8468" i="3" s="1"/>
  <c r="D8492" i="3" s="1"/>
  <c r="D8516" i="3" s="1"/>
  <c r="D8540" i="3" s="1"/>
  <c r="D8564" i="3" s="1"/>
  <c r="D8588" i="3" s="1"/>
  <c r="D8612" i="3" s="1"/>
  <c r="D8636" i="3" s="1"/>
  <c r="D8660" i="3" s="1"/>
  <c r="D8684" i="3" s="1"/>
  <c r="D8708" i="3" s="1"/>
  <c r="D8732" i="3" s="1"/>
  <c r="D8756" i="3" s="1"/>
  <c r="D8780" i="3" s="1"/>
  <c r="D8804" i="3" s="1"/>
  <c r="D8828" i="3" s="1"/>
  <c r="D8852" i="3" s="1"/>
  <c r="D8876" i="3" s="1"/>
  <c r="D8900" i="3" s="1"/>
  <c r="D8924" i="3" s="1"/>
  <c r="D8948" i="3" s="1"/>
  <c r="D8972" i="3" s="1"/>
  <c r="D8996" i="3" s="1"/>
  <c r="D9020" i="3" s="1"/>
  <c r="D9044" i="3" s="1"/>
  <c r="D9068" i="3" s="1"/>
  <c r="D9092" i="3" s="1"/>
  <c r="D9116" i="3" s="1"/>
  <c r="D9140" i="3" s="1"/>
  <c r="D9164" i="3" s="1"/>
  <c r="D9188" i="3" s="1"/>
  <c r="D9212" i="3" s="1"/>
  <c r="D9236" i="3" s="1"/>
  <c r="D9260" i="3" s="1"/>
  <c r="D9284" i="3" s="1"/>
  <c r="D9308" i="3" s="1"/>
  <c r="D9332" i="3" s="1"/>
  <c r="D9356" i="3" s="1"/>
  <c r="D9380" i="3" s="1"/>
  <c r="D9404" i="3" s="1"/>
  <c r="D9428" i="3" s="1"/>
  <c r="D9452" i="3" s="1"/>
  <c r="D9476" i="3" s="1"/>
  <c r="D9500" i="3" s="1"/>
  <c r="D9524" i="3" s="1"/>
  <c r="D9548" i="3" s="1"/>
  <c r="D9572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8130" i="3" s="1"/>
  <c r="D8154" i="3" s="1"/>
  <c r="D8178" i="3" s="1"/>
  <c r="D8202" i="3" s="1"/>
  <c r="D8226" i="3" s="1"/>
  <c r="D8250" i="3" s="1"/>
  <c r="D8274" i="3" s="1"/>
  <c r="D8298" i="3" s="1"/>
  <c r="D8322" i="3" s="1"/>
  <c r="D8346" i="3" s="1"/>
  <c r="D8370" i="3" s="1"/>
  <c r="D8394" i="3" s="1"/>
  <c r="D8418" i="3" s="1"/>
  <c r="D8442" i="3" s="1"/>
  <c r="D8466" i="3" s="1"/>
  <c r="D8490" i="3" s="1"/>
  <c r="D8514" i="3" s="1"/>
  <c r="D8538" i="3" s="1"/>
  <c r="D8562" i="3" s="1"/>
  <c r="D8586" i="3" s="1"/>
  <c r="D8610" i="3" s="1"/>
  <c r="D8634" i="3" s="1"/>
  <c r="D8658" i="3" s="1"/>
  <c r="D8682" i="3" s="1"/>
  <c r="D8706" i="3" s="1"/>
  <c r="D8730" i="3" s="1"/>
  <c r="D8754" i="3" s="1"/>
  <c r="D8778" i="3" s="1"/>
  <c r="D8802" i="3" s="1"/>
  <c r="D8826" i="3" s="1"/>
  <c r="D8850" i="3" s="1"/>
  <c r="D8874" i="3" s="1"/>
  <c r="D8898" i="3" s="1"/>
  <c r="D8922" i="3" s="1"/>
  <c r="D8946" i="3" s="1"/>
  <c r="D8970" i="3" s="1"/>
  <c r="D8994" i="3" s="1"/>
  <c r="D9018" i="3" s="1"/>
  <c r="D9042" i="3" s="1"/>
  <c r="D9066" i="3" s="1"/>
  <c r="D9090" i="3" s="1"/>
  <c r="D9114" i="3" s="1"/>
  <c r="D9138" i="3" s="1"/>
  <c r="D9162" i="3" s="1"/>
  <c r="D9186" i="3" s="1"/>
  <c r="D9210" i="3" s="1"/>
  <c r="D9234" i="3" s="1"/>
  <c r="D9258" i="3" s="1"/>
  <c r="D9282" i="3" s="1"/>
  <c r="D9306" i="3" s="1"/>
  <c r="D9330" i="3" s="1"/>
  <c r="D9354" i="3" s="1"/>
  <c r="D9378" i="3" s="1"/>
  <c r="D9402" i="3" s="1"/>
  <c r="D9426" i="3" s="1"/>
  <c r="D9450" i="3" s="1"/>
  <c r="D9474" i="3" s="1"/>
  <c r="D9498" i="3" s="1"/>
  <c r="D9522" i="3" s="1"/>
  <c r="D9546" i="3" s="1"/>
  <c r="D9570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8129" i="3" s="1"/>
  <c r="D8153" i="3" s="1"/>
  <c r="D8177" i="3" s="1"/>
  <c r="D8201" i="3" s="1"/>
  <c r="D8225" i="3" s="1"/>
  <c r="D8249" i="3" s="1"/>
  <c r="D8273" i="3" s="1"/>
  <c r="D8297" i="3" s="1"/>
  <c r="D8321" i="3" s="1"/>
  <c r="D8345" i="3" s="1"/>
  <c r="D8369" i="3" s="1"/>
  <c r="D8393" i="3" s="1"/>
  <c r="D8417" i="3" s="1"/>
  <c r="D8441" i="3" s="1"/>
  <c r="D8465" i="3" s="1"/>
  <c r="D8489" i="3" s="1"/>
  <c r="D8513" i="3" s="1"/>
  <c r="D8537" i="3" s="1"/>
  <c r="D8561" i="3" s="1"/>
  <c r="D8585" i="3" s="1"/>
  <c r="D8609" i="3" s="1"/>
  <c r="D8633" i="3" s="1"/>
  <c r="D8657" i="3" s="1"/>
  <c r="D8681" i="3" s="1"/>
  <c r="D8705" i="3" s="1"/>
  <c r="D8729" i="3" s="1"/>
  <c r="D8753" i="3" s="1"/>
  <c r="D8777" i="3" s="1"/>
  <c r="D8801" i="3" s="1"/>
  <c r="D8825" i="3" s="1"/>
  <c r="D8849" i="3" s="1"/>
  <c r="D8873" i="3" s="1"/>
  <c r="D8897" i="3" s="1"/>
  <c r="D8921" i="3" s="1"/>
  <c r="D8945" i="3" s="1"/>
  <c r="D8969" i="3" s="1"/>
  <c r="D8993" i="3" s="1"/>
  <c r="D9017" i="3" s="1"/>
  <c r="D9041" i="3" s="1"/>
  <c r="D9065" i="3" s="1"/>
  <c r="D9089" i="3" s="1"/>
  <c r="D9113" i="3" s="1"/>
  <c r="D9137" i="3" s="1"/>
  <c r="D9161" i="3" s="1"/>
  <c r="D9185" i="3" s="1"/>
  <c r="D9209" i="3" s="1"/>
  <c r="D9233" i="3" s="1"/>
  <c r="D9257" i="3" s="1"/>
  <c r="D9281" i="3" s="1"/>
  <c r="D9305" i="3" s="1"/>
  <c r="D9329" i="3" s="1"/>
  <c r="D9353" i="3" s="1"/>
  <c r="D9377" i="3" s="1"/>
  <c r="D9401" i="3" s="1"/>
  <c r="D9425" i="3" s="1"/>
  <c r="D9449" i="3" s="1"/>
  <c r="D9473" i="3" s="1"/>
  <c r="D9497" i="3" s="1"/>
  <c r="D9521" i="3" s="1"/>
  <c r="D9545" i="3" s="1"/>
  <c r="D9569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D8114" i="3" s="1"/>
  <c r="D8138" i="3" s="1"/>
  <c r="D8162" i="3" s="1"/>
  <c r="D8186" i="3" s="1"/>
  <c r="D8210" i="3" s="1"/>
  <c r="D8234" i="3" s="1"/>
  <c r="D8258" i="3" s="1"/>
  <c r="D8282" i="3" s="1"/>
  <c r="D8306" i="3" s="1"/>
  <c r="D8330" i="3" s="1"/>
  <c r="D8354" i="3" s="1"/>
  <c r="D8378" i="3" s="1"/>
  <c r="D8402" i="3" s="1"/>
  <c r="D8426" i="3" s="1"/>
  <c r="D8450" i="3" s="1"/>
  <c r="D8474" i="3" s="1"/>
  <c r="D8498" i="3" s="1"/>
  <c r="D8522" i="3" s="1"/>
  <c r="D8546" i="3" s="1"/>
  <c r="D8570" i="3" s="1"/>
  <c r="D8594" i="3" s="1"/>
  <c r="D8618" i="3" s="1"/>
  <c r="D8642" i="3" s="1"/>
  <c r="D8666" i="3" s="1"/>
  <c r="D8690" i="3" s="1"/>
  <c r="D8714" i="3" s="1"/>
  <c r="D8738" i="3" s="1"/>
  <c r="D8762" i="3" s="1"/>
  <c r="D8786" i="3" s="1"/>
  <c r="D8810" i="3" s="1"/>
  <c r="D8834" i="3" s="1"/>
  <c r="D8858" i="3" s="1"/>
  <c r="D8882" i="3" s="1"/>
  <c r="D8906" i="3" s="1"/>
  <c r="D8930" i="3" s="1"/>
  <c r="D8954" i="3" s="1"/>
  <c r="D8978" i="3" s="1"/>
  <c r="D9002" i="3" s="1"/>
  <c r="D9026" i="3" s="1"/>
  <c r="D9050" i="3" s="1"/>
  <c r="D9074" i="3" s="1"/>
  <c r="D9098" i="3" s="1"/>
  <c r="D9122" i="3" s="1"/>
  <c r="D9146" i="3" s="1"/>
  <c r="D9170" i="3" s="1"/>
  <c r="D9194" i="3" s="1"/>
  <c r="D9218" i="3" s="1"/>
  <c r="D9242" i="3" s="1"/>
  <c r="D9266" i="3" s="1"/>
  <c r="D9290" i="3" s="1"/>
  <c r="D9314" i="3" s="1"/>
  <c r="D9338" i="3" s="1"/>
  <c r="D9362" i="3" s="1"/>
  <c r="D9386" i="3" s="1"/>
  <c r="D9410" i="3" s="1"/>
  <c r="D9434" i="3" s="1"/>
  <c r="D9458" i="3" s="1"/>
  <c r="D9482" i="3" s="1"/>
  <c r="D9506" i="3" s="1"/>
  <c r="D9530" i="3" s="1"/>
  <c r="D9554" i="3" s="1"/>
  <c r="G196" i="23" l="1"/>
  <c r="U184" i="23"/>
  <c r="W184" i="23"/>
  <c r="D185" i="23"/>
  <c r="V184" i="23"/>
  <c r="Y184" i="23" s="1"/>
  <c r="X184" i="23"/>
  <c r="M242" i="1"/>
  <c r="E5785" i="3"/>
  <c r="E5784" i="3"/>
  <c r="E5782" i="3"/>
  <c r="E5781" i="3"/>
  <c r="E5777" i="3"/>
  <c r="E5776" i="3"/>
  <c r="E5774" i="3"/>
  <c r="E5772" i="3"/>
  <c r="E5771" i="3"/>
  <c r="E5769" i="3"/>
  <c r="E5767" i="3"/>
  <c r="E5765" i="3"/>
  <c r="E5762" i="3"/>
  <c r="E5783" i="3"/>
  <c r="E5780" i="3"/>
  <c r="E5779" i="3"/>
  <c r="E5766" i="3"/>
  <c r="E5718" i="3"/>
  <c r="D186" i="23" l="1"/>
  <c r="V185" i="23"/>
  <c r="Y185" i="23" s="1"/>
  <c r="U185" i="23"/>
  <c r="W185" i="23"/>
  <c r="X185" i="23"/>
  <c r="G197" i="23"/>
  <c r="M241" i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M240" i="1"/>
  <c r="G198" i="23" l="1"/>
  <c r="W186" i="23"/>
  <c r="D187" i="23"/>
  <c r="V186" i="23"/>
  <c r="Y186" i="23" s="1"/>
  <c r="U186" i="23"/>
  <c r="X186" i="23"/>
  <c r="E5732" i="3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41" i="3"/>
  <c r="E5640" i="3"/>
  <c r="E5638" i="3"/>
  <c r="E5637" i="3"/>
  <c r="E5633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E5623" i="3"/>
  <c r="E5622" i="3"/>
  <c r="E5621" i="3"/>
  <c r="E5619" i="3"/>
  <c r="E5614" i="3"/>
  <c r="E5618" i="3"/>
  <c r="E5629" i="3"/>
  <c r="E5628" i="3"/>
  <c r="W187" i="23" l="1"/>
  <c r="D188" i="23"/>
  <c r="V187" i="23"/>
  <c r="Y187" i="23" s="1"/>
  <c r="U187" i="23"/>
  <c r="X187" i="23"/>
  <c r="X197" i="23"/>
  <c r="X198" i="23"/>
  <c r="G199" i="23"/>
  <c r="F8023" i="3"/>
  <c r="M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F5586" i="3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G200" i="23" l="1"/>
  <c r="X199" i="23"/>
  <c r="U188" i="23"/>
  <c r="W188" i="23"/>
  <c r="D189" i="23"/>
  <c r="V188" i="23"/>
  <c r="Y188" i="23" s="1"/>
  <c r="X188" i="23"/>
  <c r="F5613" i="3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F8037" i="3" s="1"/>
  <c r="F8061" i="3" s="1"/>
  <c r="F8085" i="3" s="1"/>
  <c r="F8109" i="3" s="1"/>
  <c r="F8133" i="3" s="1"/>
  <c r="F8157" i="3" s="1"/>
  <c r="F8181" i="3" s="1"/>
  <c r="F8205" i="3" s="1"/>
  <c r="F8229" i="3" s="1"/>
  <c r="F8253" i="3" s="1"/>
  <c r="F8277" i="3" s="1"/>
  <c r="F8301" i="3" s="1"/>
  <c r="F8325" i="3" s="1"/>
  <c r="F8349" i="3" s="1"/>
  <c r="F8373" i="3" s="1"/>
  <c r="F8397" i="3" s="1"/>
  <c r="F8421" i="3" s="1"/>
  <c r="F8445" i="3" s="1"/>
  <c r="F8469" i="3" s="1"/>
  <c r="F8493" i="3" s="1"/>
  <c r="F8517" i="3" s="1"/>
  <c r="F8541" i="3" s="1"/>
  <c r="F8565" i="3" s="1"/>
  <c r="F8589" i="3" s="1"/>
  <c r="F8613" i="3" s="1"/>
  <c r="F8637" i="3" s="1"/>
  <c r="F8661" i="3" s="1"/>
  <c r="F8685" i="3" s="1"/>
  <c r="F8709" i="3" s="1"/>
  <c r="F8733" i="3" s="1"/>
  <c r="F8757" i="3" s="1"/>
  <c r="F8781" i="3" s="1"/>
  <c r="F8805" i="3" s="1"/>
  <c r="F8829" i="3" s="1"/>
  <c r="F8853" i="3" s="1"/>
  <c r="F8877" i="3" s="1"/>
  <c r="F8901" i="3" s="1"/>
  <c r="F8925" i="3" s="1"/>
  <c r="F8949" i="3" s="1"/>
  <c r="F8973" i="3" s="1"/>
  <c r="F8997" i="3" s="1"/>
  <c r="F9021" i="3" s="1"/>
  <c r="F9045" i="3" s="1"/>
  <c r="F9069" i="3" s="1"/>
  <c r="F9093" i="3" s="1"/>
  <c r="F9117" i="3" s="1"/>
  <c r="F9141" i="3" s="1"/>
  <c r="F9165" i="3" s="1"/>
  <c r="F9189" i="3" s="1"/>
  <c r="F9213" i="3" s="1"/>
  <c r="F9237" i="3" s="1"/>
  <c r="F9261" i="3" s="1"/>
  <c r="F9285" i="3" s="1"/>
  <c r="F9309" i="3" s="1"/>
  <c r="F9333" i="3" s="1"/>
  <c r="F9357" i="3" s="1"/>
  <c r="F9381" i="3" s="1"/>
  <c r="F9405" i="3" s="1"/>
  <c r="F9429" i="3" s="1"/>
  <c r="F9453" i="3" s="1"/>
  <c r="F9477" i="3" s="1"/>
  <c r="F9501" i="3" s="1"/>
  <c r="F9525" i="3" s="1"/>
  <c r="F9549" i="3" s="1"/>
  <c r="F9573" i="3" s="1"/>
  <c r="F8036" i="3"/>
  <c r="F8060" i="3" s="1"/>
  <c r="F8084" i="3" s="1"/>
  <c r="F8108" i="3" s="1"/>
  <c r="F8132" i="3" s="1"/>
  <c r="F8156" i="3" s="1"/>
  <c r="F8180" i="3" s="1"/>
  <c r="F8204" i="3" s="1"/>
  <c r="F8228" i="3" s="1"/>
  <c r="F8252" i="3" s="1"/>
  <c r="F8276" i="3" s="1"/>
  <c r="F8300" i="3" s="1"/>
  <c r="F8324" i="3" s="1"/>
  <c r="F8348" i="3" s="1"/>
  <c r="F8372" i="3" s="1"/>
  <c r="F8396" i="3" s="1"/>
  <c r="F8420" i="3" s="1"/>
  <c r="F8444" i="3" s="1"/>
  <c r="F8468" i="3" s="1"/>
  <c r="F8492" i="3" s="1"/>
  <c r="F8516" i="3" s="1"/>
  <c r="F8540" i="3" s="1"/>
  <c r="F8564" i="3" s="1"/>
  <c r="F8588" i="3" s="1"/>
  <c r="F8612" i="3" s="1"/>
  <c r="F8636" i="3" s="1"/>
  <c r="F8660" i="3" s="1"/>
  <c r="F8684" i="3" s="1"/>
  <c r="F8708" i="3" s="1"/>
  <c r="F8732" i="3" s="1"/>
  <c r="F8756" i="3" s="1"/>
  <c r="F8780" i="3" s="1"/>
  <c r="F8804" i="3" s="1"/>
  <c r="F8828" i="3" s="1"/>
  <c r="F8852" i="3" s="1"/>
  <c r="F8876" i="3" s="1"/>
  <c r="F8900" i="3" s="1"/>
  <c r="F8924" i="3" s="1"/>
  <c r="F8948" i="3" s="1"/>
  <c r="F8972" i="3" s="1"/>
  <c r="F8996" i="3" s="1"/>
  <c r="F9020" i="3" s="1"/>
  <c r="F9044" i="3" s="1"/>
  <c r="F9068" i="3" s="1"/>
  <c r="F9092" i="3" s="1"/>
  <c r="F9116" i="3" s="1"/>
  <c r="F9140" i="3" s="1"/>
  <c r="F9164" i="3" s="1"/>
  <c r="F9188" i="3" s="1"/>
  <c r="F9212" i="3" s="1"/>
  <c r="F9236" i="3" s="1"/>
  <c r="F9260" i="3" s="1"/>
  <c r="F9284" i="3" s="1"/>
  <c r="F9308" i="3" s="1"/>
  <c r="F9332" i="3" s="1"/>
  <c r="F9356" i="3" s="1"/>
  <c r="F9380" i="3" s="1"/>
  <c r="F9404" i="3" s="1"/>
  <c r="F9428" i="3" s="1"/>
  <c r="F9452" i="3" s="1"/>
  <c r="F9476" i="3" s="1"/>
  <c r="F9500" i="3" s="1"/>
  <c r="F9524" i="3" s="1"/>
  <c r="F9548" i="3" s="1"/>
  <c r="F9572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8090" i="3" s="1"/>
  <c r="F8114" i="3" s="1"/>
  <c r="F8138" i="3" s="1"/>
  <c r="F8162" i="3" s="1"/>
  <c r="F8186" i="3" s="1"/>
  <c r="F8210" i="3" s="1"/>
  <c r="F8234" i="3" s="1"/>
  <c r="F8258" i="3" s="1"/>
  <c r="F8282" i="3" s="1"/>
  <c r="F8306" i="3" s="1"/>
  <c r="F8330" i="3" s="1"/>
  <c r="F8354" i="3" s="1"/>
  <c r="F8378" i="3" s="1"/>
  <c r="F8402" i="3" s="1"/>
  <c r="F8426" i="3" s="1"/>
  <c r="F8450" i="3" s="1"/>
  <c r="F8474" i="3" s="1"/>
  <c r="F8498" i="3" s="1"/>
  <c r="F8522" i="3" s="1"/>
  <c r="F8546" i="3" s="1"/>
  <c r="F8570" i="3" s="1"/>
  <c r="F8594" i="3" s="1"/>
  <c r="F8618" i="3" s="1"/>
  <c r="F8642" i="3" s="1"/>
  <c r="F8666" i="3" s="1"/>
  <c r="F8690" i="3" s="1"/>
  <c r="F8714" i="3" s="1"/>
  <c r="F8738" i="3" s="1"/>
  <c r="F8762" i="3" s="1"/>
  <c r="F8786" i="3" s="1"/>
  <c r="F8810" i="3" s="1"/>
  <c r="F8834" i="3" s="1"/>
  <c r="F8858" i="3" s="1"/>
  <c r="F8882" i="3" s="1"/>
  <c r="F8906" i="3" s="1"/>
  <c r="F8930" i="3" s="1"/>
  <c r="F8954" i="3" s="1"/>
  <c r="F8978" i="3" s="1"/>
  <c r="F9002" i="3" s="1"/>
  <c r="F9026" i="3" s="1"/>
  <c r="F9050" i="3" s="1"/>
  <c r="F9074" i="3" s="1"/>
  <c r="F9098" i="3" s="1"/>
  <c r="F9122" i="3" s="1"/>
  <c r="F9146" i="3" s="1"/>
  <c r="F9170" i="3" s="1"/>
  <c r="F9194" i="3" s="1"/>
  <c r="F9218" i="3" s="1"/>
  <c r="F9242" i="3" s="1"/>
  <c r="F9266" i="3" s="1"/>
  <c r="F9290" i="3" s="1"/>
  <c r="F9314" i="3" s="1"/>
  <c r="F9338" i="3" s="1"/>
  <c r="F9362" i="3" s="1"/>
  <c r="F9386" i="3" s="1"/>
  <c r="F9410" i="3" s="1"/>
  <c r="F9434" i="3" s="1"/>
  <c r="F9458" i="3" s="1"/>
  <c r="F9482" i="3" s="1"/>
  <c r="F9506" i="3" s="1"/>
  <c r="F9530" i="3" s="1"/>
  <c r="F9554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F8028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F8027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F8025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F8024" i="3" s="1"/>
  <c r="F8048" i="3" s="1"/>
  <c r="F8072" i="3" s="1"/>
  <c r="F8096" i="3" s="1"/>
  <c r="F8120" i="3" s="1"/>
  <c r="F8144" i="3" s="1"/>
  <c r="F8168" i="3" s="1"/>
  <c r="F8192" i="3" s="1"/>
  <c r="F8216" i="3" s="1"/>
  <c r="F8240" i="3" s="1"/>
  <c r="F8264" i="3" s="1"/>
  <c r="F8288" i="3" s="1"/>
  <c r="F8312" i="3" s="1"/>
  <c r="F8336" i="3" s="1"/>
  <c r="F8360" i="3" s="1"/>
  <c r="F8384" i="3" s="1"/>
  <c r="F8408" i="3" s="1"/>
  <c r="F8432" i="3" s="1"/>
  <c r="F8456" i="3" s="1"/>
  <c r="F8480" i="3" s="1"/>
  <c r="F8504" i="3" s="1"/>
  <c r="F8528" i="3" s="1"/>
  <c r="F8552" i="3" s="1"/>
  <c r="F8576" i="3" s="1"/>
  <c r="F8600" i="3" s="1"/>
  <c r="F8624" i="3" s="1"/>
  <c r="F8648" i="3" s="1"/>
  <c r="F8672" i="3" s="1"/>
  <c r="F8696" i="3" s="1"/>
  <c r="F8720" i="3" s="1"/>
  <c r="F8744" i="3" s="1"/>
  <c r="F8768" i="3" s="1"/>
  <c r="F8792" i="3" s="1"/>
  <c r="F8816" i="3" s="1"/>
  <c r="F8840" i="3" s="1"/>
  <c r="F8864" i="3" s="1"/>
  <c r="F8888" i="3" s="1"/>
  <c r="F8912" i="3" s="1"/>
  <c r="F8936" i="3" s="1"/>
  <c r="F8960" i="3" s="1"/>
  <c r="F8984" i="3" s="1"/>
  <c r="F9008" i="3" s="1"/>
  <c r="F9032" i="3" s="1"/>
  <c r="F9056" i="3" s="1"/>
  <c r="F9080" i="3" s="1"/>
  <c r="F9104" i="3" s="1"/>
  <c r="F9128" i="3" s="1"/>
  <c r="F9152" i="3" s="1"/>
  <c r="F9176" i="3" s="1"/>
  <c r="F9200" i="3" s="1"/>
  <c r="F9224" i="3" s="1"/>
  <c r="F9248" i="3" s="1"/>
  <c r="F9272" i="3" s="1"/>
  <c r="F9296" i="3" s="1"/>
  <c r="F9320" i="3" s="1"/>
  <c r="F9344" i="3" s="1"/>
  <c r="F9368" i="3" s="1"/>
  <c r="F9392" i="3" s="1"/>
  <c r="F9416" i="3" s="1"/>
  <c r="F9440" i="3" s="1"/>
  <c r="F9464" i="3" s="1"/>
  <c r="F9488" i="3" s="1"/>
  <c r="F9512" i="3" s="1"/>
  <c r="F9536" i="3" s="1"/>
  <c r="F9560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93" i="3"/>
  <c r="D190" i="23" l="1"/>
  <c r="V189" i="23"/>
  <c r="Y189" i="23" s="1"/>
  <c r="U189" i="23"/>
  <c r="W189" i="23"/>
  <c r="X189" i="23"/>
  <c r="G201" i="23"/>
  <c r="X200" i="23"/>
  <c r="F8022" i="3"/>
  <c r="F8046" i="3" s="1"/>
  <c r="F8070" i="3" s="1"/>
  <c r="F8094" i="3" s="1"/>
  <c r="F8118" i="3" s="1"/>
  <c r="F8142" i="3" s="1"/>
  <c r="F8166" i="3" s="1"/>
  <c r="F8190" i="3" s="1"/>
  <c r="F8214" i="3" s="1"/>
  <c r="F8238" i="3" s="1"/>
  <c r="F8262" i="3" s="1"/>
  <c r="F8286" i="3" s="1"/>
  <c r="F8310" i="3" s="1"/>
  <c r="F8334" i="3" s="1"/>
  <c r="F8358" i="3" s="1"/>
  <c r="F8382" i="3" s="1"/>
  <c r="F8406" i="3" s="1"/>
  <c r="F8430" i="3" s="1"/>
  <c r="F8454" i="3" s="1"/>
  <c r="F8478" i="3" s="1"/>
  <c r="F8502" i="3" s="1"/>
  <c r="F8526" i="3" s="1"/>
  <c r="F8550" i="3" s="1"/>
  <c r="F8574" i="3" s="1"/>
  <c r="F8598" i="3" s="1"/>
  <c r="F8622" i="3" s="1"/>
  <c r="F8646" i="3" s="1"/>
  <c r="F8670" i="3" s="1"/>
  <c r="F8694" i="3" s="1"/>
  <c r="F8718" i="3" s="1"/>
  <c r="F8742" i="3" s="1"/>
  <c r="F8766" i="3" s="1"/>
  <c r="F8790" i="3" s="1"/>
  <c r="F8814" i="3" s="1"/>
  <c r="F8838" i="3" s="1"/>
  <c r="F8862" i="3" s="1"/>
  <c r="F8886" i="3" s="1"/>
  <c r="F8910" i="3" s="1"/>
  <c r="F8934" i="3" s="1"/>
  <c r="F8958" i="3" s="1"/>
  <c r="F8982" i="3" s="1"/>
  <c r="F9006" i="3" s="1"/>
  <c r="F9030" i="3" s="1"/>
  <c r="F9054" i="3" s="1"/>
  <c r="F9078" i="3" s="1"/>
  <c r="F9102" i="3" s="1"/>
  <c r="F9126" i="3" s="1"/>
  <c r="F9150" i="3" s="1"/>
  <c r="F9174" i="3" s="1"/>
  <c r="F9198" i="3" s="1"/>
  <c r="F9222" i="3" s="1"/>
  <c r="F9246" i="3" s="1"/>
  <c r="F9270" i="3" s="1"/>
  <c r="F9294" i="3" s="1"/>
  <c r="F9318" i="3" s="1"/>
  <c r="F9342" i="3" s="1"/>
  <c r="F9366" i="3" s="1"/>
  <c r="F9390" i="3" s="1"/>
  <c r="F9414" i="3" s="1"/>
  <c r="F9438" i="3" s="1"/>
  <c r="F9462" i="3" s="1"/>
  <c r="F9486" i="3" s="1"/>
  <c r="F9510" i="3" s="1"/>
  <c r="F9534" i="3" s="1"/>
  <c r="F9558" i="3" s="1"/>
  <c r="F8033" i="3"/>
  <c r="F8057" i="3" s="1"/>
  <c r="F8081" i="3" s="1"/>
  <c r="F8105" i="3" s="1"/>
  <c r="F8129" i="3" s="1"/>
  <c r="F8153" i="3" s="1"/>
  <c r="F8177" i="3" s="1"/>
  <c r="F8201" i="3" s="1"/>
  <c r="F8225" i="3" s="1"/>
  <c r="F8249" i="3" s="1"/>
  <c r="F8273" i="3" s="1"/>
  <c r="F8297" i="3" s="1"/>
  <c r="F8321" i="3" s="1"/>
  <c r="F8345" i="3" s="1"/>
  <c r="F8369" i="3" s="1"/>
  <c r="F8393" i="3" s="1"/>
  <c r="F8417" i="3" s="1"/>
  <c r="F8441" i="3" s="1"/>
  <c r="F8465" i="3" s="1"/>
  <c r="F8489" i="3" s="1"/>
  <c r="F8513" i="3" s="1"/>
  <c r="F8537" i="3" s="1"/>
  <c r="F8561" i="3" s="1"/>
  <c r="F8585" i="3" s="1"/>
  <c r="F8609" i="3" s="1"/>
  <c r="F8633" i="3" s="1"/>
  <c r="F8657" i="3" s="1"/>
  <c r="F8681" i="3" s="1"/>
  <c r="F8705" i="3" s="1"/>
  <c r="F8729" i="3" s="1"/>
  <c r="F8753" i="3" s="1"/>
  <c r="F8777" i="3" s="1"/>
  <c r="F8801" i="3" s="1"/>
  <c r="F8825" i="3" s="1"/>
  <c r="F8849" i="3" s="1"/>
  <c r="F8873" i="3" s="1"/>
  <c r="F8897" i="3" s="1"/>
  <c r="F8921" i="3" s="1"/>
  <c r="F8945" i="3" s="1"/>
  <c r="F8969" i="3" s="1"/>
  <c r="F8993" i="3" s="1"/>
  <c r="F9017" i="3" s="1"/>
  <c r="F9041" i="3" s="1"/>
  <c r="F9065" i="3" s="1"/>
  <c r="F9089" i="3" s="1"/>
  <c r="F9113" i="3" s="1"/>
  <c r="F9137" i="3" s="1"/>
  <c r="F9161" i="3" s="1"/>
  <c r="F9185" i="3" s="1"/>
  <c r="F9209" i="3" s="1"/>
  <c r="F9233" i="3" s="1"/>
  <c r="F9257" i="3" s="1"/>
  <c r="F9281" i="3" s="1"/>
  <c r="F9305" i="3" s="1"/>
  <c r="F9329" i="3" s="1"/>
  <c r="F9353" i="3" s="1"/>
  <c r="F9377" i="3" s="1"/>
  <c r="F9401" i="3" s="1"/>
  <c r="F9425" i="3" s="1"/>
  <c r="F9449" i="3" s="1"/>
  <c r="F9473" i="3" s="1"/>
  <c r="F9497" i="3" s="1"/>
  <c r="F9521" i="3" s="1"/>
  <c r="F9545" i="3" s="1"/>
  <c r="F9569" i="3" s="1"/>
  <c r="F8052" i="3"/>
  <c r="F8076" i="3" s="1"/>
  <c r="F8100" i="3" s="1"/>
  <c r="F8124" i="3" s="1"/>
  <c r="F8148" i="3" s="1"/>
  <c r="F8172" i="3" s="1"/>
  <c r="F8196" i="3" s="1"/>
  <c r="F8220" i="3" s="1"/>
  <c r="F8244" i="3" s="1"/>
  <c r="F8268" i="3" s="1"/>
  <c r="F8292" i="3" s="1"/>
  <c r="F8316" i="3" s="1"/>
  <c r="F8340" i="3" s="1"/>
  <c r="F8364" i="3" s="1"/>
  <c r="F8388" i="3" s="1"/>
  <c r="F8412" i="3" s="1"/>
  <c r="F8436" i="3" s="1"/>
  <c r="F8460" i="3" s="1"/>
  <c r="F8484" i="3" s="1"/>
  <c r="F8508" i="3" s="1"/>
  <c r="F8532" i="3" s="1"/>
  <c r="F8556" i="3" s="1"/>
  <c r="F8580" i="3" s="1"/>
  <c r="F8604" i="3" s="1"/>
  <c r="F8628" i="3" s="1"/>
  <c r="F8652" i="3" s="1"/>
  <c r="F8676" i="3" s="1"/>
  <c r="F8700" i="3" s="1"/>
  <c r="F8724" i="3" s="1"/>
  <c r="F8748" i="3" s="1"/>
  <c r="F8772" i="3" s="1"/>
  <c r="F8796" i="3" s="1"/>
  <c r="F8820" i="3" s="1"/>
  <c r="F8844" i="3" s="1"/>
  <c r="F8868" i="3" s="1"/>
  <c r="F8892" i="3" s="1"/>
  <c r="F8916" i="3" s="1"/>
  <c r="F8940" i="3" s="1"/>
  <c r="F8964" i="3" s="1"/>
  <c r="F8988" i="3" s="1"/>
  <c r="F9012" i="3" s="1"/>
  <c r="F9036" i="3" s="1"/>
  <c r="F9060" i="3" s="1"/>
  <c r="F9084" i="3" s="1"/>
  <c r="F9108" i="3" s="1"/>
  <c r="F9132" i="3" s="1"/>
  <c r="F9156" i="3" s="1"/>
  <c r="F9180" i="3" s="1"/>
  <c r="F9204" i="3" s="1"/>
  <c r="F9228" i="3" s="1"/>
  <c r="F9252" i="3" s="1"/>
  <c r="F9276" i="3" s="1"/>
  <c r="F9300" i="3" s="1"/>
  <c r="F9324" i="3" s="1"/>
  <c r="F9348" i="3" s="1"/>
  <c r="F9372" i="3" s="1"/>
  <c r="F9396" i="3" s="1"/>
  <c r="F9420" i="3" s="1"/>
  <c r="F9444" i="3" s="1"/>
  <c r="F9468" i="3" s="1"/>
  <c r="F9492" i="3" s="1"/>
  <c r="F9516" i="3" s="1"/>
  <c r="F9540" i="3" s="1"/>
  <c r="F9564" i="3" s="1"/>
  <c r="F8041" i="3"/>
  <c r="F8065" i="3" s="1"/>
  <c r="F8089" i="3" s="1"/>
  <c r="F8113" i="3" s="1"/>
  <c r="F8137" i="3" s="1"/>
  <c r="F8161" i="3" s="1"/>
  <c r="F8185" i="3" s="1"/>
  <c r="F8209" i="3" s="1"/>
  <c r="F8233" i="3" s="1"/>
  <c r="F8257" i="3" s="1"/>
  <c r="F8281" i="3" s="1"/>
  <c r="F8305" i="3" s="1"/>
  <c r="F8329" i="3" s="1"/>
  <c r="F8353" i="3" s="1"/>
  <c r="F8377" i="3" s="1"/>
  <c r="F8401" i="3" s="1"/>
  <c r="F8425" i="3" s="1"/>
  <c r="F8449" i="3" s="1"/>
  <c r="F8473" i="3" s="1"/>
  <c r="F8497" i="3" s="1"/>
  <c r="F8521" i="3" s="1"/>
  <c r="F8545" i="3" s="1"/>
  <c r="F8569" i="3" s="1"/>
  <c r="F8593" i="3" s="1"/>
  <c r="F8617" i="3" s="1"/>
  <c r="F8641" i="3" s="1"/>
  <c r="F8665" i="3" s="1"/>
  <c r="F8689" i="3" s="1"/>
  <c r="F8713" i="3" s="1"/>
  <c r="F8737" i="3" s="1"/>
  <c r="F8761" i="3" s="1"/>
  <c r="F8785" i="3" s="1"/>
  <c r="F8809" i="3" s="1"/>
  <c r="F8833" i="3" s="1"/>
  <c r="F8857" i="3" s="1"/>
  <c r="F8881" i="3" s="1"/>
  <c r="F8905" i="3" s="1"/>
  <c r="F8929" i="3" s="1"/>
  <c r="F8953" i="3" s="1"/>
  <c r="F8977" i="3" s="1"/>
  <c r="F9001" i="3" s="1"/>
  <c r="F9025" i="3" s="1"/>
  <c r="F9049" i="3" s="1"/>
  <c r="F9073" i="3" s="1"/>
  <c r="F9097" i="3" s="1"/>
  <c r="F9121" i="3" s="1"/>
  <c r="F9145" i="3" s="1"/>
  <c r="F9169" i="3" s="1"/>
  <c r="F9193" i="3" s="1"/>
  <c r="F9217" i="3" s="1"/>
  <c r="F9241" i="3" s="1"/>
  <c r="F9265" i="3" s="1"/>
  <c r="F9289" i="3" s="1"/>
  <c r="F9313" i="3" s="1"/>
  <c r="F9337" i="3" s="1"/>
  <c r="F9361" i="3" s="1"/>
  <c r="F9385" i="3" s="1"/>
  <c r="F9409" i="3" s="1"/>
  <c r="F9433" i="3" s="1"/>
  <c r="F9457" i="3" s="1"/>
  <c r="F9481" i="3" s="1"/>
  <c r="F9505" i="3" s="1"/>
  <c r="F9529" i="3" s="1"/>
  <c r="F9553" i="3" s="1"/>
  <c r="F9577" i="3" s="1"/>
  <c r="F8047" i="3"/>
  <c r="F8071" i="3" s="1"/>
  <c r="F8095" i="3" s="1"/>
  <c r="F8119" i="3" s="1"/>
  <c r="F8143" i="3" s="1"/>
  <c r="F8167" i="3" s="1"/>
  <c r="F8191" i="3" s="1"/>
  <c r="F8215" i="3" s="1"/>
  <c r="F8239" i="3" s="1"/>
  <c r="F8263" i="3" s="1"/>
  <c r="F8287" i="3" s="1"/>
  <c r="F8311" i="3" s="1"/>
  <c r="F8335" i="3" s="1"/>
  <c r="F8359" i="3" s="1"/>
  <c r="F8383" i="3" s="1"/>
  <c r="F8407" i="3" s="1"/>
  <c r="F8431" i="3" s="1"/>
  <c r="F8455" i="3" s="1"/>
  <c r="F8479" i="3" s="1"/>
  <c r="F8503" i="3" s="1"/>
  <c r="F8527" i="3" s="1"/>
  <c r="F8551" i="3" s="1"/>
  <c r="F8575" i="3" s="1"/>
  <c r="F8599" i="3" s="1"/>
  <c r="F8623" i="3" s="1"/>
  <c r="F8647" i="3" s="1"/>
  <c r="F8671" i="3" s="1"/>
  <c r="F8695" i="3" s="1"/>
  <c r="F8719" i="3" s="1"/>
  <c r="F8743" i="3" s="1"/>
  <c r="F8767" i="3" s="1"/>
  <c r="F8791" i="3" s="1"/>
  <c r="F8815" i="3" s="1"/>
  <c r="F8839" i="3" s="1"/>
  <c r="F8863" i="3" s="1"/>
  <c r="F8887" i="3" s="1"/>
  <c r="F8911" i="3" s="1"/>
  <c r="F8935" i="3" s="1"/>
  <c r="F8959" i="3" s="1"/>
  <c r="F8983" i="3" s="1"/>
  <c r="F9007" i="3" s="1"/>
  <c r="F9031" i="3" s="1"/>
  <c r="F9055" i="3" s="1"/>
  <c r="F9079" i="3" s="1"/>
  <c r="F9103" i="3" s="1"/>
  <c r="F9127" i="3" s="1"/>
  <c r="F9151" i="3" s="1"/>
  <c r="F9175" i="3" s="1"/>
  <c r="F9199" i="3" s="1"/>
  <c r="F9223" i="3" s="1"/>
  <c r="F9247" i="3" s="1"/>
  <c r="F9271" i="3" s="1"/>
  <c r="F9295" i="3" s="1"/>
  <c r="F9319" i="3" s="1"/>
  <c r="F9343" i="3" s="1"/>
  <c r="F9367" i="3" s="1"/>
  <c r="F9391" i="3" s="1"/>
  <c r="F9415" i="3" s="1"/>
  <c r="F9439" i="3" s="1"/>
  <c r="F9463" i="3" s="1"/>
  <c r="F9487" i="3" s="1"/>
  <c r="F9511" i="3" s="1"/>
  <c r="F9535" i="3" s="1"/>
  <c r="F9559" i="3" s="1"/>
  <c r="F8029" i="3"/>
  <c r="F8053" i="3" s="1"/>
  <c r="F8077" i="3" s="1"/>
  <c r="F8101" i="3" s="1"/>
  <c r="F8125" i="3" s="1"/>
  <c r="F8149" i="3" s="1"/>
  <c r="F8173" i="3" s="1"/>
  <c r="F8197" i="3" s="1"/>
  <c r="F8221" i="3" s="1"/>
  <c r="F8245" i="3" s="1"/>
  <c r="F8269" i="3" s="1"/>
  <c r="F8293" i="3" s="1"/>
  <c r="F8317" i="3" s="1"/>
  <c r="F8341" i="3" s="1"/>
  <c r="F8365" i="3" s="1"/>
  <c r="F8389" i="3" s="1"/>
  <c r="F8413" i="3" s="1"/>
  <c r="F8437" i="3" s="1"/>
  <c r="F8461" i="3" s="1"/>
  <c r="F8485" i="3" s="1"/>
  <c r="F8509" i="3" s="1"/>
  <c r="F8533" i="3" s="1"/>
  <c r="F8557" i="3" s="1"/>
  <c r="F8581" i="3" s="1"/>
  <c r="F8605" i="3" s="1"/>
  <c r="F8629" i="3" s="1"/>
  <c r="F8653" i="3" s="1"/>
  <c r="F8677" i="3" s="1"/>
  <c r="F8701" i="3" s="1"/>
  <c r="F8725" i="3" s="1"/>
  <c r="F8749" i="3" s="1"/>
  <c r="F8773" i="3" s="1"/>
  <c r="F8797" i="3" s="1"/>
  <c r="F8821" i="3" s="1"/>
  <c r="F8845" i="3" s="1"/>
  <c r="F8869" i="3" s="1"/>
  <c r="F8893" i="3" s="1"/>
  <c r="F8917" i="3" s="1"/>
  <c r="F8941" i="3" s="1"/>
  <c r="F8965" i="3" s="1"/>
  <c r="F8989" i="3" s="1"/>
  <c r="F9013" i="3" s="1"/>
  <c r="F9037" i="3" s="1"/>
  <c r="F9061" i="3" s="1"/>
  <c r="F9085" i="3" s="1"/>
  <c r="F9109" i="3" s="1"/>
  <c r="F9133" i="3" s="1"/>
  <c r="F9157" i="3" s="1"/>
  <c r="F9181" i="3" s="1"/>
  <c r="F9205" i="3" s="1"/>
  <c r="F9229" i="3" s="1"/>
  <c r="F9253" i="3" s="1"/>
  <c r="F9277" i="3" s="1"/>
  <c r="F9301" i="3" s="1"/>
  <c r="F9325" i="3" s="1"/>
  <c r="F9349" i="3" s="1"/>
  <c r="F9373" i="3" s="1"/>
  <c r="F9397" i="3" s="1"/>
  <c r="F9421" i="3" s="1"/>
  <c r="F9445" i="3" s="1"/>
  <c r="F9469" i="3" s="1"/>
  <c r="F9493" i="3" s="1"/>
  <c r="F9517" i="3" s="1"/>
  <c r="F9541" i="3" s="1"/>
  <c r="F9565" i="3" s="1"/>
  <c r="F8038" i="3"/>
  <c r="F8062" i="3" s="1"/>
  <c r="F8086" i="3" s="1"/>
  <c r="F8110" i="3" s="1"/>
  <c r="F8134" i="3" s="1"/>
  <c r="F8158" i="3" s="1"/>
  <c r="F8182" i="3" s="1"/>
  <c r="F8206" i="3" s="1"/>
  <c r="F8230" i="3" s="1"/>
  <c r="F8254" i="3" s="1"/>
  <c r="F8278" i="3" s="1"/>
  <c r="F8302" i="3" s="1"/>
  <c r="F8326" i="3" s="1"/>
  <c r="F8350" i="3" s="1"/>
  <c r="F8374" i="3" s="1"/>
  <c r="F8398" i="3" s="1"/>
  <c r="F8422" i="3" s="1"/>
  <c r="F8446" i="3" s="1"/>
  <c r="F8470" i="3" s="1"/>
  <c r="F8494" i="3" s="1"/>
  <c r="F8518" i="3" s="1"/>
  <c r="F8542" i="3" s="1"/>
  <c r="F8566" i="3" s="1"/>
  <c r="F8590" i="3" s="1"/>
  <c r="F8614" i="3" s="1"/>
  <c r="F8638" i="3" s="1"/>
  <c r="F8662" i="3" s="1"/>
  <c r="F8686" i="3" s="1"/>
  <c r="F8710" i="3" s="1"/>
  <c r="F8734" i="3" s="1"/>
  <c r="F8758" i="3" s="1"/>
  <c r="F8782" i="3" s="1"/>
  <c r="F8806" i="3" s="1"/>
  <c r="F8830" i="3" s="1"/>
  <c r="F8854" i="3" s="1"/>
  <c r="F8878" i="3" s="1"/>
  <c r="F8902" i="3" s="1"/>
  <c r="F8926" i="3" s="1"/>
  <c r="F8950" i="3" s="1"/>
  <c r="F8974" i="3" s="1"/>
  <c r="F8998" i="3" s="1"/>
  <c r="F9022" i="3" s="1"/>
  <c r="F9046" i="3" s="1"/>
  <c r="F9070" i="3" s="1"/>
  <c r="F9094" i="3" s="1"/>
  <c r="F9118" i="3" s="1"/>
  <c r="F9142" i="3" s="1"/>
  <c r="F9166" i="3" s="1"/>
  <c r="F9190" i="3" s="1"/>
  <c r="F9214" i="3" s="1"/>
  <c r="F9238" i="3" s="1"/>
  <c r="F9262" i="3" s="1"/>
  <c r="F9286" i="3" s="1"/>
  <c r="F9310" i="3" s="1"/>
  <c r="F9334" i="3" s="1"/>
  <c r="F9358" i="3" s="1"/>
  <c r="F9382" i="3" s="1"/>
  <c r="F9406" i="3" s="1"/>
  <c r="F9430" i="3" s="1"/>
  <c r="F9454" i="3" s="1"/>
  <c r="F9478" i="3" s="1"/>
  <c r="F9502" i="3" s="1"/>
  <c r="F9526" i="3" s="1"/>
  <c r="F9550" i="3" s="1"/>
  <c r="F9574" i="3" s="1"/>
  <c r="F8019" i="3"/>
  <c r="F8043" i="3" s="1"/>
  <c r="F8067" i="3" s="1"/>
  <c r="F8091" i="3" s="1"/>
  <c r="F8115" i="3" s="1"/>
  <c r="F8139" i="3" s="1"/>
  <c r="F8163" i="3" s="1"/>
  <c r="F8187" i="3" s="1"/>
  <c r="F8211" i="3" s="1"/>
  <c r="F8235" i="3" s="1"/>
  <c r="F8259" i="3" s="1"/>
  <c r="F8283" i="3" s="1"/>
  <c r="F8307" i="3" s="1"/>
  <c r="F8331" i="3" s="1"/>
  <c r="F8355" i="3" s="1"/>
  <c r="F8379" i="3" s="1"/>
  <c r="F8403" i="3" s="1"/>
  <c r="F8427" i="3" s="1"/>
  <c r="F8451" i="3" s="1"/>
  <c r="F8475" i="3" s="1"/>
  <c r="F8499" i="3" s="1"/>
  <c r="F8523" i="3" s="1"/>
  <c r="F8547" i="3" s="1"/>
  <c r="F8571" i="3" s="1"/>
  <c r="F8595" i="3" s="1"/>
  <c r="F8619" i="3" s="1"/>
  <c r="F8643" i="3" s="1"/>
  <c r="F8667" i="3" s="1"/>
  <c r="F8691" i="3" s="1"/>
  <c r="F8715" i="3" s="1"/>
  <c r="F8739" i="3" s="1"/>
  <c r="F8763" i="3" s="1"/>
  <c r="F8787" i="3" s="1"/>
  <c r="F8811" i="3" s="1"/>
  <c r="F8835" i="3" s="1"/>
  <c r="F8859" i="3" s="1"/>
  <c r="F8883" i="3" s="1"/>
  <c r="F8907" i="3" s="1"/>
  <c r="F8931" i="3" s="1"/>
  <c r="F8955" i="3" s="1"/>
  <c r="F8979" i="3" s="1"/>
  <c r="F9003" i="3" s="1"/>
  <c r="F9027" i="3" s="1"/>
  <c r="F9051" i="3" s="1"/>
  <c r="F9075" i="3" s="1"/>
  <c r="F9099" i="3" s="1"/>
  <c r="F9123" i="3" s="1"/>
  <c r="F9147" i="3" s="1"/>
  <c r="F9171" i="3" s="1"/>
  <c r="F9195" i="3" s="1"/>
  <c r="F9219" i="3" s="1"/>
  <c r="F9243" i="3" s="1"/>
  <c r="F9267" i="3" s="1"/>
  <c r="F9291" i="3" s="1"/>
  <c r="F9315" i="3" s="1"/>
  <c r="F9339" i="3" s="1"/>
  <c r="F9363" i="3" s="1"/>
  <c r="F9387" i="3" s="1"/>
  <c r="F9411" i="3" s="1"/>
  <c r="F9435" i="3" s="1"/>
  <c r="F9459" i="3" s="1"/>
  <c r="F9483" i="3" s="1"/>
  <c r="F9507" i="3" s="1"/>
  <c r="F9531" i="3" s="1"/>
  <c r="F9555" i="3" s="1"/>
  <c r="F8035" i="3"/>
  <c r="F8059" i="3" s="1"/>
  <c r="F8083" i="3" s="1"/>
  <c r="F8107" i="3" s="1"/>
  <c r="F8131" i="3" s="1"/>
  <c r="F8155" i="3" s="1"/>
  <c r="F8179" i="3" s="1"/>
  <c r="F8203" i="3" s="1"/>
  <c r="F8227" i="3" s="1"/>
  <c r="F8251" i="3" s="1"/>
  <c r="F8275" i="3" s="1"/>
  <c r="F8299" i="3" s="1"/>
  <c r="F8323" i="3" s="1"/>
  <c r="F8347" i="3" s="1"/>
  <c r="F8371" i="3" s="1"/>
  <c r="F8395" i="3" s="1"/>
  <c r="F8419" i="3" s="1"/>
  <c r="F8443" i="3" s="1"/>
  <c r="F8467" i="3" s="1"/>
  <c r="F8491" i="3" s="1"/>
  <c r="F8515" i="3" s="1"/>
  <c r="F8539" i="3" s="1"/>
  <c r="F8563" i="3" s="1"/>
  <c r="F8587" i="3" s="1"/>
  <c r="F8611" i="3" s="1"/>
  <c r="F8635" i="3" s="1"/>
  <c r="F8659" i="3" s="1"/>
  <c r="F8683" i="3" s="1"/>
  <c r="F8707" i="3" s="1"/>
  <c r="F8731" i="3" s="1"/>
  <c r="F8755" i="3" s="1"/>
  <c r="F8779" i="3" s="1"/>
  <c r="F8803" i="3" s="1"/>
  <c r="F8827" i="3" s="1"/>
  <c r="F8851" i="3" s="1"/>
  <c r="F8875" i="3" s="1"/>
  <c r="F8899" i="3" s="1"/>
  <c r="F8923" i="3" s="1"/>
  <c r="F8947" i="3" s="1"/>
  <c r="F8971" i="3" s="1"/>
  <c r="F8995" i="3" s="1"/>
  <c r="F9019" i="3" s="1"/>
  <c r="F9043" i="3" s="1"/>
  <c r="F9067" i="3" s="1"/>
  <c r="F9091" i="3" s="1"/>
  <c r="F9115" i="3" s="1"/>
  <c r="F9139" i="3" s="1"/>
  <c r="F9163" i="3" s="1"/>
  <c r="F9187" i="3" s="1"/>
  <c r="F9211" i="3" s="1"/>
  <c r="F9235" i="3" s="1"/>
  <c r="F9259" i="3" s="1"/>
  <c r="F9283" i="3" s="1"/>
  <c r="F9307" i="3" s="1"/>
  <c r="F9331" i="3" s="1"/>
  <c r="F9355" i="3" s="1"/>
  <c r="F9379" i="3" s="1"/>
  <c r="F9403" i="3" s="1"/>
  <c r="F9427" i="3" s="1"/>
  <c r="F9451" i="3" s="1"/>
  <c r="F9475" i="3" s="1"/>
  <c r="F9499" i="3" s="1"/>
  <c r="F9523" i="3" s="1"/>
  <c r="F9547" i="3" s="1"/>
  <c r="F9571" i="3" s="1"/>
  <c r="F8049" i="3"/>
  <c r="F8073" i="3" s="1"/>
  <c r="F8097" i="3" s="1"/>
  <c r="F8121" i="3" s="1"/>
  <c r="F8145" i="3" s="1"/>
  <c r="F8169" i="3" s="1"/>
  <c r="F8193" i="3" s="1"/>
  <c r="F8217" i="3" s="1"/>
  <c r="F8241" i="3" s="1"/>
  <c r="F8265" i="3" s="1"/>
  <c r="F8289" i="3" s="1"/>
  <c r="F8313" i="3" s="1"/>
  <c r="F8337" i="3" s="1"/>
  <c r="F8361" i="3" s="1"/>
  <c r="F8385" i="3" s="1"/>
  <c r="F8409" i="3" s="1"/>
  <c r="F8433" i="3" s="1"/>
  <c r="F8457" i="3" s="1"/>
  <c r="F8481" i="3" s="1"/>
  <c r="F8505" i="3" s="1"/>
  <c r="F8529" i="3" s="1"/>
  <c r="F8553" i="3" s="1"/>
  <c r="F8577" i="3" s="1"/>
  <c r="F8601" i="3" s="1"/>
  <c r="F8625" i="3" s="1"/>
  <c r="F8649" i="3" s="1"/>
  <c r="F8673" i="3" s="1"/>
  <c r="F8697" i="3" s="1"/>
  <c r="F8721" i="3" s="1"/>
  <c r="F8745" i="3" s="1"/>
  <c r="F8769" i="3" s="1"/>
  <c r="F8793" i="3" s="1"/>
  <c r="F8817" i="3" s="1"/>
  <c r="F8841" i="3" s="1"/>
  <c r="F8865" i="3" s="1"/>
  <c r="F8889" i="3" s="1"/>
  <c r="F8913" i="3" s="1"/>
  <c r="F8937" i="3" s="1"/>
  <c r="F8961" i="3" s="1"/>
  <c r="F8985" i="3" s="1"/>
  <c r="F9009" i="3" s="1"/>
  <c r="F9033" i="3" s="1"/>
  <c r="F9057" i="3" s="1"/>
  <c r="F9081" i="3" s="1"/>
  <c r="F9105" i="3" s="1"/>
  <c r="F9129" i="3" s="1"/>
  <c r="F9153" i="3" s="1"/>
  <c r="F9177" i="3" s="1"/>
  <c r="F9201" i="3" s="1"/>
  <c r="F9225" i="3" s="1"/>
  <c r="F9249" i="3" s="1"/>
  <c r="F9273" i="3" s="1"/>
  <c r="F9297" i="3" s="1"/>
  <c r="F9321" i="3" s="1"/>
  <c r="F9345" i="3" s="1"/>
  <c r="F9369" i="3" s="1"/>
  <c r="F9393" i="3" s="1"/>
  <c r="F9417" i="3" s="1"/>
  <c r="F9441" i="3" s="1"/>
  <c r="F9465" i="3" s="1"/>
  <c r="F9489" i="3" s="1"/>
  <c r="F9513" i="3" s="1"/>
  <c r="F9537" i="3" s="1"/>
  <c r="F9561" i="3" s="1"/>
  <c r="F8030" i="3"/>
  <c r="F8054" i="3" s="1"/>
  <c r="F8078" i="3" s="1"/>
  <c r="F8102" i="3" s="1"/>
  <c r="F8126" i="3" s="1"/>
  <c r="F8150" i="3" s="1"/>
  <c r="F8174" i="3" s="1"/>
  <c r="F8198" i="3" s="1"/>
  <c r="F8222" i="3" s="1"/>
  <c r="F8246" i="3" s="1"/>
  <c r="F8270" i="3" s="1"/>
  <c r="F8294" i="3" s="1"/>
  <c r="F8318" i="3" s="1"/>
  <c r="F8342" i="3" s="1"/>
  <c r="F8366" i="3" s="1"/>
  <c r="F8390" i="3" s="1"/>
  <c r="F8414" i="3" s="1"/>
  <c r="F8438" i="3" s="1"/>
  <c r="F8462" i="3" s="1"/>
  <c r="F8486" i="3" s="1"/>
  <c r="F8510" i="3" s="1"/>
  <c r="F8534" i="3" s="1"/>
  <c r="F8558" i="3" s="1"/>
  <c r="F8582" i="3" s="1"/>
  <c r="F8606" i="3" s="1"/>
  <c r="F8630" i="3" s="1"/>
  <c r="F8654" i="3" s="1"/>
  <c r="F8678" i="3" s="1"/>
  <c r="F8702" i="3" s="1"/>
  <c r="F8726" i="3" s="1"/>
  <c r="F8750" i="3" s="1"/>
  <c r="F8774" i="3" s="1"/>
  <c r="F8798" i="3" s="1"/>
  <c r="F8822" i="3" s="1"/>
  <c r="F8846" i="3" s="1"/>
  <c r="F8870" i="3" s="1"/>
  <c r="F8894" i="3" s="1"/>
  <c r="F8918" i="3" s="1"/>
  <c r="F8942" i="3" s="1"/>
  <c r="F8966" i="3" s="1"/>
  <c r="F8990" i="3" s="1"/>
  <c r="F9014" i="3" s="1"/>
  <c r="F9038" i="3" s="1"/>
  <c r="F9062" i="3" s="1"/>
  <c r="F9086" i="3" s="1"/>
  <c r="F9110" i="3" s="1"/>
  <c r="F9134" i="3" s="1"/>
  <c r="F9158" i="3" s="1"/>
  <c r="F9182" i="3" s="1"/>
  <c r="F9206" i="3" s="1"/>
  <c r="F9230" i="3" s="1"/>
  <c r="F9254" i="3" s="1"/>
  <c r="F9278" i="3" s="1"/>
  <c r="F9302" i="3" s="1"/>
  <c r="F9326" i="3" s="1"/>
  <c r="F9350" i="3" s="1"/>
  <c r="F9374" i="3" s="1"/>
  <c r="F9398" i="3" s="1"/>
  <c r="F9422" i="3" s="1"/>
  <c r="F9446" i="3" s="1"/>
  <c r="F9470" i="3" s="1"/>
  <c r="F9494" i="3" s="1"/>
  <c r="F9518" i="3" s="1"/>
  <c r="F9542" i="3" s="1"/>
  <c r="F9566" i="3" s="1"/>
  <c r="F8039" i="3"/>
  <c r="F8063" i="3" s="1"/>
  <c r="F8087" i="3" s="1"/>
  <c r="F8111" i="3" s="1"/>
  <c r="F8135" i="3" s="1"/>
  <c r="F8159" i="3" s="1"/>
  <c r="F8183" i="3" s="1"/>
  <c r="F8207" i="3" s="1"/>
  <c r="F8231" i="3" s="1"/>
  <c r="F8255" i="3" s="1"/>
  <c r="F8279" i="3" s="1"/>
  <c r="F8303" i="3" s="1"/>
  <c r="F8327" i="3" s="1"/>
  <c r="F8351" i="3" s="1"/>
  <c r="F8375" i="3" s="1"/>
  <c r="F8399" i="3" s="1"/>
  <c r="F8423" i="3" s="1"/>
  <c r="F8447" i="3" s="1"/>
  <c r="F8471" i="3" s="1"/>
  <c r="F8495" i="3" s="1"/>
  <c r="F8519" i="3" s="1"/>
  <c r="F8543" i="3" s="1"/>
  <c r="F8567" i="3" s="1"/>
  <c r="F8591" i="3" s="1"/>
  <c r="F8615" i="3" s="1"/>
  <c r="F8639" i="3" s="1"/>
  <c r="F8663" i="3" s="1"/>
  <c r="F8687" i="3" s="1"/>
  <c r="F8711" i="3" s="1"/>
  <c r="F8735" i="3" s="1"/>
  <c r="F8759" i="3" s="1"/>
  <c r="F8783" i="3" s="1"/>
  <c r="F8807" i="3" s="1"/>
  <c r="F8831" i="3" s="1"/>
  <c r="F8855" i="3" s="1"/>
  <c r="F8879" i="3" s="1"/>
  <c r="F8903" i="3" s="1"/>
  <c r="F8927" i="3" s="1"/>
  <c r="F8951" i="3" s="1"/>
  <c r="F8975" i="3" s="1"/>
  <c r="F8999" i="3" s="1"/>
  <c r="F9023" i="3" s="1"/>
  <c r="F9047" i="3" s="1"/>
  <c r="F9071" i="3" s="1"/>
  <c r="F9095" i="3" s="1"/>
  <c r="F9119" i="3" s="1"/>
  <c r="F9143" i="3" s="1"/>
  <c r="F9167" i="3" s="1"/>
  <c r="F9191" i="3" s="1"/>
  <c r="F9215" i="3" s="1"/>
  <c r="F9239" i="3" s="1"/>
  <c r="F9263" i="3" s="1"/>
  <c r="F9287" i="3" s="1"/>
  <c r="F9311" i="3" s="1"/>
  <c r="F9335" i="3" s="1"/>
  <c r="F9359" i="3" s="1"/>
  <c r="F9383" i="3" s="1"/>
  <c r="F9407" i="3" s="1"/>
  <c r="F9431" i="3" s="1"/>
  <c r="F9455" i="3" s="1"/>
  <c r="F9479" i="3" s="1"/>
  <c r="F9503" i="3" s="1"/>
  <c r="F9527" i="3" s="1"/>
  <c r="F9551" i="3" s="1"/>
  <c r="F9575" i="3" s="1"/>
  <c r="F8034" i="3"/>
  <c r="F8058" i="3" s="1"/>
  <c r="F8082" i="3" s="1"/>
  <c r="F8106" i="3" s="1"/>
  <c r="F8130" i="3" s="1"/>
  <c r="F8154" i="3" s="1"/>
  <c r="F8178" i="3" s="1"/>
  <c r="F8202" i="3" s="1"/>
  <c r="F8226" i="3" s="1"/>
  <c r="F8250" i="3" s="1"/>
  <c r="F8274" i="3" s="1"/>
  <c r="F8298" i="3" s="1"/>
  <c r="F8322" i="3" s="1"/>
  <c r="F8346" i="3" s="1"/>
  <c r="F8370" i="3" s="1"/>
  <c r="F8394" i="3" s="1"/>
  <c r="F8418" i="3" s="1"/>
  <c r="F8442" i="3" s="1"/>
  <c r="F8466" i="3" s="1"/>
  <c r="F8490" i="3" s="1"/>
  <c r="F8514" i="3" s="1"/>
  <c r="F8538" i="3" s="1"/>
  <c r="F8562" i="3" s="1"/>
  <c r="F8586" i="3" s="1"/>
  <c r="F8610" i="3" s="1"/>
  <c r="F8634" i="3" s="1"/>
  <c r="F8658" i="3" s="1"/>
  <c r="F8682" i="3" s="1"/>
  <c r="F8706" i="3" s="1"/>
  <c r="F8730" i="3" s="1"/>
  <c r="F8754" i="3" s="1"/>
  <c r="F8778" i="3" s="1"/>
  <c r="F8802" i="3" s="1"/>
  <c r="F8826" i="3" s="1"/>
  <c r="F8850" i="3" s="1"/>
  <c r="F8874" i="3" s="1"/>
  <c r="F8898" i="3" s="1"/>
  <c r="F8922" i="3" s="1"/>
  <c r="F8946" i="3" s="1"/>
  <c r="F8970" i="3" s="1"/>
  <c r="F8994" i="3" s="1"/>
  <c r="F9018" i="3" s="1"/>
  <c r="F9042" i="3" s="1"/>
  <c r="F9066" i="3" s="1"/>
  <c r="F9090" i="3" s="1"/>
  <c r="F9114" i="3" s="1"/>
  <c r="F9138" i="3" s="1"/>
  <c r="F9162" i="3" s="1"/>
  <c r="F9186" i="3" s="1"/>
  <c r="F9210" i="3" s="1"/>
  <c r="F9234" i="3" s="1"/>
  <c r="F9258" i="3" s="1"/>
  <c r="F9282" i="3" s="1"/>
  <c r="F9306" i="3" s="1"/>
  <c r="F9330" i="3" s="1"/>
  <c r="F9354" i="3" s="1"/>
  <c r="F9378" i="3" s="1"/>
  <c r="F9402" i="3" s="1"/>
  <c r="F9426" i="3" s="1"/>
  <c r="F9450" i="3" s="1"/>
  <c r="F9474" i="3" s="1"/>
  <c r="F9498" i="3" s="1"/>
  <c r="F9522" i="3" s="1"/>
  <c r="F9546" i="3" s="1"/>
  <c r="F9570" i="3" s="1"/>
  <c r="F8021" i="3"/>
  <c r="F8045" i="3" s="1"/>
  <c r="F8069" i="3" s="1"/>
  <c r="F8093" i="3" s="1"/>
  <c r="F8117" i="3" s="1"/>
  <c r="F8141" i="3" s="1"/>
  <c r="F8165" i="3" s="1"/>
  <c r="F8189" i="3" s="1"/>
  <c r="F8213" i="3" s="1"/>
  <c r="F8237" i="3" s="1"/>
  <c r="F8261" i="3" s="1"/>
  <c r="F8285" i="3" s="1"/>
  <c r="F8309" i="3" s="1"/>
  <c r="F8333" i="3" s="1"/>
  <c r="F8357" i="3" s="1"/>
  <c r="F8381" i="3" s="1"/>
  <c r="F8405" i="3" s="1"/>
  <c r="F8429" i="3" s="1"/>
  <c r="F8453" i="3" s="1"/>
  <c r="F8477" i="3" s="1"/>
  <c r="F8501" i="3" s="1"/>
  <c r="F8525" i="3" s="1"/>
  <c r="F8549" i="3" s="1"/>
  <c r="F8573" i="3" s="1"/>
  <c r="F8597" i="3" s="1"/>
  <c r="F8621" i="3" s="1"/>
  <c r="F8645" i="3" s="1"/>
  <c r="F8669" i="3" s="1"/>
  <c r="F8693" i="3" s="1"/>
  <c r="F8717" i="3" s="1"/>
  <c r="F8741" i="3" s="1"/>
  <c r="F8765" i="3" s="1"/>
  <c r="F8789" i="3" s="1"/>
  <c r="F8813" i="3" s="1"/>
  <c r="F8837" i="3" s="1"/>
  <c r="F8861" i="3" s="1"/>
  <c r="F8885" i="3" s="1"/>
  <c r="F8909" i="3" s="1"/>
  <c r="F8933" i="3" s="1"/>
  <c r="F8957" i="3" s="1"/>
  <c r="F8981" i="3" s="1"/>
  <c r="F9005" i="3" s="1"/>
  <c r="F9029" i="3" s="1"/>
  <c r="F9053" i="3" s="1"/>
  <c r="F9077" i="3" s="1"/>
  <c r="F9101" i="3" s="1"/>
  <c r="F9125" i="3" s="1"/>
  <c r="F9149" i="3" s="1"/>
  <c r="F9173" i="3" s="1"/>
  <c r="F9197" i="3" s="1"/>
  <c r="F9221" i="3" s="1"/>
  <c r="F9245" i="3" s="1"/>
  <c r="F9269" i="3" s="1"/>
  <c r="F9293" i="3" s="1"/>
  <c r="F9317" i="3" s="1"/>
  <c r="F9341" i="3" s="1"/>
  <c r="F9365" i="3" s="1"/>
  <c r="F9389" i="3" s="1"/>
  <c r="F9413" i="3" s="1"/>
  <c r="F9437" i="3" s="1"/>
  <c r="F9461" i="3" s="1"/>
  <c r="F9485" i="3" s="1"/>
  <c r="F9509" i="3" s="1"/>
  <c r="F9533" i="3" s="1"/>
  <c r="F9557" i="3" s="1"/>
  <c r="F8051" i="3"/>
  <c r="F8075" i="3" s="1"/>
  <c r="F8099" i="3" s="1"/>
  <c r="F8123" i="3" s="1"/>
  <c r="F8147" i="3" s="1"/>
  <c r="F8171" i="3" s="1"/>
  <c r="F8195" i="3" s="1"/>
  <c r="F8219" i="3" s="1"/>
  <c r="F8243" i="3" s="1"/>
  <c r="F8267" i="3" s="1"/>
  <c r="F8291" i="3" s="1"/>
  <c r="F8315" i="3" s="1"/>
  <c r="F8339" i="3" s="1"/>
  <c r="F8363" i="3" s="1"/>
  <c r="F8387" i="3" s="1"/>
  <c r="F8411" i="3" s="1"/>
  <c r="F8435" i="3" s="1"/>
  <c r="F8459" i="3" s="1"/>
  <c r="F8483" i="3" s="1"/>
  <c r="F8507" i="3" s="1"/>
  <c r="F8531" i="3" s="1"/>
  <c r="F8555" i="3" s="1"/>
  <c r="F8579" i="3" s="1"/>
  <c r="F8603" i="3" s="1"/>
  <c r="F8627" i="3" s="1"/>
  <c r="F8651" i="3" s="1"/>
  <c r="F8675" i="3" s="1"/>
  <c r="F8699" i="3" s="1"/>
  <c r="F8723" i="3" s="1"/>
  <c r="F8747" i="3" s="1"/>
  <c r="F8771" i="3" s="1"/>
  <c r="F8795" i="3" s="1"/>
  <c r="F8819" i="3" s="1"/>
  <c r="F8843" i="3" s="1"/>
  <c r="F8867" i="3" s="1"/>
  <c r="F8891" i="3" s="1"/>
  <c r="F8915" i="3" s="1"/>
  <c r="F8939" i="3" s="1"/>
  <c r="F8963" i="3" s="1"/>
  <c r="F8987" i="3" s="1"/>
  <c r="F9011" i="3" s="1"/>
  <c r="F9035" i="3" s="1"/>
  <c r="F9059" i="3" s="1"/>
  <c r="F9083" i="3" s="1"/>
  <c r="F9107" i="3" s="1"/>
  <c r="F9131" i="3" s="1"/>
  <c r="F9155" i="3" s="1"/>
  <c r="F9179" i="3" s="1"/>
  <c r="F9203" i="3" s="1"/>
  <c r="F9227" i="3" s="1"/>
  <c r="F9251" i="3" s="1"/>
  <c r="F9275" i="3" s="1"/>
  <c r="F9299" i="3" s="1"/>
  <c r="F9323" i="3" s="1"/>
  <c r="F9347" i="3" s="1"/>
  <c r="F9371" i="3" s="1"/>
  <c r="F9395" i="3" s="1"/>
  <c r="F9419" i="3" s="1"/>
  <c r="F9443" i="3" s="1"/>
  <c r="F9467" i="3" s="1"/>
  <c r="F9491" i="3" s="1"/>
  <c r="F9515" i="3" s="1"/>
  <c r="F9539" i="3" s="1"/>
  <c r="F9563" i="3" s="1"/>
  <c r="F8032" i="3"/>
  <c r="F8056" i="3" s="1"/>
  <c r="F8080" i="3" s="1"/>
  <c r="F8104" i="3" s="1"/>
  <c r="F8128" i="3" s="1"/>
  <c r="F8152" i="3" s="1"/>
  <c r="F8176" i="3" s="1"/>
  <c r="F8200" i="3" s="1"/>
  <c r="F8224" i="3" s="1"/>
  <c r="F8248" i="3" s="1"/>
  <c r="F8272" i="3" s="1"/>
  <c r="F8296" i="3" s="1"/>
  <c r="F8320" i="3" s="1"/>
  <c r="F8344" i="3" s="1"/>
  <c r="F8368" i="3" s="1"/>
  <c r="F8392" i="3" s="1"/>
  <c r="F8416" i="3" s="1"/>
  <c r="F8440" i="3" s="1"/>
  <c r="F8464" i="3" s="1"/>
  <c r="F8488" i="3" s="1"/>
  <c r="F8512" i="3" s="1"/>
  <c r="F8536" i="3" s="1"/>
  <c r="F8560" i="3" s="1"/>
  <c r="F8584" i="3" s="1"/>
  <c r="F8608" i="3" s="1"/>
  <c r="F8632" i="3" s="1"/>
  <c r="F8656" i="3" s="1"/>
  <c r="F8680" i="3" s="1"/>
  <c r="F8704" i="3" s="1"/>
  <c r="F8728" i="3" s="1"/>
  <c r="F8752" i="3" s="1"/>
  <c r="F8776" i="3" s="1"/>
  <c r="F8800" i="3" s="1"/>
  <c r="F8824" i="3" s="1"/>
  <c r="F8848" i="3" s="1"/>
  <c r="F8872" i="3" s="1"/>
  <c r="F8896" i="3" s="1"/>
  <c r="F8920" i="3" s="1"/>
  <c r="F8944" i="3" s="1"/>
  <c r="F8968" i="3" s="1"/>
  <c r="F8992" i="3" s="1"/>
  <c r="F9016" i="3" s="1"/>
  <c r="F9040" i="3" s="1"/>
  <c r="F9064" i="3" s="1"/>
  <c r="F9088" i="3" s="1"/>
  <c r="F9112" i="3" s="1"/>
  <c r="F9136" i="3" s="1"/>
  <c r="F9160" i="3" s="1"/>
  <c r="F9184" i="3" s="1"/>
  <c r="F9208" i="3" s="1"/>
  <c r="F9232" i="3" s="1"/>
  <c r="F9256" i="3" s="1"/>
  <c r="F9280" i="3" s="1"/>
  <c r="F9304" i="3" s="1"/>
  <c r="F9328" i="3" s="1"/>
  <c r="F9352" i="3" s="1"/>
  <c r="F9376" i="3" s="1"/>
  <c r="F9400" i="3" s="1"/>
  <c r="F9424" i="3" s="1"/>
  <c r="F9448" i="3" s="1"/>
  <c r="F9472" i="3" s="1"/>
  <c r="F9496" i="3" s="1"/>
  <c r="F9520" i="3" s="1"/>
  <c r="F9544" i="3" s="1"/>
  <c r="F9568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M224" i="1"/>
  <c r="E5330" i="3"/>
  <c r="E5353" i="3"/>
  <c r="E5351" i="3"/>
  <c r="E5350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X201" i="23" l="1"/>
  <c r="G202" i="23"/>
  <c r="W190" i="23"/>
  <c r="D191" i="23"/>
  <c r="V190" i="23"/>
  <c r="Y190" i="23" s="1"/>
  <c r="U190" i="23"/>
  <c r="X190" i="23"/>
  <c r="C159" i="1"/>
  <c r="M218" i="1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W191" i="23" l="1"/>
  <c r="D192" i="23"/>
  <c r="V191" i="23"/>
  <c r="Y191" i="23" s="1"/>
  <c r="U191" i="23"/>
  <c r="X191" i="23"/>
  <c r="G203" i="23"/>
  <c r="X202" i="23"/>
  <c r="C160" i="1"/>
  <c r="G204" i="23" l="1"/>
  <c r="D193" i="23"/>
  <c r="U192" i="23"/>
  <c r="W192" i="23"/>
  <c r="V192" i="23"/>
  <c r="Y192" i="23" s="1"/>
  <c r="X192" i="23"/>
  <c r="C161" i="1"/>
  <c r="G205" i="23" l="1"/>
  <c r="U193" i="23"/>
  <c r="D194" i="23"/>
  <c r="W193" i="23"/>
  <c r="V193" i="23"/>
  <c r="Y193" i="23" s="1"/>
  <c r="X193" i="23"/>
  <c r="X203" i="23"/>
  <c r="C162" i="1"/>
  <c r="D195" i="23" l="1"/>
  <c r="V194" i="23"/>
  <c r="Y194" i="23" s="1"/>
  <c r="U194" i="23"/>
  <c r="W194" i="23"/>
  <c r="X194" i="23"/>
  <c r="X204" i="23"/>
  <c r="G206" i="23"/>
  <c r="X205" i="23"/>
  <c r="C163" i="1"/>
  <c r="G207" i="23" l="1"/>
  <c r="W195" i="23"/>
  <c r="U195" i="23"/>
  <c r="D196" i="23"/>
  <c r="X206" i="23" s="1"/>
  <c r="V195" i="23"/>
  <c r="Y195" i="23" s="1"/>
  <c r="X195" i="23"/>
  <c r="C164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D197" i="23" l="1"/>
  <c r="V196" i="23"/>
  <c r="Y196" i="23" s="1"/>
  <c r="W196" i="23"/>
  <c r="U196" i="23"/>
  <c r="X196" i="23"/>
  <c r="X207" i="23"/>
  <c r="G208" i="23"/>
  <c r="C165" i="1"/>
  <c r="M211" i="1"/>
  <c r="G209" i="23" l="1"/>
  <c r="U197" i="23"/>
  <c r="W197" i="23"/>
  <c r="D198" i="23"/>
  <c r="X208" i="23" s="1"/>
  <c r="V197" i="23"/>
  <c r="Y197" i="23" s="1"/>
  <c r="C166" i="1"/>
  <c r="M210" i="1"/>
  <c r="D199" i="23" l="1"/>
  <c r="V198" i="23"/>
  <c r="Y198" i="23" s="1"/>
  <c r="U198" i="23"/>
  <c r="W198" i="23"/>
  <c r="G210" i="23"/>
  <c r="X209" i="23"/>
  <c r="C167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G211" i="23" l="1"/>
  <c r="W199" i="23"/>
  <c r="U199" i="23"/>
  <c r="D200" i="23"/>
  <c r="X210" i="23" s="1"/>
  <c r="V199" i="23"/>
  <c r="Y199" i="23" s="1"/>
  <c r="C168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U200" i="23" l="1"/>
  <c r="W200" i="23"/>
  <c r="D201" i="23"/>
  <c r="V200" i="23"/>
  <c r="Y200" i="23" s="1"/>
  <c r="G212" i="23"/>
  <c r="C169" i="1"/>
  <c r="M207" i="1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D202" i="23" l="1"/>
  <c r="V201" i="23"/>
  <c r="Y201" i="23" s="1"/>
  <c r="W201" i="23"/>
  <c r="U201" i="23"/>
  <c r="X211" i="23"/>
  <c r="G213" i="23"/>
  <c r="X212" i="23"/>
  <c r="C170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G214" i="23" l="1"/>
  <c r="W202" i="23"/>
  <c r="U202" i="23"/>
  <c r="D203" i="23"/>
  <c r="X213" i="23" s="1"/>
  <c r="V202" i="23"/>
  <c r="Y202" i="23" s="1"/>
  <c r="C171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M203" i="1"/>
  <c r="E4835" i="3"/>
  <c r="E4826" i="3"/>
  <c r="E4849" i="3"/>
  <c r="E4847" i="3"/>
  <c r="E4846" i="3"/>
  <c r="E4842" i="3"/>
  <c r="E4838" i="3"/>
  <c r="E4831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U203" i="23" l="1"/>
  <c r="W203" i="23"/>
  <c r="D204" i="23"/>
  <c r="V203" i="23"/>
  <c r="Y203" i="23" s="1"/>
  <c r="G215" i="23"/>
  <c r="C172" i="1"/>
  <c r="G216" i="23" l="1"/>
  <c r="X215" i="23"/>
  <c r="D205" i="23"/>
  <c r="V204" i="23"/>
  <c r="Y204" i="23" s="1"/>
  <c r="W204" i="23"/>
  <c r="U204" i="23"/>
  <c r="X214" i="23"/>
  <c r="C173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W205" i="23" l="1"/>
  <c r="U205" i="23"/>
  <c r="D206" i="23"/>
  <c r="V205" i="23"/>
  <c r="Y205" i="23" s="1"/>
  <c r="G217" i="23"/>
  <c r="X216" i="23"/>
  <c r="C174" i="1"/>
  <c r="E4643" i="3"/>
  <c r="D207" i="23" l="1"/>
  <c r="V206" i="23"/>
  <c r="Y206" i="23" s="1"/>
  <c r="W206" i="23"/>
  <c r="U206" i="23"/>
  <c r="G218" i="23"/>
  <c r="X217" i="23"/>
  <c r="C175" i="1"/>
  <c r="L194" i="1"/>
  <c r="K194" i="1" s="1"/>
  <c r="G219" i="23" l="1"/>
  <c r="X218" i="23"/>
  <c r="U207" i="23"/>
  <c r="W207" i="23"/>
  <c r="D208" i="23"/>
  <c r="V207" i="23"/>
  <c r="Y207" i="23" s="1"/>
  <c r="C176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D209" i="23" l="1"/>
  <c r="V208" i="23"/>
  <c r="Y208" i="23" s="1"/>
  <c r="U208" i="23"/>
  <c r="W208" i="23"/>
  <c r="G220" i="23"/>
  <c r="X219" i="23"/>
  <c r="C177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G221" i="23" l="1"/>
  <c r="X220" i="23"/>
  <c r="W209" i="23"/>
  <c r="U209" i="23"/>
  <c r="D210" i="23"/>
  <c r="V209" i="23"/>
  <c r="Y209" i="23" s="1"/>
  <c r="C178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D211" i="23" l="1"/>
  <c r="V210" i="23"/>
  <c r="Y210" i="23" s="1"/>
  <c r="W210" i="23"/>
  <c r="U210" i="23"/>
  <c r="G222" i="23"/>
  <c r="X221" i="23"/>
  <c r="C179" i="1"/>
  <c r="E4582" i="3"/>
  <c r="E4578" i="3"/>
  <c r="E4576" i="3"/>
  <c r="E4571" i="3"/>
  <c r="E4567" i="3"/>
  <c r="E4584" i="3"/>
  <c r="E4583" i="3"/>
  <c r="E4574" i="3"/>
  <c r="D191" i="1"/>
  <c r="L179" i="1"/>
  <c r="L180" i="1"/>
  <c r="L181" i="1"/>
  <c r="K181" i="1" s="1"/>
  <c r="L182" i="1"/>
  <c r="K182" i="1" s="1"/>
  <c r="L183" i="1"/>
  <c r="K183" i="1" s="1"/>
  <c r="L184" i="1"/>
  <c r="K184" i="1" s="1"/>
  <c r="L185" i="1"/>
  <c r="L186" i="1"/>
  <c r="K186" i="1" s="1"/>
  <c r="L187" i="1"/>
  <c r="K187" i="1" s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37" i="3"/>
  <c r="E4525" i="3"/>
  <c r="E4528" i="3"/>
  <c r="E4510" i="3"/>
  <c r="E4505" i="3"/>
  <c r="E4497" i="3"/>
  <c r="E4495" i="3"/>
  <c r="E4491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D186" i="1"/>
  <c r="D187" i="1"/>
  <c r="E4464" i="3"/>
  <c r="E4462" i="3"/>
  <c r="E4458" i="3"/>
  <c r="E4457" i="3"/>
  <c r="E4451" i="3"/>
  <c r="E4447" i="3"/>
  <c r="E4445" i="3"/>
  <c r="E4454" i="3"/>
  <c r="D185" i="1"/>
  <c r="E4416" i="3"/>
  <c r="E4438" i="3"/>
  <c r="E4432" i="3"/>
  <c r="E4427" i="3"/>
  <c r="E4423" i="3"/>
  <c r="E4419" i="3"/>
  <c r="E4434" i="3"/>
  <c r="E4433" i="3"/>
  <c r="E442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89" i="3"/>
  <c r="E4375" i="3"/>
  <c r="E4377" i="3"/>
  <c r="E4382" i="3"/>
  <c r="D184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43" i="3"/>
  <c r="E4337" i="3"/>
  <c r="E4329" i="3"/>
  <c r="E4327" i="3"/>
  <c r="E4342" i="3"/>
  <c r="E4334" i="3"/>
  <c r="E4325" i="3"/>
  <c r="E4338" i="3"/>
  <c r="E4336" i="3"/>
  <c r="G223" i="23" l="1"/>
  <c r="X222" i="23"/>
  <c r="U211" i="23"/>
  <c r="W211" i="23"/>
  <c r="D212" i="23"/>
  <c r="V211" i="23"/>
  <c r="Y211" i="23" s="1"/>
  <c r="C180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8116" i="3" s="1"/>
  <c r="F8140" i="3" s="1"/>
  <c r="F8164" i="3" s="1"/>
  <c r="F8188" i="3" s="1"/>
  <c r="F8212" i="3" s="1"/>
  <c r="F8236" i="3" s="1"/>
  <c r="F8260" i="3" s="1"/>
  <c r="F8284" i="3" s="1"/>
  <c r="F8308" i="3" s="1"/>
  <c r="F8332" i="3" s="1"/>
  <c r="F8356" i="3" s="1"/>
  <c r="F8380" i="3" s="1"/>
  <c r="F8404" i="3" s="1"/>
  <c r="F8428" i="3" s="1"/>
  <c r="F8452" i="3" s="1"/>
  <c r="F8476" i="3" s="1"/>
  <c r="F8500" i="3" s="1"/>
  <c r="F8524" i="3" s="1"/>
  <c r="F8548" i="3" s="1"/>
  <c r="F8572" i="3" s="1"/>
  <c r="F8596" i="3" s="1"/>
  <c r="F8620" i="3" s="1"/>
  <c r="F8644" i="3" s="1"/>
  <c r="F8668" i="3" s="1"/>
  <c r="F8692" i="3" s="1"/>
  <c r="F8716" i="3" s="1"/>
  <c r="F8740" i="3" s="1"/>
  <c r="F8764" i="3" s="1"/>
  <c r="F8788" i="3" s="1"/>
  <c r="F8812" i="3" s="1"/>
  <c r="F8836" i="3" s="1"/>
  <c r="F8860" i="3" s="1"/>
  <c r="F8884" i="3" s="1"/>
  <c r="F8908" i="3" s="1"/>
  <c r="F8932" i="3" s="1"/>
  <c r="F8956" i="3" s="1"/>
  <c r="F8980" i="3" s="1"/>
  <c r="F9004" i="3" s="1"/>
  <c r="F9028" i="3" s="1"/>
  <c r="F9052" i="3" s="1"/>
  <c r="F9076" i="3" s="1"/>
  <c r="F9100" i="3" s="1"/>
  <c r="F9124" i="3" s="1"/>
  <c r="F9148" i="3" s="1"/>
  <c r="F9172" i="3" s="1"/>
  <c r="F9196" i="3" s="1"/>
  <c r="F9220" i="3" s="1"/>
  <c r="F9244" i="3" s="1"/>
  <c r="F9268" i="3" s="1"/>
  <c r="F9292" i="3" s="1"/>
  <c r="F9316" i="3" s="1"/>
  <c r="F9340" i="3" s="1"/>
  <c r="F9364" i="3" s="1"/>
  <c r="F9388" i="3" s="1"/>
  <c r="F9412" i="3" s="1"/>
  <c r="F9436" i="3" s="1"/>
  <c r="F9460" i="3" s="1"/>
  <c r="F9484" i="3" s="1"/>
  <c r="F9508" i="3" s="1"/>
  <c r="F9532" i="3" s="1"/>
  <c r="F955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D213" i="23" l="1"/>
  <c r="V212" i="23"/>
  <c r="Y212" i="23" s="1"/>
  <c r="U212" i="23"/>
  <c r="W212" i="23"/>
  <c r="G224" i="23"/>
  <c r="X223" i="23"/>
  <c r="F1584" i="3"/>
  <c r="C181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G225" i="23" l="1"/>
  <c r="X224" i="23"/>
  <c r="W213" i="23"/>
  <c r="U213" i="23"/>
  <c r="D214" i="23"/>
  <c r="V213" i="23"/>
  <c r="Y213" i="23" s="1"/>
  <c r="C182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D215" i="23" l="1"/>
  <c r="V214" i="23"/>
  <c r="Y214" i="23" s="1"/>
  <c r="W214" i="23"/>
  <c r="U214" i="23"/>
  <c r="G226" i="23"/>
  <c r="X225" i="23"/>
  <c r="C183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G227" i="23" l="1"/>
  <c r="X226" i="23"/>
  <c r="U215" i="23"/>
  <c r="W215" i="23"/>
  <c r="D216" i="23"/>
  <c r="V215" i="23"/>
  <c r="Y215" i="23" s="1"/>
  <c r="C184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D217" i="23" l="1"/>
  <c r="V216" i="23"/>
  <c r="Y216" i="23" s="1"/>
  <c r="U216" i="23"/>
  <c r="W216" i="23"/>
  <c r="G228" i="23"/>
  <c r="X227" i="23"/>
  <c r="C185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G229" i="23" l="1"/>
  <c r="X228" i="23"/>
  <c r="W217" i="23"/>
  <c r="U217" i="23"/>
  <c r="D218" i="23"/>
  <c r="V217" i="23"/>
  <c r="Y217" i="23" s="1"/>
  <c r="C186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D219" i="23" l="1"/>
  <c r="V218" i="23"/>
  <c r="Y218" i="23" s="1"/>
  <c r="W218" i="23"/>
  <c r="U218" i="23"/>
  <c r="G230" i="23"/>
  <c r="X229" i="23"/>
  <c r="C187" i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G231" i="23" l="1"/>
  <c r="X230" i="23"/>
  <c r="U219" i="23"/>
  <c r="W219" i="23"/>
  <c r="D220" i="23"/>
  <c r="V219" i="23"/>
  <c r="Y219" i="23" s="1"/>
  <c r="C188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D221" i="23" l="1"/>
  <c r="V220" i="23"/>
  <c r="Y220" i="23" s="1"/>
  <c r="U220" i="23"/>
  <c r="W220" i="23"/>
  <c r="G232" i="23"/>
  <c r="X231" i="23"/>
  <c r="C189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G233" i="23" l="1"/>
  <c r="X232" i="23"/>
  <c r="W221" i="23"/>
  <c r="U221" i="23"/>
  <c r="D222" i="23"/>
  <c r="V221" i="23"/>
  <c r="Y221" i="23" s="1"/>
  <c r="C190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D223" i="23" l="1"/>
  <c r="V222" i="23"/>
  <c r="Y222" i="23" s="1"/>
  <c r="W222" i="23"/>
  <c r="U222" i="23"/>
  <c r="G234" i="23"/>
  <c r="X233" i="23"/>
  <c r="C191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X234" i="23" l="1"/>
  <c r="G235" i="23"/>
  <c r="U223" i="23"/>
  <c r="W223" i="23"/>
  <c r="D224" i="23"/>
  <c r="V223" i="23"/>
  <c r="Y223" i="23" s="1"/>
  <c r="C192" i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G236" i="23" l="1"/>
  <c r="X235" i="23"/>
  <c r="D225" i="23"/>
  <c r="V224" i="23"/>
  <c r="Y224" i="23" s="1"/>
  <c r="U224" i="23"/>
  <c r="W224" i="23"/>
  <c r="C193" i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W225" i="23" l="1"/>
  <c r="U225" i="23"/>
  <c r="D226" i="23"/>
  <c r="V225" i="23"/>
  <c r="Y225" i="23" s="1"/>
  <c r="G237" i="23"/>
  <c r="X236" i="23"/>
  <c r="C194" i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D227" i="23" l="1"/>
  <c r="V226" i="23"/>
  <c r="Y226" i="23" s="1"/>
  <c r="W226" i="23"/>
  <c r="U226" i="23"/>
  <c r="G238" i="23"/>
  <c r="X237" i="23"/>
  <c r="C195" i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G239" i="23" l="1"/>
  <c r="X238" i="23"/>
  <c r="U227" i="23"/>
  <c r="W227" i="23"/>
  <c r="D228" i="23"/>
  <c r="V227" i="23"/>
  <c r="Y227" i="23" s="1"/>
  <c r="C196" i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D229" i="23" l="1"/>
  <c r="V228" i="23"/>
  <c r="Y228" i="23" s="1"/>
  <c r="U228" i="23"/>
  <c r="W228" i="23"/>
  <c r="G240" i="23"/>
  <c r="X239" i="23"/>
  <c r="C197" i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G241" i="23" l="1"/>
  <c r="X240" i="23"/>
  <c r="W229" i="23"/>
  <c r="U229" i="23"/>
  <c r="D230" i="23"/>
  <c r="V229" i="23"/>
  <c r="Y229" i="23" s="1"/>
  <c r="C198" i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D231" i="23" l="1"/>
  <c r="V230" i="23"/>
  <c r="Y230" i="23" s="1"/>
  <c r="W230" i="23"/>
  <c r="U230" i="23"/>
  <c r="G242" i="23"/>
  <c r="X241" i="23"/>
  <c r="C199" i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G243" i="23" l="1"/>
  <c r="X242" i="23"/>
  <c r="U231" i="23"/>
  <c r="W231" i="23"/>
  <c r="D232" i="23"/>
  <c r="V231" i="23"/>
  <c r="Y231" i="23" s="1"/>
  <c r="C200" i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D233" i="23" l="1"/>
  <c r="V232" i="23"/>
  <c r="Y232" i="23" s="1"/>
  <c r="W232" i="23"/>
  <c r="G244" i="23"/>
  <c r="X243" i="23"/>
  <c r="C201" i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G245" i="23" l="1"/>
  <c r="X244" i="23"/>
  <c r="W233" i="23"/>
  <c r="D234" i="23"/>
  <c r="U233" i="23"/>
  <c r="V233" i="23"/>
  <c r="Y233" i="23" s="1"/>
  <c r="C202" i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W234" i="23" l="1"/>
  <c r="U234" i="23"/>
  <c r="V234" i="23"/>
  <c r="Y234" i="23" s="1"/>
  <c r="D235" i="23"/>
  <c r="G246" i="23"/>
  <c r="G247" i="23" s="1"/>
  <c r="G248" i="23" s="1"/>
  <c r="G249" i="23" s="1"/>
  <c r="G250" i="23" s="1"/>
  <c r="G251" i="23" s="1"/>
  <c r="G252" i="23" s="1"/>
  <c r="G253" i="23" s="1"/>
  <c r="G254" i="23" s="1"/>
  <c r="G255" i="23" s="1"/>
  <c r="G256" i="23" s="1"/>
  <c r="G257" i="23" s="1"/>
  <c r="G258" i="23" s="1"/>
  <c r="G259" i="23" s="1"/>
  <c r="G260" i="23" s="1"/>
  <c r="G261" i="23" s="1"/>
  <c r="G262" i="23" s="1"/>
  <c r="G263" i="23" s="1"/>
  <c r="G264" i="23" s="1"/>
  <c r="G265" i="23" s="1"/>
  <c r="G266" i="23" s="1"/>
  <c r="G267" i="23" s="1"/>
  <c r="G268" i="23" s="1"/>
  <c r="G269" i="23" s="1"/>
  <c r="G270" i="23" s="1"/>
  <c r="G271" i="23" s="1"/>
  <c r="G272" i="23" s="1"/>
  <c r="G273" i="23" s="1"/>
  <c r="G274" i="23" s="1"/>
  <c r="G275" i="23" s="1"/>
  <c r="G276" i="23" s="1"/>
  <c r="G277" i="23" s="1"/>
  <c r="G278" i="23" s="1"/>
  <c r="G279" i="23" s="1"/>
  <c r="G280" i="23" s="1"/>
  <c r="G281" i="23" s="1"/>
  <c r="G282" i="23" s="1"/>
  <c r="G283" i="23" s="1"/>
  <c r="G284" i="23" s="1"/>
  <c r="G285" i="23" s="1"/>
  <c r="G286" i="23" s="1"/>
  <c r="G287" i="23" s="1"/>
  <c r="G288" i="23" s="1"/>
  <c r="G289" i="23" s="1"/>
  <c r="G290" i="23" s="1"/>
  <c r="G291" i="23" s="1"/>
  <c r="G292" i="23" s="1"/>
  <c r="G293" i="23" s="1"/>
  <c r="G294" i="23" s="1"/>
  <c r="G295" i="23" s="1"/>
  <c r="G296" i="23" s="1"/>
  <c r="G297" i="23" s="1"/>
  <c r="G298" i="23" s="1"/>
  <c r="G299" i="23" s="1"/>
  <c r="G300" i="23" s="1"/>
  <c r="G301" i="23" s="1"/>
  <c r="G302" i="23" s="1"/>
  <c r="G303" i="23" s="1"/>
  <c r="G304" i="23" s="1"/>
  <c r="G305" i="23" s="1"/>
  <c r="G306" i="23" s="1"/>
  <c r="G307" i="23" s="1"/>
  <c r="G308" i="23" s="1"/>
  <c r="G309" i="23" s="1"/>
  <c r="G310" i="23" s="1"/>
  <c r="G311" i="23" s="1"/>
  <c r="G312" i="23" s="1"/>
  <c r="G313" i="23" s="1"/>
  <c r="G314" i="23" s="1"/>
  <c r="G315" i="23" s="1"/>
  <c r="G316" i="23" s="1"/>
  <c r="G317" i="23" s="1"/>
  <c r="G318" i="23" s="1"/>
  <c r="G319" i="23" s="1"/>
  <c r="G320" i="23" s="1"/>
  <c r="G321" i="23" s="1"/>
  <c r="G322" i="23" s="1"/>
  <c r="G323" i="23" s="1"/>
  <c r="G324" i="23" s="1"/>
  <c r="G325" i="23" s="1"/>
  <c r="G326" i="23" s="1"/>
  <c r="G327" i="23" s="1"/>
  <c r="G328" i="23" s="1"/>
  <c r="G329" i="23" s="1"/>
  <c r="G330" i="23" s="1"/>
  <c r="G331" i="23" s="1"/>
  <c r="G332" i="23" s="1"/>
  <c r="G333" i="23" s="1"/>
  <c r="G334" i="23" s="1"/>
  <c r="G335" i="23" s="1"/>
  <c r="G336" i="23" s="1"/>
  <c r="G337" i="23" s="1"/>
  <c r="G338" i="23" s="1"/>
  <c r="G339" i="23" s="1"/>
  <c r="G340" i="23" s="1"/>
  <c r="G341" i="23" s="1"/>
  <c r="G342" i="23" s="1"/>
  <c r="G343" i="23" s="1"/>
  <c r="G344" i="23" s="1"/>
  <c r="G345" i="23" s="1"/>
  <c r="G346" i="23" s="1"/>
  <c r="G347" i="23" s="1"/>
  <c r="G348" i="23" s="1"/>
  <c r="G349" i="23" s="1"/>
  <c r="G350" i="23" s="1"/>
  <c r="G351" i="23" s="1"/>
  <c r="G352" i="23" s="1"/>
  <c r="G353" i="23" s="1"/>
  <c r="G354" i="23" s="1"/>
  <c r="G355" i="23" s="1"/>
  <c r="G356" i="23" s="1"/>
  <c r="G357" i="23" s="1"/>
  <c r="G358" i="23" s="1"/>
  <c r="G359" i="23" s="1"/>
  <c r="G360" i="23" s="1"/>
  <c r="G361" i="23" s="1"/>
  <c r="G362" i="23" s="1"/>
  <c r="G363" i="23" s="1"/>
  <c r="G364" i="23" s="1"/>
  <c r="G365" i="23" s="1"/>
  <c r="G366" i="23" s="1"/>
  <c r="G367" i="23" s="1"/>
  <c r="G368" i="23" s="1"/>
  <c r="G369" i="23" s="1"/>
  <c r="G370" i="23" s="1"/>
  <c r="G371" i="23" s="1"/>
  <c r="G372" i="23" s="1"/>
  <c r="G373" i="23" s="1"/>
  <c r="G374" i="23" s="1"/>
  <c r="G375" i="23" s="1"/>
  <c r="G376" i="23" s="1"/>
  <c r="G377" i="23" s="1"/>
  <c r="G378" i="23" s="1"/>
  <c r="G379" i="23" s="1"/>
  <c r="G380" i="23" s="1"/>
  <c r="G381" i="23" s="1"/>
  <c r="G382" i="23" s="1"/>
  <c r="G383" i="23" s="1"/>
  <c r="G384" i="23" s="1"/>
  <c r="G385" i="23" s="1"/>
  <c r="G386" i="23" s="1"/>
  <c r="G387" i="23" s="1"/>
  <c r="G388" i="23" s="1"/>
  <c r="G389" i="23" s="1"/>
  <c r="G390" i="23" s="1"/>
  <c r="G391" i="23" s="1"/>
  <c r="G392" i="23" s="1"/>
  <c r="G393" i="23" s="1"/>
  <c r="G394" i="23" s="1"/>
  <c r="G395" i="23" s="1"/>
  <c r="G396" i="23" s="1"/>
  <c r="G397" i="23" s="1"/>
  <c r="G398" i="23" s="1"/>
  <c r="G399" i="23" s="1"/>
  <c r="G400" i="23" s="1"/>
  <c r="X245" i="23"/>
  <c r="C203" i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D236" i="23" l="1"/>
  <c r="V235" i="23"/>
  <c r="Y235" i="23" s="1"/>
  <c r="U235" i="23"/>
  <c r="W235" i="23"/>
  <c r="G401" i="23"/>
  <c r="G402" i="23" s="1"/>
  <c r="G403" i="23" s="1"/>
  <c r="G404" i="23" s="1"/>
  <c r="G405" i="23" s="1"/>
  <c r="T401" i="23"/>
  <c r="C204" i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U236" i="23" l="1"/>
  <c r="W236" i="23"/>
  <c r="D237" i="23"/>
  <c r="V236" i="23"/>
  <c r="Y236" i="23" s="1"/>
  <c r="Q204" i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W237" i="23" l="1"/>
  <c r="D238" i="23"/>
  <c r="V237" i="23"/>
  <c r="Y237" i="23" s="1"/>
  <c r="U237" i="23"/>
  <c r="C206" i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W238" i="23" l="1"/>
  <c r="D239" i="23"/>
  <c r="V238" i="23"/>
  <c r="Y238" i="23" s="1"/>
  <c r="U238" i="23"/>
  <c r="C207" i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D240" i="23" l="1"/>
  <c r="V239" i="23"/>
  <c r="Y239" i="23" s="1"/>
  <c r="U239" i="23"/>
  <c r="W239" i="23"/>
  <c r="C208" i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U240" i="23" l="1"/>
  <c r="W240" i="23"/>
  <c r="D241" i="23"/>
  <c r="V240" i="23"/>
  <c r="Y240" i="23" s="1"/>
  <c r="C209" i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W241" i="23" l="1"/>
  <c r="D242" i="23"/>
  <c r="V241" i="23"/>
  <c r="Y241" i="23" s="1"/>
  <c r="U241" i="23"/>
  <c r="C210" i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W242" i="23" l="1"/>
  <c r="D243" i="23"/>
  <c r="V242" i="23"/>
  <c r="Y242" i="23" s="1"/>
  <c r="U242" i="23"/>
  <c r="C211" i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D244" i="23" l="1"/>
  <c r="V243" i="23"/>
  <c r="Y243" i="23" s="1"/>
  <c r="U243" i="23"/>
  <c r="W243" i="23"/>
  <c r="C212" i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U244" i="23" l="1"/>
  <c r="W244" i="23"/>
  <c r="D245" i="23"/>
  <c r="V244" i="23"/>
  <c r="Y244" i="23" s="1"/>
  <c r="Q212" i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W245" i="23" l="1"/>
  <c r="D246" i="23"/>
  <c r="V245" i="23"/>
  <c r="Y245" i="23" s="1"/>
  <c r="U245" i="23"/>
  <c r="C214" i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V246" i="23" l="1"/>
  <c r="Y246" i="23" s="1"/>
  <c r="D247" i="23"/>
  <c r="U246" i="23"/>
  <c r="C215" i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V247" i="23" l="1"/>
  <c r="Y247" i="23" s="1"/>
  <c r="D248" i="23"/>
  <c r="U247" i="23"/>
  <c r="C216" i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V248" i="23" l="1"/>
  <c r="Y248" i="23" s="1"/>
  <c r="D249" i="23"/>
  <c r="U248" i="23"/>
  <c r="C217" i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V249" i="23" l="1"/>
  <c r="Y249" i="23" s="1"/>
  <c r="D250" i="23"/>
  <c r="U249" i="23"/>
  <c r="C218" i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V250" i="23" l="1"/>
  <c r="Y250" i="23" s="1"/>
  <c r="D251" i="23"/>
  <c r="U250" i="23"/>
  <c r="C219" i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V251" i="23" l="1"/>
  <c r="Y251" i="23" s="1"/>
  <c r="D252" i="23"/>
  <c r="U251" i="23"/>
  <c r="C220" i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K179" i="1"/>
  <c r="V252" i="23" l="1"/>
  <c r="Y252" i="23" s="1"/>
  <c r="D253" i="23"/>
  <c r="U252" i="23"/>
  <c r="Q220" i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73" i="3"/>
  <c r="E4259" i="3"/>
  <c r="D179" i="1"/>
  <c r="V253" i="23" l="1"/>
  <c r="Y253" i="23" s="1"/>
  <c r="D254" i="23"/>
  <c r="U253" i="23"/>
  <c r="Q221" i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V254" i="23" l="1"/>
  <c r="Y254" i="23" s="1"/>
  <c r="D255" i="23"/>
  <c r="U254" i="23"/>
  <c r="Q222" i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99" i="3"/>
  <c r="F4199" i="3" s="1"/>
  <c r="E4145" i="3"/>
  <c r="V255" i="23" l="1"/>
  <c r="Y255" i="23" s="1"/>
  <c r="D256" i="23"/>
  <c r="U255" i="23"/>
  <c r="C224" i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V256" i="23" l="1"/>
  <c r="Y256" i="23" s="1"/>
  <c r="D257" i="23"/>
  <c r="U256" i="23"/>
  <c r="C225" i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146" i="3"/>
  <c r="E4139" i="3"/>
  <c r="E4122" i="3"/>
  <c r="E4118" i="3"/>
  <c r="E4115" i="3"/>
  <c r="E4107" i="3"/>
  <c r="D173" i="1"/>
  <c r="V257" i="23" l="1"/>
  <c r="Y257" i="23" s="1"/>
  <c r="D258" i="23"/>
  <c r="U257" i="23"/>
  <c r="C226" i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V258" i="23" l="1"/>
  <c r="Y258" i="23" s="1"/>
  <c r="D259" i="23"/>
  <c r="U258" i="23"/>
  <c r="Q226" i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101" i="3"/>
  <c r="E4094" i="3"/>
  <c r="V259" i="23" l="1"/>
  <c r="Y259" i="23" s="1"/>
  <c r="D260" i="23"/>
  <c r="U259" i="23"/>
  <c r="Q227" i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V260" i="23" l="1"/>
  <c r="Y260" i="23" s="1"/>
  <c r="D261" i="23"/>
  <c r="U260" i="23"/>
  <c r="C229" i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8137" i="3" s="1"/>
  <c r="D8161" i="3" s="1"/>
  <c r="D8185" i="3" s="1"/>
  <c r="D8209" i="3" s="1"/>
  <c r="D8233" i="3" s="1"/>
  <c r="D8257" i="3" s="1"/>
  <c r="D8281" i="3" s="1"/>
  <c r="D8305" i="3" s="1"/>
  <c r="D8329" i="3" s="1"/>
  <c r="D8353" i="3" s="1"/>
  <c r="D8377" i="3" s="1"/>
  <c r="D8401" i="3" s="1"/>
  <c r="D8425" i="3" s="1"/>
  <c r="D8449" i="3" s="1"/>
  <c r="D8473" i="3" s="1"/>
  <c r="D8497" i="3" s="1"/>
  <c r="D8521" i="3" s="1"/>
  <c r="D8545" i="3" s="1"/>
  <c r="D8569" i="3" s="1"/>
  <c r="D8593" i="3" s="1"/>
  <c r="D8617" i="3" s="1"/>
  <c r="D8641" i="3" s="1"/>
  <c r="D8665" i="3" s="1"/>
  <c r="D8689" i="3" s="1"/>
  <c r="D8713" i="3" s="1"/>
  <c r="D8737" i="3" s="1"/>
  <c r="D8761" i="3" s="1"/>
  <c r="D8785" i="3" s="1"/>
  <c r="D8809" i="3" s="1"/>
  <c r="D8833" i="3" s="1"/>
  <c r="D8857" i="3" s="1"/>
  <c r="D8881" i="3" s="1"/>
  <c r="D8905" i="3" s="1"/>
  <c r="D8929" i="3" s="1"/>
  <c r="D8953" i="3" s="1"/>
  <c r="D8977" i="3" s="1"/>
  <c r="D9001" i="3" s="1"/>
  <c r="D9025" i="3" s="1"/>
  <c r="D9049" i="3" s="1"/>
  <c r="D9073" i="3" s="1"/>
  <c r="D9097" i="3" s="1"/>
  <c r="D9121" i="3" s="1"/>
  <c r="D9145" i="3" s="1"/>
  <c r="D9169" i="3" s="1"/>
  <c r="D9193" i="3" s="1"/>
  <c r="D9217" i="3" s="1"/>
  <c r="D9241" i="3" s="1"/>
  <c r="D9265" i="3" s="1"/>
  <c r="D9289" i="3" s="1"/>
  <c r="D9313" i="3" s="1"/>
  <c r="D9337" i="3" s="1"/>
  <c r="D9361" i="3" s="1"/>
  <c r="D9385" i="3" s="1"/>
  <c r="D9409" i="3" s="1"/>
  <c r="D9433" i="3" s="1"/>
  <c r="D9457" i="3" s="1"/>
  <c r="D9481" i="3" s="1"/>
  <c r="D9505" i="3" s="1"/>
  <c r="D9529" i="3" s="1"/>
  <c r="D9553" i="3" s="1"/>
  <c r="D957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8136" i="3" s="1"/>
  <c r="D8160" i="3" s="1"/>
  <c r="D8184" i="3" s="1"/>
  <c r="D8208" i="3" s="1"/>
  <c r="D8232" i="3" s="1"/>
  <c r="D8256" i="3" s="1"/>
  <c r="D8280" i="3" s="1"/>
  <c r="D8304" i="3" s="1"/>
  <c r="D8328" i="3" s="1"/>
  <c r="D8352" i="3" s="1"/>
  <c r="D8376" i="3" s="1"/>
  <c r="D8400" i="3" s="1"/>
  <c r="D8424" i="3" s="1"/>
  <c r="D8448" i="3" s="1"/>
  <c r="D8472" i="3" s="1"/>
  <c r="D8496" i="3" s="1"/>
  <c r="D8520" i="3" s="1"/>
  <c r="D8544" i="3" s="1"/>
  <c r="D8568" i="3" s="1"/>
  <c r="D8592" i="3" s="1"/>
  <c r="D8616" i="3" s="1"/>
  <c r="D8640" i="3" s="1"/>
  <c r="D8664" i="3" s="1"/>
  <c r="D8688" i="3" s="1"/>
  <c r="D8712" i="3" s="1"/>
  <c r="D8736" i="3" s="1"/>
  <c r="D8760" i="3" s="1"/>
  <c r="D8784" i="3" s="1"/>
  <c r="D8808" i="3" s="1"/>
  <c r="D8832" i="3" s="1"/>
  <c r="D8856" i="3" s="1"/>
  <c r="D8880" i="3" s="1"/>
  <c r="D8904" i="3" s="1"/>
  <c r="D8928" i="3" s="1"/>
  <c r="D8952" i="3" s="1"/>
  <c r="D8976" i="3" s="1"/>
  <c r="D9000" i="3" s="1"/>
  <c r="D9024" i="3" s="1"/>
  <c r="D9048" i="3" s="1"/>
  <c r="D9072" i="3" s="1"/>
  <c r="D9096" i="3" s="1"/>
  <c r="D9120" i="3" s="1"/>
  <c r="D9144" i="3" s="1"/>
  <c r="D9168" i="3" s="1"/>
  <c r="D9192" i="3" s="1"/>
  <c r="D9216" i="3" s="1"/>
  <c r="D9240" i="3" s="1"/>
  <c r="D9264" i="3" s="1"/>
  <c r="D9288" i="3" s="1"/>
  <c r="D9312" i="3" s="1"/>
  <c r="D9336" i="3" s="1"/>
  <c r="D9360" i="3" s="1"/>
  <c r="D9384" i="3" s="1"/>
  <c r="D9408" i="3" s="1"/>
  <c r="D9432" i="3" s="1"/>
  <c r="D9456" i="3" s="1"/>
  <c r="D9480" i="3" s="1"/>
  <c r="D9504" i="3" s="1"/>
  <c r="D9528" i="3" s="1"/>
  <c r="D9552" i="3" s="1"/>
  <c r="D957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8133" i="3" s="1"/>
  <c r="D8157" i="3" s="1"/>
  <c r="D8181" i="3" s="1"/>
  <c r="D8205" i="3" s="1"/>
  <c r="D8229" i="3" s="1"/>
  <c r="D8253" i="3" s="1"/>
  <c r="D8277" i="3" s="1"/>
  <c r="D8301" i="3" s="1"/>
  <c r="D8325" i="3" s="1"/>
  <c r="D8349" i="3" s="1"/>
  <c r="D8373" i="3" s="1"/>
  <c r="D8397" i="3" s="1"/>
  <c r="D8421" i="3" s="1"/>
  <c r="D8445" i="3" s="1"/>
  <c r="D8469" i="3" s="1"/>
  <c r="D8493" i="3" s="1"/>
  <c r="D8517" i="3" s="1"/>
  <c r="D8541" i="3" s="1"/>
  <c r="D8565" i="3" s="1"/>
  <c r="D8589" i="3" s="1"/>
  <c r="D8613" i="3" s="1"/>
  <c r="D8637" i="3" s="1"/>
  <c r="D8661" i="3" s="1"/>
  <c r="D8685" i="3" s="1"/>
  <c r="D8709" i="3" s="1"/>
  <c r="D8733" i="3" s="1"/>
  <c r="D8757" i="3" s="1"/>
  <c r="D8781" i="3" s="1"/>
  <c r="D8805" i="3" s="1"/>
  <c r="D8829" i="3" s="1"/>
  <c r="D8853" i="3" s="1"/>
  <c r="D8877" i="3" s="1"/>
  <c r="D8901" i="3" s="1"/>
  <c r="D8925" i="3" s="1"/>
  <c r="D8949" i="3" s="1"/>
  <c r="D8973" i="3" s="1"/>
  <c r="D8997" i="3" s="1"/>
  <c r="D9021" i="3" s="1"/>
  <c r="D9045" i="3" s="1"/>
  <c r="D9069" i="3" s="1"/>
  <c r="D9093" i="3" s="1"/>
  <c r="D9117" i="3" s="1"/>
  <c r="D9141" i="3" s="1"/>
  <c r="D9165" i="3" s="1"/>
  <c r="D9189" i="3" s="1"/>
  <c r="D9213" i="3" s="1"/>
  <c r="D9237" i="3" s="1"/>
  <c r="D9261" i="3" s="1"/>
  <c r="D9285" i="3" s="1"/>
  <c r="D9309" i="3" s="1"/>
  <c r="D9333" i="3" s="1"/>
  <c r="D9357" i="3" s="1"/>
  <c r="D9381" i="3" s="1"/>
  <c r="D9405" i="3" s="1"/>
  <c r="D9429" i="3" s="1"/>
  <c r="D9453" i="3" s="1"/>
  <c r="D9477" i="3" s="1"/>
  <c r="D9501" i="3" s="1"/>
  <c r="D9525" i="3" s="1"/>
  <c r="D9549" i="3" s="1"/>
  <c r="D957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8128" i="3" s="1"/>
  <c r="D8152" i="3" s="1"/>
  <c r="D8176" i="3" s="1"/>
  <c r="D8200" i="3" s="1"/>
  <c r="D8224" i="3" s="1"/>
  <c r="D8248" i="3" s="1"/>
  <c r="D8272" i="3" s="1"/>
  <c r="D8296" i="3" s="1"/>
  <c r="D8320" i="3" s="1"/>
  <c r="D8344" i="3" s="1"/>
  <c r="D8368" i="3" s="1"/>
  <c r="D8392" i="3" s="1"/>
  <c r="D8416" i="3" s="1"/>
  <c r="D8440" i="3" s="1"/>
  <c r="D8464" i="3" s="1"/>
  <c r="D8488" i="3" s="1"/>
  <c r="D8512" i="3" s="1"/>
  <c r="D8536" i="3" s="1"/>
  <c r="D8560" i="3" s="1"/>
  <c r="D8584" i="3" s="1"/>
  <c r="D8608" i="3" s="1"/>
  <c r="D8632" i="3" s="1"/>
  <c r="D8656" i="3" s="1"/>
  <c r="D8680" i="3" s="1"/>
  <c r="D8704" i="3" s="1"/>
  <c r="D8728" i="3" s="1"/>
  <c r="D8752" i="3" s="1"/>
  <c r="D8776" i="3" s="1"/>
  <c r="D8800" i="3" s="1"/>
  <c r="D8824" i="3" s="1"/>
  <c r="D8848" i="3" s="1"/>
  <c r="D8872" i="3" s="1"/>
  <c r="D8896" i="3" s="1"/>
  <c r="D8920" i="3" s="1"/>
  <c r="D8944" i="3" s="1"/>
  <c r="D8968" i="3" s="1"/>
  <c r="D8992" i="3" s="1"/>
  <c r="D9016" i="3" s="1"/>
  <c r="D9040" i="3" s="1"/>
  <c r="D9064" i="3" s="1"/>
  <c r="D9088" i="3" s="1"/>
  <c r="D9112" i="3" s="1"/>
  <c r="D9136" i="3" s="1"/>
  <c r="D9160" i="3" s="1"/>
  <c r="D9184" i="3" s="1"/>
  <c r="D9208" i="3" s="1"/>
  <c r="D9232" i="3" s="1"/>
  <c r="D9256" i="3" s="1"/>
  <c r="D9280" i="3" s="1"/>
  <c r="D9304" i="3" s="1"/>
  <c r="D9328" i="3" s="1"/>
  <c r="D9352" i="3" s="1"/>
  <c r="D9376" i="3" s="1"/>
  <c r="D9400" i="3" s="1"/>
  <c r="D9424" i="3" s="1"/>
  <c r="D9448" i="3" s="1"/>
  <c r="D9472" i="3" s="1"/>
  <c r="D9496" i="3" s="1"/>
  <c r="D9520" i="3" s="1"/>
  <c r="D9544" i="3" s="1"/>
  <c r="D956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8127" i="3" s="1"/>
  <c r="D8151" i="3" s="1"/>
  <c r="D8175" i="3" s="1"/>
  <c r="D8199" i="3" s="1"/>
  <c r="D8223" i="3" s="1"/>
  <c r="D8247" i="3" s="1"/>
  <c r="D8271" i="3" s="1"/>
  <c r="D8295" i="3" s="1"/>
  <c r="D8319" i="3" s="1"/>
  <c r="D8343" i="3" s="1"/>
  <c r="D8367" i="3" s="1"/>
  <c r="D8391" i="3" s="1"/>
  <c r="D8415" i="3" s="1"/>
  <c r="D8439" i="3" s="1"/>
  <c r="D8463" i="3" s="1"/>
  <c r="D8487" i="3" s="1"/>
  <c r="D8511" i="3" s="1"/>
  <c r="D8535" i="3" s="1"/>
  <c r="D8559" i="3" s="1"/>
  <c r="D8583" i="3" s="1"/>
  <c r="D8607" i="3" s="1"/>
  <c r="D8631" i="3" s="1"/>
  <c r="D8655" i="3" s="1"/>
  <c r="D8679" i="3" s="1"/>
  <c r="D8703" i="3" s="1"/>
  <c r="D8727" i="3" s="1"/>
  <c r="D8751" i="3" s="1"/>
  <c r="D8775" i="3" s="1"/>
  <c r="D8799" i="3" s="1"/>
  <c r="D8823" i="3" s="1"/>
  <c r="D8847" i="3" s="1"/>
  <c r="D8871" i="3" s="1"/>
  <c r="D8895" i="3" s="1"/>
  <c r="D8919" i="3" s="1"/>
  <c r="D8943" i="3" s="1"/>
  <c r="D8967" i="3" s="1"/>
  <c r="D8991" i="3" s="1"/>
  <c r="D9015" i="3" s="1"/>
  <c r="D9039" i="3" s="1"/>
  <c r="D9063" i="3" s="1"/>
  <c r="D9087" i="3" s="1"/>
  <c r="D9111" i="3" s="1"/>
  <c r="D9135" i="3" s="1"/>
  <c r="D9159" i="3" s="1"/>
  <c r="D9183" i="3" s="1"/>
  <c r="D9207" i="3" s="1"/>
  <c r="D9231" i="3" s="1"/>
  <c r="D9255" i="3" s="1"/>
  <c r="D9279" i="3" s="1"/>
  <c r="D9303" i="3" s="1"/>
  <c r="D9327" i="3" s="1"/>
  <c r="D9351" i="3" s="1"/>
  <c r="D9375" i="3" s="1"/>
  <c r="D9399" i="3" s="1"/>
  <c r="D9423" i="3" s="1"/>
  <c r="D9447" i="3" s="1"/>
  <c r="D9471" i="3" s="1"/>
  <c r="D9495" i="3" s="1"/>
  <c r="D9519" i="3" s="1"/>
  <c r="D9543" i="3" s="1"/>
  <c r="D956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8126" i="3" s="1"/>
  <c r="D8150" i="3" s="1"/>
  <c r="D8174" i="3" s="1"/>
  <c r="D8198" i="3" s="1"/>
  <c r="D8222" i="3" s="1"/>
  <c r="D8246" i="3" s="1"/>
  <c r="D8270" i="3" s="1"/>
  <c r="D8294" i="3" s="1"/>
  <c r="D8318" i="3" s="1"/>
  <c r="D8342" i="3" s="1"/>
  <c r="D8366" i="3" s="1"/>
  <c r="D8390" i="3" s="1"/>
  <c r="D8414" i="3" s="1"/>
  <c r="D8438" i="3" s="1"/>
  <c r="D8462" i="3" s="1"/>
  <c r="D8486" i="3" s="1"/>
  <c r="D8510" i="3" s="1"/>
  <c r="D8534" i="3" s="1"/>
  <c r="D8558" i="3" s="1"/>
  <c r="D8582" i="3" s="1"/>
  <c r="D8606" i="3" s="1"/>
  <c r="D8630" i="3" s="1"/>
  <c r="D8654" i="3" s="1"/>
  <c r="D8678" i="3" s="1"/>
  <c r="D8702" i="3" s="1"/>
  <c r="D8726" i="3" s="1"/>
  <c r="D8750" i="3" s="1"/>
  <c r="D8774" i="3" s="1"/>
  <c r="D8798" i="3" s="1"/>
  <c r="D8822" i="3" s="1"/>
  <c r="D8846" i="3" s="1"/>
  <c r="D8870" i="3" s="1"/>
  <c r="D8894" i="3" s="1"/>
  <c r="D8918" i="3" s="1"/>
  <c r="D8942" i="3" s="1"/>
  <c r="D8966" i="3" s="1"/>
  <c r="D8990" i="3" s="1"/>
  <c r="D9014" i="3" s="1"/>
  <c r="D9038" i="3" s="1"/>
  <c r="D9062" i="3" s="1"/>
  <c r="D9086" i="3" s="1"/>
  <c r="D9110" i="3" s="1"/>
  <c r="D9134" i="3" s="1"/>
  <c r="D9158" i="3" s="1"/>
  <c r="D9182" i="3" s="1"/>
  <c r="D9206" i="3" s="1"/>
  <c r="D9230" i="3" s="1"/>
  <c r="D9254" i="3" s="1"/>
  <c r="D9278" i="3" s="1"/>
  <c r="D9302" i="3" s="1"/>
  <c r="D9326" i="3" s="1"/>
  <c r="D9350" i="3" s="1"/>
  <c r="D9374" i="3" s="1"/>
  <c r="D9398" i="3" s="1"/>
  <c r="D9422" i="3" s="1"/>
  <c r="D9446" i="3" s="1"/>
  <c r="D9470" i="3" s="1"/>
  <c r="D9494" i="3" s="1"/>
  <c r="D9518" i="3" s="1"/>
  <c r="D9542" i="3" s="1"/>
  <c r="D956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8125" i="3" s="1"/>
  <c r="D8149" i="3" s="1"/>
  <c r="D8173" i="3" s="1"/>
  <c r="D8197" i="3" s="1"/>
  <c r="D8221" i="3" s="1"/>
  <c r="D8245" i="3" s="1"/>
  <c r="D8269" i="3" s="1"/>
  <c r="D8293" i="3" s="1"/>
  <c r="D8317" i="3" s="1"/>
  <c r="D8341" i="3" s="1"/>
  <c r="D8365" i="3" s="1"/>
  <c r="D8389" i="3" s="1"/>
  <c r="D8413" i="3" s="1"/>
  <c r="D8437" i="3" s="1"/>
  <c r="D8461" i="3" s="1"/>
  <c r="D8485" i="3" s="1"/>
  <c r="D8509" i="3" s="1"/>
  <c r="D8533" i="3" s="1"/>
  <c r="D8557" i="3" s="1"/>
  <c r="D8581" i="3" s="1"/>
  <c r="D8605" i="3" s="1"/>
  <c r="D8629" i="3" s="1"/>
  <c r="D8653" i="3" s="1"/>
  <c r="D8677" i="3" s="1"/>
  <c r="D8701" i="3" s="1"/>
  <c r="D8725" i="3" s="1"/>
  <c r="D8749" i="3" s="1"/>
  <c r="D8773" i="3" s="1"/>
  <c r="D8797" i="3" s="1"/>
  <c r="D8821" i="3" s="1"/>
  <c r="D8845" i="3" s="1"/>
  <c r="D8869" i="3" s="1"/>
  <c r="D8893" i="3" s="1"/>
  <c r="D8917" i="3" s="1"/>
  <c r="D8941" i="3" s="1"/>
  <c r="D8965" i="3" s="1"/>
  <c r="D8989" i="3" s="1"/>
  <c r="D9013" i="3" s="1"/>
  <c r="D9037" i="3" s="1"/>
  <c r="D9061" i="3" s="1"/>
  <c r="D9085" i="3" s="1"/>
  <c r="D9109" i="3" s="1"/>
  <c r="D9133" i="3" s="1"/>
  <c r="D9157" i="3" s="1"/>
  <c r="D9181" i="3" s="1"/>
  <c r="D9205" i="3" s="1"/>
  <c r="D9229" i="3" s="1"/>
  <c r="D9253" i="3" s="1"/>
  <c r="D9277" i="3" s="1"/>
  <c r="D9301" i="3" s="1"/>
  <c r="D9325" i="3" s="1"/>
  <c r="D9349" i="3" s="1"/>
  <c r="D9373" i="3" s="1"/>
  <c r="D9397" i="3" s="1"/>
  <c r="D9421" i="3" s="1"/>
  <c r="D9445" i="3" s="1"/>
  <c r="D9469" i="3" s="1"/>
  <c r="D9493" i="3" s="1"/>
  <c r="D9517" i="3" s="1"/>
  <c r="D9541" i="3" s="1"/>
  <c r="D956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8124" i="3" s="1"/>
  <c r="D8148" i="3" s="1"/>
  <c r="D8172" i="3" s="1"/>
  <c r="D8196" i="3" s="1"/>
  <c r="D8220" i="3" s="1"/>
  <c r="D8244" i="3" s="1"/>
  <c r="D8268" i="3" s="1"/>
  <c r="D8292" i="3" s="1"/>
  <c r="D8316" i="3" s="1"/>
  <c r="D8340" i="3" s="1"/>
  <c r="D8364" i="3" s="1"/>
  <c r="D8388" i="3" s="1"/>
  <c r="D8412" i="3" s="1"/>
  <c r="D8436" i="3" s="1"/>
  <c r="D8460" i="3" s="1"/>
  <c r="D8484" i="3" s="1"/>
  <c r="D8508" i="3" s="1"/>
  <c r="D8532" i="3" s="1"/>
  <c r="D8556" i="3" s="1"/>
  <c r="D8580" i="3" s="1"/>
  <c r="D8604" i="3" s="1"/>
  <c r="D8628" i="3" s="1"/>
  <c r="D8652" i="3" s="1"/>
  <c r="D8676" i="3" s="1"/>
  <c r="D8700" i="3" s="1"/>
  <c r="D8724" i="3" s="1"/>
  <c r="D8748" i="3" s="1"/>
  <c r="D8772" i="3" s="1"/>
  <c r="D8796" i="3" s="1"/>
  <c r="D8820" i="3" s="1"/>
  <c r="D8844" i="3" s="1"/>
  <c r="D8868" i="3" s="1"/>
  <c r="D8892" i="3" s="1"/>
  <c r="D8916" i="3" s="1"/>
  <c r="D8940" i="3" s="1"/>
  <c r="D8964" i="3" s="1"/>
  <c r="D8988" i="3" s="1"/>
  <c r="D9012" i="3" s="1"/>
  <c r="D9036" i="3" s="1"/>
  <c r="D9060" i="3" s="1"/>
  <c r="D9084" i="3" s="1"/>
  <c r="D9108" i="3" s="1"/>
  <c r="D9132" i="3" s="1"/>
  <c r="D9156" i="3" s="1"/>
  <c r="D9180" i="3" s="1"/>
  <c r="D9204" i="3" s="1"/>
  <c r="D9228" i="3" s="1"/>
  <c r="D9252" i="3" s="1"/>
  <c r="D9276" i="3" s="1"/>
  <c r="D9300" i="3" s="1"/>
  <c r="D9324" i="3" s="1"/>
  <c r="D9348" i="3" s="1"/>
  <c r="D9372" i="3" s="1"/>
  <c r="D9396" i="3" s="1"/>
  <c r="D9420" i="3" s="1"/>
  <c r="D9444" i="3" s="1"/>
  <c r="D9468" i="3" s="1"/>
  <c r="D9492" i="3" s="1"/>
  <c r="D9516" i="3" s="1"/>
  <c r="D9540" i="3" s="1"/>
  <c r="D956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8123" i="3" s="1"/>
  <c r="D8147" i="3" s="1"/>
  <c r="D8171" i="3" s="1"/>
  <c r="D8195" i="3" s="1"/>
  <c r="D8219" i="3" s="1"/>
  <c r="D8243" i="3" s="1"/>
  <c r="D8267" i="3" s="1"/>
  <c r="D8291" i="3" s="1"/>
  <c r="D8315" i="3" s="1"/>
  <c r="D8339" i="3" s="1"/>
  <c r="D8363" i="3" s="1"/>
  <c r="D8387" i="3" s="1"/>
  <c r="D8411" i="3" s="1"/>
  <c r="D8435" i="3" s="1"/>
  <c r="D8459" i="3" s="1"/>
  <c r="D8483" i="3" s="1"/>
  <c r="D8507" i="3" s="1"/>
  <c r="D8531" i="3" s="1"/>
  <c r="D8555" i="3" s="1"/>
  <c r="D8579" i="3" s="1"/>
  <c r="D8603" i="3" s="1"/>
  <c r="D8627" i="3" s="1"/>
  <c r="D8651" i="3" s="1"/>
  <c r="D8675" i="3" s="1"/>
  <c r="D8699" i="3" s="1"/>
  <c r="D8723" i="3" s="1"/>
  <c r="D8747" i="3" s="1"/>
  <c r="D8771" i="3" s="1"/>
  <c r="D8795" i="3" s="1"/>
  <c r="D8819" i="3" s="1"/>
  <c r="D8843" i="3" s="1"/>
  <c r="D8867" i="3" s="1"/>
  <c r="D8891" i="3" s="1"/>
  <c r="D8915" i="3" s="1"/>
  <c r="D8939" i="3" s="1"/>
  <c r="D8963" i="3" s="1"/>
  <c r="D8987" i="3" s="1"/>
  <c r="D9011" i="3" s="1"/>
  <c r="D9035" i="3" s="1"/>
  <c r="D9059" i="3" s="1"/>
  <c r="D9083" i="3" s="1"/>
  <c r="D9107" i="3" s="1"/>
  <c r="D9131" i="3" s="1"/>
  <c r="D9155" i="3" s="1"/>
  <c r="D9179" i="3" s="1"/>
  <c r="D9203" i="3" s="1"/>
  <c r="D9227" i="3" s="1"/>
  <c r="D9251" i="3" s="1"/>
  <c r="D9275" i="3" s="1"/>
  <c r="D9299" i="3" s="1"/>
  <c r="D9323" i="3" s="1"/>
  <c r="D9347" i="3" s="1"/>
  <c r="D9371" i="3" s="1"/>
  <c r="D9395" i="3" s="1"/>
  <c r="D9419" i="3" s="1"/>
  <c r="D9443" i="3" s="1"/>
  <c r="D9467" i="3" s="1"/>
  <c r="D9491" i="3" s="1"/>
  <c r="D9515" i="3" s="1"/>
  <c r="D9539" i="3" s="1"/>
  <c r="D956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8122" i="3" s="1"/>
  <c r="D8146" i="3" s="1"/>
  <c r="D8170" i="3" s="1"/>
  <c r="D8194" i="3" s="1"/>
  <c r="D8218" i="3" s="1"/>
  <c r="D8242" i="3" s="1"/>
  <c r="D8266" i="3" s="1"/>
  <c r="D8290" i="3" s="1"/>
  <c r="D8314" i="3" s="1"/>
  <c r="D8338" i="3" s="1"/>
  <c r="D8362" i="3" s="1"/>
  <c r="D8386" i="3" s="1"/>
  <c r="D8410" i="3" s="1"/>
  <c r="D8434" i="3" s="1"/>
  <c r="D8458" i="3" s="1"/>
  <c r="D8482" i="3" s="1"/>
  <c r="D8506" i="3" s="1"/>
  <c r="D8530" i="3" s="1"/>
  <c r="D8554" i="3" s="1"/>
  <c r="D8578" i="3" s="1"/>
  <c r="D8602" i="3" s="1"/>
  <c r="D8626" i="3" s="1"/>
  <c r="D8650" i="3" s="1"/>
  <c r="D8674" i="3" s="1"/>
  <c r="D8698" i="3" s="1"/>
  <c r="D8722" i="3" s="1"/>
  <c r="D8746" i="3" s="1"/>
  <c r="D8770" i="3" s="1"/>
  <c r="D8794" i="3" s="1"/>
  <c r="D8818" i="3" s="1"/>
  <c r="D8842" i="3" s="1"/>
  <c r="D8866" i="3" s="1"/>
  <c r="D8890" i="3" s="1"/>
  <c r="D8914" i="3" s="1"/>
  <c r="D8938" i="3" s="1"/>
  <c r="D8962" i="3" s="1"/>
  <c r="D8986" i="3" s="1"/>
  <c r="D9010" i="3" s="1"/>
  <c r="D9034" i="3" s="1"/>
  <c r="D9058" i="3" s="1"/>
  <c r="D9082" i="3" s="1"/>
  <c r="D9106" i="3" s="1"/>
  <c r="D9130" i="3" s="1"/>
  <c r="D9154" i="3" s="1"/>
  <c r="D9178" i="3" s="1"/>
  <c r="D9202" i="3" s="1"/>
  <c r="D9226" i="3" s="1"/>
  <c r="D9250" i="3" s="1"/>
  <c r="D9274" i="3" s="1"/>
  <c r="D9298" i="3" s="1"/>
  <c r="D9322" i="3" s="1"/>
  <c r="D9346" i="3" s="1"/>
  <c r="D9370" i="3" s="1"/>
  <c r="D9394" i="3" s="1"/>
  <c r="D9418" i="3" s="1"/>
  <c r="D9442" i="3" s="1"/>
  <c r="D9466" i="3" s="1"/>
  <c r="D9490" i="3" s="1"/>
  <c r="D9514" i="3" s="1"/>
  <c r="D9538" i="3" s="1"/>
  <c r="D956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8121" i="3" s="1"/>
  <c r="D8145" i="3" s="1"/>
  <c r="D8169" i="3" s="1"/>
  <c r="D8193" i="3" s="1"/>
  <c r="D8217" i="3" s="1"/>
  <c r="D8241" i="3" s="1"/>
  <c r="D8265" i="3" s="1"/>
  <c r="D8289" i="3" s="1"/>
  <c r="D8313" i="3" s="1"/>
  <c r="D8337" i="3" s="1"/>
  <c r="D8361" i="3" s="1"/>
  <c r="D8385" i="3" s="1"/>
  <c r="D8409" i="3" s="1"/>
  <c r="D8433" i="3" s="1"/>
  <c r="D8457" i="3" s="1"/>
  <c r="D8481" i="3" s="1"/>
  <c r="D8505" i="3" s="1"/>
  <c r="D8529" i="3" s="1"/>
  <c r="D8553" i="3" s="1"/>
  <c r="D8577" i="3" s="1"/>
  <c r="D8601" i="3" s="1"/>
  <c r="D8625" i="3" s="1"/>
  <c r="D8649" i="3" s="1"/>
  <c r="D8673" i="3" s="1"/>
  <c r="D8697" i="3" s="1"/>
  <c r="D8721" i="3" s="1"/>
  <c r="D8745" i="3" s="1"/>
  <c r="D8769" i="3" s="1"/>
  <c r="D8793" i="3" s="1"/>
  <c r="D8817" i="3" s="1"/>
  <c r="D8841" i="3" s="1"/>
  <c r="D8865" i="3" s="1"/>
  <c r="D8889" i="3" s="1"/>
  <c r="D8913" i="3" s="1"/>
  <c r="D8937" i="3" s="1"/>
  <c r="D8961" i="3" s="1"/>
  <c r="D8985" i="3" s="1"/>
  <c r="D9009" i="3" s="1"/>
  <c r="D9033" i="3" s="1"/>
  <c r="D9057" i="3" s="1"/>
  <c r="D9081" i="3" s="1"/>
  <c r="D9105" i="3" s="1"/>
  <c r="D9129" i="3" s="1"/>
  <c r="D9153" i="3" s="1"/>
  <c r="D9177" i="3" s="1"/>
  <c r="D9201" i="3" s="1"/>
  <c r="D9225" i="3" s="1"/>
  <c r="D9249" i="3" s="1"/>
  <c r="D9273" i="3" s="1"/>
  <c r="D9297" i="3" s="1"/>
  <c r="D9321" i="3" s="1"/>
  <c r="D9345" i="3" s="1"/>
  <c r="D9369" i="3" s="1"/>
  <c r="D9393" i="3" s="1"/>
  <c r="D9417" i="3" s="1"/>
  <c r="D9441" i="3" s="1"/>
  <c r="D9465" i="3" s="1"/>
  <c r="D9489" i="3" s="1"/>
  <c r="D9513" i="3" s="1"/>
  <c r="D9537" i="3" s="1"/>
  <c r="D956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8119" i="3" s="1"/>
  <c r="D8143" i="3" s="1"/>
  <c r="D8167" i="3" s="1"/>
  <c r="D8191" i="3" s="1"/>
  <c r="D8215" i="3" s="1"/>
  <c r="D8239" i="3" s="1"/>
  <c r="D8263" i="3" s="1"/>
  <c r="D8287" i="3" s="1"/>
  <c r="D8311" i="3" s="1"/>
  <c r="D8335" i="3" s="1"/>
  <c r="D8359" i="3" s="1"/>
  <c r="D8383" i="3" s="1"/>
  <c r="D8407" i="3" s="1"/>
  <c r="D8431" i="3" s="1"/>
  <c r="D8455" i="3" s="1"/>
  <c r="D8479" i="3" s="1"/>
  <c r="D8503" i="3" s="1"/>
  <c r="D8527" i="3" s="1"/>
  <c r="D8551" i="3" s="1"/>
  <c r="D8575" i="3" s="1"/>
  <c r="D8599" i="3" s="1"/>
  <c r="D8623" i="3" s="1"/>
  <c r="D8647" i="3" s="1"/>
  <c r="D8671" i="3" s="1"/>
  <c r="D8695" i="3" s="1"/>
  <c r="D8719" i="3" s="1"/>
  <c r="D8743" i="3" s="1"/>
  <c r="D8767" i="3" s="1"/>
  <c r="D8791" i="3" s="1"/>
  <c r="D8815" i="3" s="1"/>
  <c r="D8839" i="3" s="1"/>
  <c r="D8863" i="3" s="1"/>
  <c r="D8887" i="3" s="1"/>
  <c r="D8911" i="3" s="1"/>
  <c r="D8935" i="3" s="1"/>
  <c r="D8959" i="3" s="1"/>
  <c r="D8983" i="3" s="1"/>
  <c r="D9007" i="3" s="1"/>
  <c r="D9031" i="3" s="1"/>
  <c r="D9055" i="3" s="1"/>
  <c r="D9079" i="3" s="1"/>
  <c r="D9103" i="3" s="1"/>
  <c r="D9127" i="3" s="1"/>
  <c r="D9151" i="3" s="1"/>
  <c r="D9175" i="3" s="1"/>
  <c r="D9199" i="3" s="1"/>
  <c r="D9223" i="3" s="1"/>
  <c r="D9247" i="3" s="1"/>
  <c r="D9271" i="3" s="1"/>
  <c r="D9295" i="3" s="1"/>
  <c r="D9319" i="3" s="1"/>
  <c r="D9343" i="3" s="1"/>
  <c r="D9367" i="3" s="1"/>
  <c r="D9391" i="3" s="1"/>
  <c r="D9415" i="3" s="1"/>
  <c r="D9439" i="3" s="1"/>
  <c r="D9463" i="3" s="1"/>
  <c r="D9487" i="3" s="1"/>
  <c r="D9511" i="3" s="1"/>
  <c r="D9535" i="3" s="1"/>
  <c r="D9559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8118" i="3" s="1"/>
  <c r="D8142" i="3" s="1"/>
  <c r="D8166" i="3" s="1"/>
  <c r="D8190" i="3" s="1"/>
  <c r="D8214" i="3" s="1"/>
  <c r="D8238" i="3" s="1"/>
  <c r="D8262" i="3" s="1"/>
  <c r="D8286" i="3" s="1"/>
  <c r="D8310" i="3" s="1"/>
  <c r="D8334" i="3" s="1"/>
  <c r="D8358" i="3" s="1"/>
  <c r="D8382" i="3" s="1"/>
  <c r="D8406" i="3" s="1"/>
  <c r="D8430" i="3" s="1"/>
  <c r="D8454" i="3" s="1"/>
  <c r="D8478" i="3" s="1"/>
  <c r="D8502" i="3" s="1"/>
  <c r="D8526" i="3" s="1"/>
  <c r="D8550" i="3" s="1"/>
  <c r="D8574" i="3" s="1"/>
  <c r="D8598" i="3" s="1"/>
  <c r="D8622" i="3" s="1"/>
  <c r="D8646" i="3" s="1"/>
  <c r="D8670" i="3" s="1"/>
  <c r="D8694" i="3" s="1"/>
  <c r="D8718" i="3" s="1"/>
  <c r="D8742" i="3" s="1"/>
  <c r="D8766" i="3" s="1"/>
  <c r="D8790" i="3" s="1"/>
  <c r="D8814" i="3" s="1"/>
  <c r="D8838" i="3" s="1"/>
  <c r="D8862" i="3" s="1"/>
  <c r="D8886" i="3" s="1"/>
  <c r="D8910" i="3" s="1"/>
  <c r="D8934" i="3" s="1"/>
  <c r="D8958" i="3" s="1"/>
  <c r="D8982" i="3" s="1"/>
  <c r="D9006" i="3" s="1"/>
  <c r="D9030" i="3" s="1"/>
  <c r="D9054" i="3" s="1"/>
  <c r="D9078" i="3" s="1"/>
  <c r="D9102" i="3" s="1"/>
  <c r="D9126" i="3" s="1"/>
  <c r="D9150" i="3" s="1"/>
  <c r="D9174" i="3" s="1"/>
  <c r="D9198" i="3" s="1"/>
  <c r="D9222" i="3" s="1"/>
  <c r="D9246" i="3" s="1"/>
  <c r="D9270" i="3" s="1"/>
  <c r="D9294" i="3" s="1"/>
  <c r="D9318" i="3" s="1"/>
  <c r="D9342" i="3" s="1"/>
  <c r="D9366" i="3" s="1"/>
  <c r="D9390" i="3" s="1"/>
  <c r="D9414" i="3" s="1"/>
  <c r="D9438" i="3" s="1"/>
  <c r="D9462" i="3" s="1"/>
  <c r="D9486" i="3" s="1"/>
  <c r="D9510" i="3" s="1"/>
  <c r="D9534" i="3" s="1"/>
  <c r="D955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8115" i="3" s="1"/>
  <c r="D8139" i="3" s="1"/>
  <c r="D8163" i="3" s="1"/>
  <c r="D8187" i="3" s="1"/>
  <c r="D8211" i="3" s="1"/>
  <c r="D8235" i="3" s="1"/>
  <c r="D8259" i="3" s="1"/>
  <c r="D8283" i="3" s="1"/>
  <c r="D8307" i="3" s="1"/>
  <c r="D8331" i="3" s="1"/>
  <c r="D8355" i="3" s="1"/>
  <c r="D8379" i="3" s="1"/>
  <c r="D8403" i="3" s="1"/>
  <c r="D8427" i="3" s="1"/>
  <c r="D8451" i="3" s="1"/>
  <c r="D8475" i="3" s="1"/>
  <c r="D8499" i="3" s="1"/>
  <c r="D8523" i="3" s="1"/>
  <c r="D8547" i="3" s="1"/>
  <c r="D8571" i="3" s="1"/>
  <c r="D8595" i="3" s="1"/>
  <c r="D8619" i="3" s="1"/>
  <c r="D8643" i="3" s="1"/>
  <c r="D8667" i="3" s="1"/>
  <c r="D8691" i="3" s="1"/>
  <c r="D8715" i="3" s="1"/>
  <c r="D8739" i="3" s="1"/>
  <c r="D8763" i="3" s="1"/>
  <c r="D8787" i="3" s="1"/>
  <c r="D8811" i="3" s="1"/>
  <c r="D8835" i="3" s="1"/>
  <c r="D8859" i="3" s="1"/>
  <c r="D8883" i="3" s="1"/>
  <c r="D8907" i="3" s="1"/>
  <c r="D8931" i="3" s="1"/>
  <c r="D8955" i="3" s="1"/>
  <c r="D8979" i="3" s="1"/>
  <c r="D9003" i="3" s="1"/>
  <c r="D9027" i="3" s="1"/>
  <c r="D9051" i="3" s="1"/>
  <c r="D9075" i="3" s="1"/>
  <c r="D9099" i="3" s="1"/>
  <c r="D9123" i="3" s="1"/>
  <c r="D9147" i="3" s="1"/>
  <c r="D9171" i="3" s="1"/>
  <c r="D9195" i="3" s="1"/>
  <c r="D9219" i="3" s="1"/>
  <c r="D9243" i="3" s="1"/>
  <c r="D9267" i="3" s="1"/>
  <c r="D9291" i="3" s="1"/>
  <c r="D9315" i="3" s="1"/>
  <c r="D9339" i="3" s="1"/>
  <c r="D9363" i="3" s="1"/>
  <c r="D9387" i="3" s="1"/>
  <c r="D9411" i="3" s="1"/>
  <c r="D9435" i="3" s="1"/>
  <c r="D9459" i="3" s="1"/>
  <c r="D9483" i="3" s="1"/>
  <c r="D9507" i="3" s="1"/>
  <c r="D9531" i="3" s="1"/>
  <c r="D955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V261" i="23" l="1"/>
  <c r="Y261" i="23" s="1"/>
  <c r="D262" i="23"/>
  <c r="U261" i="23"/>
  <c r="C230" i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V262" i="23" l="1"/>
  <c r="Y262" i="23" s="1"/>
  <c r="D263" i="23"/>
  <c r="U262" i="23"/>
  <c r="C231" i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E3939" i="3"/>
  <c r="E3938" i="3"/>
  <c r="D166" i="1"/>
  <c r="E3947" i="3"/>
  <c r="E3943" i="3"/>
  <c r="L165" i="1"/>
  <c r="K165" i="1" s="1"/>
  <c r="V263" i="23" l="1"/>
  <c r="Y263" i="23" s="1"/>
  <c r="D264" i="23"/>
  <c r="U263" i="23"/>
  <c r="C232" i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8131" i="3" s="1"/>
  <c r="D8155" i="3" s="1"/>
  <c r="D8179" i="3" s="1"/>
  <c r="D8203" i="3" s="1"/>
  <c r="D8227" i="3" s="1"/>
  <c r="D8251" i="3" s="1"/>
  <c r="D8275" i="3" s="1"/>
  <c r="D8299" i="3" s="1"/>
  <c r="D8323" i="3" s="1"/>
  <c r="D8347" i="3" s="1"/>
  <c r="D8371" i="3" s="1"/>
  <c r="D8395" i="3" s="1"/>
  <c r="D8419" i="3" s="1"/>
  <c r="D8443" i="3" s="1"/>
  <c r="D8467" i="3" s="1"/>
  <c r="D8491" i="3" s="1"/>
  <c r="D8515" i="3" s="1"/>
  <c r="D8539" i="3" s="1"/>
  <c r="D8563" i="3" s="1"/>
  <c r="D8587" i="3" s="1"/>
  <c r="D8611" i="3" s="1"/>
  <c r="D8635" i="3" s="1"/>
  <c r="D8659" i="3" s="1"/>
  <c r="D8683" i="3" s="1"/>
  <c r="D8707" i="3" s="1"/>
  <c r="D8731" i="3" s="1"/>
  <c r="D8755" i="3" s="1"/>
  <c r="D8779" i="3" s="1"/>
  <c r="D8803" i="3" s="1"/>
  <c r="D8827" i="3" s="1"/>
  <c r="D8851" i="3" s="1"/>
  <c r="D8875" i="3" s="1"/>
  <c r="D8899" i="3" s="1"/>
  <c r="D8923" i="3" s="1"/>
  <c r="D8947" i="3" s="1"/>
  <c r="D8971" i="3" s="1"/>
  <c r="D8995" i="3" s="1"/>
  <c r="D9019" i="3" s="1"/>
  <c r="D9043" i="3" s="1"/>
  <c r="D9067" i="3" s="1"/>
  <c r="D9091" i="3" s="1"/>
  <c r="D9115" i="3" s="1"/>
  <c r="D9139" i="3" s="1"/>
  <c r="D9163" i="3" s="1"/>
  <c r="D9187" i="3" s="1"/>
  <c r="D9211" i="3" s="1"/>
  <c r="D9235" i="3" s="1"/>
  <c r="D9259" i="3" s="1"/>
  <c r="D9283" i="3" s="1"/>
  <c r="D9307" i="3" s="1"/>
  <c r="D9331" i="3" s="1"/>
  <c r="D9355" i="3" s="1"/>
  <c r="D9379" i="3" s="1"/>
  <c r="D9403" i="3" s="1"/>
  <c r="D9427" i="3" s="1"/>
  <c r="D9451" i="3" s="1"/>
  <c r="D9475" i="3" s="1"/>
  <c r="D9499" i="3" s="1"/>
  <c r="D9523" i="3" s="1"/>
  <c r="D9547" i="3" s="1"/>
  <c r="D957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8116" i="3" s="1"/>
  <c r="D8140" i="3" s="1"/>
  <c r="D8164" i="3" s="1"/>
  <c r="D8188" i="3" s="1"/>
  <c r="D8212" i="3" s="1"/>
  <c r="D8236" i="3" s="1"/>
  <c r="D8260" i="3" s="1"/>
  <c r="D8284" i="3" s="1"/>
  <c r="D8308" i="3" s="1"/>
  <c r="D8332" i="3" s="1"/>
  <c r="D8356" i="3" s="1"/>
  <c r="D8380" i="3" s="1"/>
  <c r="D8404" i="3" s="1"/>
  <c r="D8428" i="3" s="1"/>
  <c r="D8452" i="3" s="1"/>
  <c r="D8476" i="3" s="1"/>
  <c r="D8500" i="3" s="1"/>
  <c r="D8524" i="3" s="1"/>
  <c r="D8548" i="3" s="1"/>
  <c r="D8572" i="3" s="1"/>
  <c r="D8596" i="3" s="1"/>
  <c r="D8620" i="3" s="1"/>
  <c r="D8644" i="3" s="1"/>
  <c r="D8668" i="3" s="1"/>
  <c r="D8692" i="3" s="1"/>
  <c r="D8716" i="3" s="1"/>
  <c r="D8740" i="3" s="1"/>
  <c r="D8764" i="3" s="1"/>
  <c r="D8788" i="3" s="1"/>
  <c r="D8812" i="3" s="1"/>
  <c r="D8836" i="3" s="1"/>
  <c r="D8860" i="3" s="1"/>
  <c r="D8884" i="3" s="1"/>
  <c r="D8908" i="3" s="1"/>
  <c r="D8932" i="3" s="1"/>
  <c r="D8956" i="3" s="1"/>
  <c r="D8980" i="3" s="1"/>
  <c r="D9004" i="3" s="1"/>
  <c r="D9028" i="3" s="1"/>
  <c r="D9052" i="3" s="1"/>
  <c r="D9076" i="3" s="1"/>
  <c r="D9100" i="3" s="1"/>
  <c r="D9124" i="3" s="1"/>
  <c r="D9148" i="3" s="1"/>
  <c r="D9172" i="3" s="1"/>
  <c r="D9196" i="3" s="1"/>
  <c r="D9220" i="3" s="1"/>
  <c r="D9244" i="3" s="1"/>
  <c r="D9268" i="3" s="1"/>
  <c r="D9292" i="3" s="1"/>
  <c r="D9316" i="3" s="1"/>
  <c r="D9340" i="3" s="1"/>
  <c r="D9364" i="3" s="1"/>
  <c r="D9388" i="3" s="1"/>
  <c r="D9412" i="3" s="1"/>
  <c r="D9436" i="3" s="1"/>
  <c r="D9460" i="3" s="1"/>
  <c r="D9484" i="3" s="1"/>
  <c r="D9508" i="3" s="1"/>
  <c r="D9532" i="3" s="1"/>
  <c r="D955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8117" i="3" s="1"/>
  <c r="D8141" i="3" s="1"/>
  <c r="D8165" i="3" s="1"/>
  <c r="D8189" i="3" s="1"/>
  <c r="D8213" i="3" s="1"/>
  <c r="D8237" i="3" s="1"/>
  <c r="D8261" i="3" s="1"/>
  <c r="D8285" i="3" s="1"/>
  <c r="D8309" i="3" s="1"/>
  <c r="D8333" i="3" s="1"/>
  <c r="D8357" i="3" s="1"/>
  <c r="D8381" i="3" s="1"/>
  <c r="D8405" i="3" s="1"/>
  <c r="D8429" i="3" s="1"/>
  <c r="D8453" i="3" s="1"/>
  <c r="D8477" i="3" s="1"/>
  <c r="D8501" i="3" s="1"/>
  <c r="D8525" i="3" s="1"/>
  <c r="D8549" i="3" s="1"/>
  <c r="D8573" i="3" s="1"/>
  <c r="D8597" i="3" s="1"/>
  <c r="D8621" i="3" s="1"/>
  <c r="D8645" i="3" s="1"/>
  <c r="D8669" i="3" s="1"/>
  <c r="D8693" i="3" s="1"/>
  <c r="D8717" i="3" s="1"/>
  <c r="D8741" i="3" s="1"/>
  <c r="D8765" i="3" s="1"/>
  <c r="D8789" i="3" s="1"/>
  <c r="D8813" i="3" s="1"/>
  <c r="D8837" i="3" s="1"/>
  <c r="D8861" i="3" s="1"/>
  <c r="D8885" i="3" s="1"/>
  <c r="D8909" i="3" s="1"/>
  <c r="D8933" i="3" s="1"/>
  <c r="D8957" i="3" s="1"/>
  <c r="D8981" i="3" s="1"/>
  <c r="D9005" i="3" s="1"/>
  <c r="D9029" i="3" s="1"/>
  <c r="D9053" i="3" s="1"/>
  <c r="D9077" i="3" s="1"/>
  <c r="D9101" i="3" s="1"/>
  <c r="D9125" i="3" s="1"/>
  <c r="D9149" i="3" s="1"/>
  <c r="D9173" i="3" s="1"/>
  <c r="D9197" i="3" s="1"/>
  <c r="D9221" i="3" s="1"/>
  <c r="D9245" i="3" s="1"/>
  <c r="D9269" i="3" s="1"/>
  <c r="D9293" i="3" s="1"/>
  <c r="D9317" i="3" s="1"/>
  <c r="D9341" i="3" s="1"/>
  <c r="D9365" i="3" s="1"/>
  <c r="D9389" i="3" s="1"/>
  <c r="D9413" i="3" s="1"/>
  <c r="D9437" i="3" s="1"/>
  <c r="D9461" i="3" s="1"/>
  <c r="D9485" i="3" s="1"/>
  <c r="D9509" i="3" s="1"/>
  <c r="D9533" i="3" s="1"/>
  <c r="D955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V264" i="23" l="1"/>
  <c r="Y264" i="23" s="1"/>
  <c r="D265" i="23"/>
  <c r="U264" i="23"/>
  <c r="C233" i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Q164" i="1"/>
  <c r="D164" i="1"/>
  <c r="V265" i="23" l="1"/>
  <c r="Y265" i="23" s="1"/>
  <c r="D266" i="23"/>
  <c r="U265" i="23"/>
  <c r="Q233" i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V266" i="23" l="1"/>
  <c r="Y266" i="23" s="1"/>
  <c r="D267" i="23"/>
  <c r="U266" i="23"/>
  <c r="Q234" i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V267" i="23" l="1"/>
  <c r="Y267" i="23" s="1"/>
  <c r="D268" i="23"/>
  <c r="U267" i="23"/>
  <c r="C236" i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V268" i="23" l="1"/>
  <c r="Y268" i="23" s="1"/>
  <c r="D269" i="23"/>
  <c r="U268" i="23"/>
  <c r="Q236" i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V269" i="23" l="1"/>
  <c r="Y269" i="23" s="1"/>
  <c r="D270" i="23"/>
  <c r="U269" i="23"/>
  <c r="Q237" i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V270" i="23" l="1"/>
  <c r="Y270" i="23" s="1"/>
  <c r="D271" i="23"/>
  <c r="U270" i="23"/>
  <c r="Q238" i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V271" i="23" l="1"/>
  <c r="Y271" i="23" s="1"/>
  <c r="D272" i="23"/>
  <c r="U271" i="23"/>
  <c r="C240" i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V272" i="23" l="1"/>
  <c r="Y272" i="23" s="1"/>
  <c r="D273" i="23"/>
  <c r="U272" i="23"/>
  <c r="Q240" i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V273" i="23" l="1"/>
  <c r="Y273" i="23" s="1"/>
  <c r="D274" i="23"/>
  <c r="U273" i="23"/>
  <c r="C242" i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V274" i="23" l="1"/>
  <c r="Y274" i="23" s="1"/>
  <c r="D275" i="23"/>
  <c r="U274" i="23"/>
  <c r="F8040" i="3"/>
  <c r="F8064" i="3" s="1"/>
  <c r="F8088" i="3" s="1"/>
  <c r="F8112" i="3" s="1"/>
  <c r="F8136" i="3" s="1"/>
  <c r="F8160" i="3" s="1"/>
  <c r="F8184" i="3" s="1"/>
  <c r="F8208" i="3" s="1"/>
  <c r="F8232" i="3" s="1"/>
  <c r="F8256" i="3" s="1"/>
  <c r="F8280" i="3" s="1"/>
  <c r="F8304" i="3" s="1"/>
  <c r="F8328" i="3" s="1"/>
  <c r="F8352" i="3" s="1"/>
  <c r="F8376" i="3" s="1"/>
  <c r="F8400" i="3" s="1"/>
  <c r="F8424" i="3" s="1"/>
  <c r="F8448" i="3" s="1"/>
  <c r="F8472" i="3" s="1"/>
  <c r="F8496" i="3" s="1"/>
  <c r="F8520" i="3" s="1"/>
  <c r="F8544" i="3" s="1"/>
  <c r="F8568" i="3" s="1"/>
  <c r="F8592" i="3" s="1"/>
  <c r="F8616" i="3" s="1"/>
  <c r="F8640" i="3" s="1"/>
  <c r="F8664" i="3" s="1"/>
  <c r="F8688" i="3" s="1"/>
  <c r="F8712" i="3" s="1"/>
  <c r="F8736" i="3" s="1"/>
  <c r="F8760" i="3" s="1"/>
  <c r="F8784" i="3" s="1"/>
  <c r="F8808" i="3" s="1"/>
  <c r="F8832" i="3" s="1"/>
  <c r="F8856" i="3" s="1"/>
  <c r="F8880" i="3" s="1"/>
  <c r="F8904" i="3" s="1"/>
  <c r="F8928" i="3" s="1"/>
  <c r="F8952" i="3" s="1"/>
  <c r="F8976" i="3" s="1"/>
  <c r="F9000" i="3" s="1"/>
  <c r="F9024" i="3" s="1"/>
  <c r="F9048" i="3" s="1"/>
  <c r="F9072" i="3" s="1"/>
  <c r="F9096" i="3" s="1"/>
  <c r="F9120" i="3" s="1"/>
  <c r="F9144" i="3" s="1"/>
  <c r="F9168" i="3" s="1"/>
  <c r="F9192" i="3" s="1"/>
  <c r="F9216" i="3" s="1"/>
  <c r="F9240" i="3" s="1"/>
  <c r="F9264" i="3" s="1"/>
  <c r="F9288" i="3" s="1"/>
  <c r="F9312" i="3" s="1"/>
  <c r="F9336" i="3" s="1"/>
  <c r="F9360" i="3" s="1"/>
  <c r="F9384" i="3" s="1"/>
  <c r="F9408" i="3" s="1"/>
  <c r="F9432" i="3" s="1"/>
  <c r="F9456" i="3" s="1"/>
  <c r="F9480" i="3" s="1"/>
  <c r="F9504" i="3" s="1"/>
  <c r="F9528" i="3" s="1"/>
  <c r="F9552" i="3" s="1"/>
  <c r="F9576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V275" i="23" l="1"/>
  <c r="Y275" i="23" s="1"/>
  <c r="D276" i="23"/>
  <c r="U275" i="23"/>
  <c r="Q243" i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V276" i="23" l="1"/>
  <c r="Y276" i="23" s="1"/>
  <c r="D277" i="23"/>
  <c r="U276" i="23"/>
  <c r="Q244" i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V277" i="23" l="1"/>
  <c r="Y277" i="23" s="1"/>
  <c r="D278" i="23"/>
  <c r="U277" i="23"/>
  <c r="Q245" i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D279" i="23" l="1"/>
  <c r="V278" i="23"/>
  <c r="Y278" i="23" s="1"/>
  <c r="U278" i="23"/>
  <c r="X278" i="23"/>
  <c r="Q246" i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L154" i="1"/>
  <c r="K154" i="1" s="1"/>
  <c r="Q154" i="1"/>
  <c r="U279" i="23" l="1"/>
  <c r="V279" i="23"/>
  <c r="Y279" i="23" s="1"/>
  <c r="D280" i="23"/>
  <c r="X279" i="23"/>
  <c r="Q247" i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X280" i="23" l="1"/>
  <c r="V280" i="23"/>
  <c r="Y280" i="23" s="1"/>
  <c r="D281" i="23"/>
  <c r="U280" i="23"/>
  <c r="Q248" i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D282" i="23" l="1"/>
  <c r="U281" i="23"/>
  <c r="X281" i="23"/>
  <c r="V281" i="23"/>
  <c r="Y281" i="23" s="1"/>
  <c r="Q249" i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D283" i="23" l="1"/>
  <c r="V282" i="23"/>
  <c r="Y282" i="23" s="1"/>
  <c r="U282" i="23"/>
  <c r="X282" i="23"/>
  <c r="Q250" i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U283" i="23" l="1"/>
  <c r="X283" i="23"/>
  <c r="V283" i="23"/>
  <c r="Y283" i="23" s="1"/>
  <c r="D284" i="23"/>
  <c r="Q251" i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X284" i="23" l="1"/>
  <c r="V284" i="23"/>
  <c r="Y284" i="23" s="1"/>
  <c r="D285" i="23"/>
  <c r="U284" i="23"/>
  <c r="Q252" i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U285" i="23" l="1"/>
  <c r="V285" i="23"/>
  <c r="Y285" i="23" s="1"/>
  <c r="D286" i="23"/>
  <c r="X285" i="23"/>
  <c r="Q253" i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X286" i="23" l="1"/>
  <c r="D287" i="23"/>
  <c r="V286" i="23"/>
  <c r="Y286" i="23" s="1"/>
  <c r="U286" i="23"/>
  <c r="C255" i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U287" i="23" l="1"/>
  <c r="V287" i="23"/>
  <c r="Y287" i="23" s="1"/>
  <c r="D288" i="23"/>
  <c r="X287" i="23"/>
  <c r="S161" i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D289" i="23" l="1"/>
  <c r="V288" i="23"/>
  <c r="Y288" i="23" s="1"/>
  <c r="X288" i="23"/>
  <c r="U288" i="23"/>
  <c r="Q256" i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U289" i="23" l="1"/>
  <c r="D290" i="23"/>
  <c r="X289" i="23"/>
  <c r="V289" i="23"/>
  <c r="Y289" i="23" s="1"/>
  <c r="Q257" i="1"/>
  <c r="C258" i="1"/>
  <c r="S163" i="1"/>
  <c r="T163" i="1"/>
  <c r="F3225" i="3"/>
  <c r="F3226" i="3"/>
  <c r="E164" i="1"/>
  <c r="R164" i="1" s="1"/>
  <c r="J143" i="1"/>
  <c r="E3390" i="3"/>
  <c r="E3386" i="3"/>
  <c r="Q143" i="1"/>
  <c r="X290" i="23" l="1"/>
  <c r="D291" i="23"/>
  <c r="V290" i="23"/>
  <c r="Y290" i="23" s="1"/>
  <c r="U290" i="23"/>
  <c r="Q258" i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8026" i="3" s="1"/>
  <c r="F3249" i="3"/>
  <c r="E165" i="1"/>
  <c r="R165" i="1" s="1"/>
  <c r="U291" i="23" l="1"/>
  <c r="D292" i="23"/>
  <c r="X291" i="23"/>
  <c r="V291" i="23"/>
  <c r="Y291" i="23" s="1"/>
  <c r="F8050" i="3"/>
  <c r="F8074" i="3" s="1"/>
  <c r="F8098" i="3" s="1"/>
  <c r="F8122" i="3" s="1"/>
  <c r="F8146" i="3" s="1"/>
  <c r="F8170" i="3" s="1"/>
  <c r="F8194" i="3" s="1"/>
  <c r="F8218" i="3" s="1"/>
  <c r="F8242" i="3" s="1"/>
  <c r="F8266" i="3" s="1"/>
  <c r="F8290" i="3" s="1"/>
  <c r="F8314" i="3" s="1"/>
  <c r="F8338" i="3" s="1"/>
  <c r="F8362" i="3" s="1"/>
  <c r="F8386" i="3" s="1"/>
  <c r="F8410" i="3" s="1"/>
  <c r="F8434" i="3" s="1"/>
  <c r="F8458" i="3" s="1"/>
  <c r="F8482" i="3" s="1"/>
  <c r="F8506" i="3" s="1"/>
  <c r="F8530" i="3" s="1"/>
  <c r="F8554" i="3" s="1"/>
  <c r="F8578" i="3" s="1"/>
  <c r="F8602" i="3" s="1"/>
  <c r="F8626" i="3" s="1"/>
  <c r="F8650" i="3" s="1"/>
  <c r="F8674" i="3" s="1"/>
  <c r="F8698" i="3" s="1"/>
  <c r="F8722" i="3" s="1"/>
  <c r="F8746" i="3" s="1"/>
  <c r="F8770" i="3" s="1"/>
  <c r="F8794" i="3" s="1"/>
  <c r="F8818" i="3" s="1"/>
  <c r="F8842" i="3" s="1"/>
  <c r="F8866" i="3" s="1"/>
  <c r="F8890" i="3" s="1"/>
  <c r="F8914" i="3" s="1"/>
  <c r="F8938" i="3" s="1"/>
  <c r="F8962" i="3" s="1"/>
  <c r="F8986" i="3" s="1"/>
  <c r="F9010" i="3" s="1"/>
  <c r="F9034" i="3" s="1"/>
  <c r="F9058" i="3" s="1"/>
  <c r="F9082" i="3" s="1"/>
  <c r="F9106" i="3" s="1"/>
  <c r="F9130" i="3" s="1"/>
  <c r="F9154" i="3" s="1"/>
  <c r="F9178" i="3" s="1"/>
  <c r="F9202" i="3" s="1"/>
  <c r="F9226" i="3" s="1"/>
  <c r="F9250" i="3" s="1"/>
  <c r="F9274" i="3" s="1"/>
  <c r="F9298" i="3" s="1"/>
  <c r="F9322" i="3" s="1"/>
  <c r="F9346" i="3" s="1"/>
  <c r="F9370" i="3" s="1"/>
  <c r="F9394" i="3" s="1"/>
  <c r="F9418" i="3" s="1"/>
  <c r="F9442" i="3" s="1"/>
  <c r="F9466" i="3" s="1"/>
  <c r="F9490" i="3" s="1"/>
  <c r="F9514" i="3" s="1"/>
  <c r="F9538" i="3" s="1"/>
  <c r="F9562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D293" i="23" l="1"/>
  <c r="V292" i="23"/>
  <c r="Y292" i="23" s="1"/>
  <c r="X292" i="23"/>
  <c r="U292" i="23"/>
  <c r="C261" i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U293" i="23" l="1"/>
  <c r="V293" i="23"/>
  <c r="Y293" i="23" s="1"/>
  <c r="D294" i="23"/>
  <c r="X293" i="23"/>
  <c r="C262" i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X294" i="23" l="1"/>
  <c r="D295" i="23"/>
  <c r="V294" i="23"/>
  <c r="Y294" i="23" s="1"/>
  <c r="U294" i="23"/>
  <c r="C263" i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U295" i="23" l="1"/>
  <c r="V295" i="23"/>
  <c r="Y295" i="23" s="1"/>
  <c r="D296" i="23"/>
  <c r="X295" i="23"/>
  <c r="Q263" i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D297" i="23" l="1"/>
  <c r="V296" i="23"/>
  <c r="Y296" i="23" s="1"/>
  <c r="X296" i="23"/>
  <c r="U296" i="23"/>
  <c r="E171" i="1"/>
  <c r="R171" i="1" s="1"/>
  <c r="R170" i="1"/>
  <c r="C265" i="1"/>
  <c r="Q264" i="1"/>
  <c r="E172" i="1"/>
  <c r="R172" i="1" s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44" i="1"/>
  <c r="T143" i="1"/>
  <c r="S143" i="1"/>
  <c r="Q138" i="1"/>
  <c r="L137" i="1"/>
  <c r="K137" i="1" s="1"/>
  <c r="Q137" i="1"/>
  <c r="U297" i="23" l="1"/>
  <c r="D298" i="23"/>
  <c r="X297" i="23"/>
  <c r="V297" i="23"/>
  <c r="Y297" i="23" s="1"/>
  <c r="E173" i="1"/>
  <c r="R173" i="1" s="1"/>
  <c r="S171" i="1"/>
  <c r="Q265" i="1"/>
  <c r="C266" i="1"/>
  <c r="S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X298" i="23" l="1"/>
  <c r="D299" i="23"/>
  <c r="V298" i="23"/>
  <c r="Y298" i="23" s="1"/>
  <c r="U298" i="23"/>
  <c r="T173" i="1"/>
  <c r="C267" i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U299" i="23" l="1"/>
  <c r="D300" i="23"/>
  <c r="X299" i="23"/>
  <c r="V299" i="23"/>
  <c r="Y299" i="23" s="1"/>
  <c r="C268" i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D301" i="23" l="1"/>
  <c r="V300" i="23"/>
  <c r="Y300" i="23" s="1"/>
  <c r="X300" i="23"/>
  <c r="U300" i="23"/>
  <c r="C269" i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U301" i="23" l="1"/>
  <c r="V301" i="23"/>
  <c r="Y301" i="23" s="1"/>
  <c r="D302" i="23"/>
  <c r="X301" i="23"/>
  <c r="C270" i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X302" i="23" l="1"/>
  <c r="D303" i="23"/>
  <c r="V302" i="23"/>
  <c r="Y302" i="23" s="1"/>
  <c r="U302" i="23"/>
  <c r="C271" i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U303" i="23" l="1"/>
  <c r="V303" i="23"/>
  <c r="Y303" i="23" s="1"/>
  <c r="D304" i="23"/>
  <c r="X303" i="23"/>
  <c r="C272" i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D305" i="23" l="1"/>
  <c r="V304" i="23"/>
  <c r="Y304" i="23" s="1"/>
  <c r="X304" i="23"/>
  <c r="U304" i="23"/>
  <c r="C273" i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U305" i="23" l="1"/>
  <c r="D306" i="23"/>
  <c r="X305" i="23"/>
  <c r="V305" i="23"/>
  <c r="Y305" i="23" s="1"/>
  <c r="C274" i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X306" i="23" l="1"/>
  <c r="D307" i="23"/>
  <c r="V306" i="23"/>
  <c r="Y306" i="23" s="1"/>
  <c r="U306" i="23"/>
  <c r="C275" i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X307" i="23" l="1"/>
  <c r="D308" i="23"/>
  <c r="V307" i="23"/>
  <c r="Y307" i="23" s="1"/>
  <c r="U307" i="23"/>
  <c r="S183" i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X308" i="23" l="1"/>
  <c r="D309" i="23"/>
  <c r="V308" i="23"/>
  <c r="Y308" i="23" s="1"/>
  <c r="U308" i="23"/>
  <c r="Q276" i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U309" i="23" l="1"/>
  <c r="D310" i="23"/>
  <c r="X309" i="23"/>
  <c r="V309" i="23"/>
  <c r="Y309" i="23" s="1"/>
  <c r="T185" i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D311" i="23" l="1"/>
  <c r="V310" i="23"/>
  <c r="Y310" i="23" s="1"/>
  <c r="X310" i="23"/>
  <c r="U310" i="23"/>
  <c r="F8031" i="3"/>
  <c r="F8055" i="3" s="1"/>
  <c r="F8079" i="3" s="1"/>
  <c r="F8103" i="3" s="1"/>
  <c r="F8127" i="3" s="1"/>
  <c r="F8151" i="3" s="1"/>
  <c r="F8175" i="3" s="1"/>
  <c r="F8199" i="3" s="1"/>
  <c r="F8223" i="3" s="1"/>
  <c r="F8247" i="3" s="1"/>
  <c r="F8271" i="3" s="1"/>
  <c r="F8295" i="3" s="1"/>
  <c r="F8319" i="3" s="1"/>
  <c r="F8343" i="3" s="1"/>
  <c r="F8367" i="3" s="1"/>
  <c r="F8391" i="3" s="1"/>
  <c r="F8415" i="3" s="1"/>
  <c r="F8439" i="3" s="1"/>
  <c r="F8463" i="3" s="1"/>
  <c r="F8487" i="3" s="1"/>
  <c r="F8511" i="3" s="1"/>
  <c r="F8535" i="3" s="1"/>
  <c r="F8559" i="3" s="1"/>
  <c r="F8583" i="3" s="1"/>
  <c r="F8607" i="3" s="1"/>
  <c r="F8631" i="3" s="1"/>
  <c r="F8655" i="3" s="1"/>
  <c r="F8679" i="3" s="1"/>
  <c r="F8703" i="3" s="1"/>
  <c r="F8727" i="3" s="1"/>
  <c r="F8751" i="3" s="1"/>
  <c r="F8775" i="3" s="1"/>
  <c r="F8799" i="3" s="1"/>
  <c r="F8823" i="3" s="1"/>
  <c r="F8847" i="3" s="1"/>
  <c r="F8871" i="3" s="1"/>
  <c r="F8895" i="3" s="1"/>
  <c r="F8919" i="3" s="1"/>
  <c r="F8943" i="3" s="1"/>
  <c r="F8967" i="3" s="1"/>
  <c r="F8991" i="3" s="1"/>
  <c r="F9015" i="3" s="1"/>
  <c r="F9039" i="3" s="1"/>
  <c r="F9063" i="3" s="1"/>
  <c r="F9087" i="3" s="1"/>
  <c r="F9111" i="3" s="1"/>
  <c r="F9135" i="3" s="1"/>
  <c r="F9159" i="3" s="1"/>
  <c r="F9183" i="3" s="1"/>
  <c r="F9207" i="3" s="1"/>
  <c r="F9231" i="3" s="1"/>
  <c r="F9255" i="3" s="1"/>
  <c r="F9279" i="3" s="1"/>
  <c r="F9303" i="3" s="1"/>
  <c r="F9327" i="3" s="1"/>
  <c r="F9351" i="3" s="1"/>
  <c r="F9375" i="3" s="1"/>
  <c r="F9399" i="3" s="1"/>
  <c r="F9423" i="3" s="1"/>
  <c r="F9447" i="3" s="1"/>
  <c r="F9471" i="3" s="1"/>
  <c r="F9495" i="3" s="1"/>
  <c r="F9519" i="3" s="1"/>
  <c r="F9543" i="3" s="1"/>
  <c r="F9567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U311" i="23" l="1"/>
  <c r="V311" i="23"/>
  <c r="Y311" i="23" s="1"/>
  <c r="D312" i="23"/>
  <c r="X311" i="23"/>
  <c r="Q279" i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X312" i="23" l="1"/>
  <c r="D313" i="23"/>
  <c r="V312" i="23"/>
  <c r="Y312" i="23" s="1"/>
  <c r="U312" i="23"/>
  <c r="Q280" i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U313" i="23" l="1"/>
  <c r="V313" i="23"/>
  <c r="Y313" i="23" s="1"/>
  <c r="D314" i="23"/>
  <c r="X313" i="23"/>
  <c r="Q281" i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D315" i="23" l="1"/>
  <c r="V314" i="23"/>
  <c r="Y314" i="23" s="1"/>
  <c r="X314" i="23"/>
  <c r="U314" i="23"/>
  <c r="Q282" i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U315" i="23" l="1"/>
  <c r="D316" i="23"/>
  <c r="X315" i="23"/>
  <c r="V315" i="23"/>
  <c r="Y315" i="23" s="1"/>
  <c r="Q283" i="1"/>
  <c r="C284" i="1"/>
  <c r="E193" i="1"/>
  <c r="R193" i="1" s="1"/>
  <c r="S192" i="1"/>
  <c r="T192" i="1"/>
  <c r="E120" i="1"/>
  <c r="S120" i="1" s="1"/>
  <c r="T119" i="1"/>
  <c r="E126" i="1"/>
  <c r="T125" i="1"/>
  <c r="S119" i="1"/>
  <c r="S125" i="1"/>
  <c r="X316" i="23" l="1"/>
  <c r="D317" i="23"/>
  <c r="V316" i="23"/>
  <c r="Y316" i="23" s="1"/>
  <c r="U316" i="23"/>
  <c r="S193" i="1"/>
  <c r="T193" i="1"/>
  <c r="E194" i="1"/>
  <c r="R194" i="1" s="1"/>
  <c r="Q284" i="1"/>
  <c r="C285" i="1"/>
  <c r="T126" i="1"/>
  <c r="S126" i="1"/>
  <c r="T120" i="1"/>
  <c r="U317" i="23" l="1"/>
  <c r="D318" i="23"/>
  <c r="X317" i="23"/>
  <c r="V317" i="23"/>
  <c r="Y317" i="23" s="1"/>
  <c r="E195" i="1"/>
  <c r="R195" i="1" s="1"/>
  <c r="S194" i="1"/>
  <c r="T194" i="1"/>
  <c r="Q285" i="1"/>
  <c r="C286" i="1"/>
  <c r="E113" i="1"/>
  <c r="D319" i="23" l="1"/>
  <c r="V318" i="23"/>
  <c r="Y318" i="23" s="1"/>
  <c r="X318" i="23"/>
  <c r="U318" i="23"/>
  <c r="T195" i="1"/>
  <c r="E196" i="1"/>
  <c r="R196" i="1" s="1"/>
  <c r="S195" i="1"/>
  <c r="C287" i="1"/>
  <c r="Q286" i="1"/>
  <c r="T196" i="1"/>
  <c r="T113" i="1"/>
  <c r="S113" i="1"/>
  <c r="E114" i="1"/>
  <c r="U319" i="23" l="1"/>
  <c r="V319" i="23"/>
  <c r="Y319" i="23" s="1"/>
  <c r="D320" i="23"/>
  <c r="X319" i="23"/>
  <c r="E197" i="1"/>
  <c r="R197" i="1" s="1"/>
  <c r="S196" i="1"/>
  <c r="Q287" i="1"/>
  <c r="C288" i="1"/>
  <c r="T197" i="1"/>
  <c r="S197" i="1"/>
  <c r="E198" i="1"/>
  <c r="R198" i="1" s="1"/>
  <c r="T114" i="1"/>
  <c r="S114" i="1"/>
  <c r="X320" i="23" l="1"/>
  <c r="D321" i="23"/>
  <c r="V320" i="23"/>
  <c r="Y320" i="23" s="1"/>
  <c r="U320" i="23"/>
  <c r="Q288" i="1"/>
  <c r="C289" i="1"/>
  <c r="T198" i="1"/>
  <c r="S198" i="1"/>
  <c r="E199" i="1"/>
  <c r="R199" i="1" s="1"/>
  <c r="Q171" i="1"/>
  <c r="U321" i="23" l="1"/>
  <c r="V321" i="23"/>
  <c r="Y321" i="23" s="1"/>
  <c r="D322" i="23"/>
  <c r="X321" i="23"/>
  <c r="Q289" i="1"/>
  <c r="C290" i="1"/>
  <c r="T199" i="1"/>
  <c r="S199" i="1"/>
  <c r="E200" i="1"/>
  <c r="R200" i="1" s="1"/>
  <c r="Q172" i="1"/>
  <c r="D323" i="23" l="1"/>
  <c r="V322" i="23"/>
  <c r="Y322" i="23" s="1"/>
  <c r="X322" i="23"/>
  <c r="U322" i="23"/>
  <c r="C291" i="1"/>
  <c r="Q290" i="1"/>
  <c r="T200" i="1"/>
  <c r="S200" i="1"/>
  <c r="E201" i="1"/>
  <c r="R201" i="1" s="1"/>
  <c r="Q173" i="1"/>
  <c r="U323" i="23" l="1"/>
  <c r="D324" i="23"/>
  <c r="X323" i="23"/>
  <c r="V323" i="23"/>
  <c r="Y323" i="23" s="1"/>
  <c r="C292" i="1"/>
  <c r="Q291" i="1"/>
  <c r="T201" i="1"/>
  <c r="S201" i="1"/>
  <c r="E202" i="1"/>
  <c r="R202" i="1" s="1"/>
  <c r="Q174" i="1"/>
  <c r="X324" i="23" l="1"/>
  <c r="D325" i="23"/>
  <c r="V324" i="23"/>
  <c r="Y324" i="23" s="1"/>
  <c r="U324" i="23"/>
  <c r="Q292" i="1"/>
  <c r="C293" i="1"/>
  <c r="T202" i="1"/>
  <c r="S202" i="1"/>
  <c r="E203" i="1"/>
  <c r="R203" i="1" s="1"/>
  <c r="Q175" i="1"/>
  <c r="X325" i="23" l="1"/>
  <c r="D326" i="23"/>
  <c r="V325" i="23"/>
  <c r="Y325" i="23" s="1"/>
  <c r="C294" i="1"/>
  <c r="Q293" i="1"/>
  <c r="T203" i="1"/>
  <c r="S203" i="1"/>
  <c r="E204" i="1"/>
  <c r="R204" i="1" s="1"/>
  <c r="Q176" i="1"/>
  <c r="X326" i="23" l="1"/>
  <c r="D327" i="23"/>
  <c r="V326" i="23"/>
  <c r="Y326" i="23" s="1"/>
  <c r="Q294" i="1"/>
  <c r="C295" i="1"/>
  <c r="T204" i="1"/>
  <c r="E205" i="1"/>
  <c r="R205" i="1" s="1"/>
  <c r="S204" i="1"/>
  <c r="Q177" i="1"/>
  <c r="X327" i="23" l="1"/>
  <c r="D328" i="23"/>
  <c r="V327" i="23"/>
  <c r="Y327" i="23" s="1"/>
  <c r="C296" i="1"/>
  <c r="Q295" i="1"/>
  <c r="T205" i="1"/>
  <c r="S205" i="1"/>
  <c r="E206" i="1"/>
  <c r="R206" i="1" s="1"/>
  <c r="Q178" i="1"/>
  <c r="X328" i="23" l="1"/>
  <c r="D329" i="23"/>
  <c r="V328" i="23"/>
  <c r="Y328" i="23" s="1"/>
  <c r="C297" i="1"/>
  <c r="Q296" i="1"/>
  <c r="T206" i="1"/>
  <c r="S206" i="1"/>
  <c r="E207" i="1"/>
  <c r="R207" i="1" s="1"/>
  <c r="Q179" i="1"/>
  <c r="X329" i="23" l="1"/>
  <c r="D330" i="23"/>
  <c r="V329" i="23"/>
  <c r="Y329" i="23" s="1"/>
  <c r="Q297" i="1"/>
  <c r="C298" i="1"/>
  <c r="T207" i="1"/>
  <c r="S207" i="1"/>
  <c r="E208" i="1"/>
  <c r="R208" i="1" s="1"/>
  <c r="Q180" i="1"/>
  <c r="X330" i="23" l="1"/>
  <c r="D331" i="23"/>
  <c r="V330" i="23"/>
  <c r="Y330" i="23" s="1"/>
  <c r="Q298" i="1"/>
  <c r="C299" i="1"/>
  <c r="E209" i="1"/>
  <c r="R209" i="1" s="1"/>
  <c r="S208" i="1"/>
  <c r="T208" i="1"/>
  <c r="Q181" i="1"/>
  <c r="X331" i="23" l="1"/>
  <c r="D332" i="23"/>
  <c r="V331" i="23"/>
  <c r="Y331" i="23" s="1"/>
  <c r="Q299" i="1"/>
  <c r="C300" i="1"/>
  <c r="E210" i="1"/>
  <c r="R210" i="1" s="1"/>
  <c r="S209" i="1"/>
  <c r="T209" i="1"/>
  <c r="Q182" i="1"/>
  <c r="X332" i="23" l="1"/>
  <c r="D333" i="23"/>
  <c r="V332" i="23"/>
  <c r="Y332" i="23" s="1"/>
  <c r="C301" i="1"/>
  <c r="Q300" i="1"/>
  <c r="T210" i="1"/>
  <c r="S210" i="1"/>
  <c r="E211" i="1"/>
  <c r="R211" i="1" s="1"/>
  <c r="Q183" i="1"/>
  <c r="X333" i="23" l="1"/>
  <c r="D334" i="23"/>
  <c r="V333" i="23"/>
  <c r="Y333" i="23" s="1"/>
  <c r="C302" i="1"/>
  <c r="Q301" i="1"/>
  <c r="T211" i="1"/>
  <c r="E212" i="1"/>
  <c r="R212" i="1" s="1"/>
  <c r="S211" i="1"/>
  <c r="Q184" i="1"/>
  <c r="X334" i="23" l="1"/>
  <c r="D335" i="23"/>
  <c r="V334" i="23"/>
  <c r="Y334" i="23" s="1"/>
  <c r="Q302" i="1"/>
  <c r="C303" i="1"/>
  <c r="T212" i="1"/>
  <c r="S212" i="1"/>
  <c r="E213" i="1"/>
  <c r="R213" i="1" s="1"/>
  <c r="Q185" i="1"/>
  <c r="D336" i="23" l="1"/>
  <c r="X335" i="23"/>
  <c r="V335" i="23"/>
  <c r="Y335" i="23" s="1"/>
  <c r="Q303" i="1"/>
  <c r="C304" i="1"/>
  <c r="T213" i="1"/>
  <c r="S213" i="1"/>
  <c r="E214" i="1"/>
  <c r="R214" i="1" s="1"/>
  <c r="Q186" i="1"/>
  <c r="X336" i="23" l="1"/>
  <c r="D337" i="23"/>
  <c r="V336" i="23"/>
  <c r="Y336" i="23" s="1"/>
  <c r="C305" i="1"/>
  <c r="Q304" i="1"/>
  <c r="T214" i="1"/>
  <c r="E215" i="1"/>
  <c r="R215" i="1" s="1"/>
  <c r="S214" i="1"/>
  <c r="Q187" i="1"/>
  <c r="X337" i="23" l="1"/>
  <c r="D338" i="23"/>
  <c r="V337" i="23"/>
  <c r="Y337" i="23" s="1"/>
  <c r="Q305" i="1"/>
  <c r="C306" i="1"/>
  <c r="E216" i="1"/>
  <c r="R216" i="1" s="1"/>
  <c r="T215" i="1"/>
  <c r="S215" i="1"/>
  <c r="Q188" i="1"/>
  <c r="X338" i="23" l="1"/>
  <c r="D339" i="23"/>
  <c r="V338" i="23"/>
  <c r="Y338" i="23" s="1"/>
  <c r="Q306" i="1"/>
  <c r="C307" i="1"/>
  <c r="T216" i="1"/>
  <c r="E217" i="1"/>
  <c r="R217" i="1" s="1"/>
  <c r="S216" i="1"/>
  <c r="Q189" i="1"/>
  <c r="X339" i="23" l="1"/>
  <c r="D340" i="23"/>
  <c r="V339" i="23"/>
  <c r="Y339" i="23" s="1"/>
  <c r="Q307" i="1"/>
  <c r="C308" i="1"/>
  <c r="T217" i="1"/>
  <c r="E218" i="1"/>
  <c r="R218" i="1" s="1"/>
  <c r="S217" i="1"/>
  <c r="Q190" i="1"/>
  <c r="X340" i="23" l="1"/>
  <c r="D341" i="23"/>
  <c r="V340" i="23"/>
  <c r="Y340" i="23" s="1"/>
  <c r="Q308" i="1"/>
  <c r="C309" i="1"/>
  <c r="T218" i="1"/>
  <c r="E219" i="1"/>
  <c r="R219" i="1" s="1"/>
  <c r="S218" i="1"/>
  <c r="X341" i="23" l="1"/>
  <c r="D342" i="23"/>
  <c r="V341" i="23"/>
  <c r="Y341" i="23" s="1"/>
  <c r="C310" i="1"/>
  <c r="Q309" i="1"/>
  <c r="T219" i="1"/>
  <c r="E220" i="1"/>
  <c r="R220" i="1" s="1"/>
  <c r="S219" i="1"/>
  <c r="X342" i="23" l="1"/>
  <c r="D343" i="23"/>
  <c r="V342" i="23"/>
  <c r="Y342" i="23" s="1"/>
  <c r="C311" i="1"/>
  <c r="Q310" i="1"/>
  <c r="T220" i="1"/>
  <c r="E221" i="1"/>
  <c r="R221" i="1" s="1"/>
  <c r="S220" i="1"/>
  <c r="X343" i="23" l="1"/>
  <c r="D344" i="23"/>
  <c r="V343" i="23"/>
  <c r="Y343" i="23" s="1"/>
  <c r="C312" i="1"/>
  <c r="Q311" i="1"/>
  <c r="T221" i="1"/>
  <c r="E222" i="1"/>
  <c r="R222" i="1" s="1"/>
  <c r="S221" i="1"/>
  <c r="X344" i="23" l="1"/>
  <c r="D345" i="23"/>
  <c r="V344" i="23"/>
  <c r="Y344" i="23" s="1"/>
  <c r="C313" i="1"/>
  <c r="Q312" i="1"/>
  <c r="S222" i="1"/>
  <c r="T222" i="1"/>
  <c r="E223" i="1"/>
  <c r="R223" i="1" s="1"/>
  <c r="X345" i="23" l="1"/>
  <c r="D346" i="23"/>
  <c r="V345" i="23"/>
  <c r="Y345" i="23" s="1"/>
  <c r="C314" i="1"/>
  <c r="Q313" i="1"/>
  <c r="T223" i="1"/>
  <c r="E224" i="1"/>
  <c r="R224" i="1" s="1"/>
  <c r="S223" i="1"/>
  <c r="X346" i="23" l="1"/>
  <c r="D347" i="23"/>
  <c r="V346" i="23"/>
  <c r="Y346" i="23" s="1"/>
  <c r="C315" i="1"/>
  <c r="Q314" i="1"/>
  <c r="T224" i="1"/>
  <c r="E225" i="1"/>
  <c r="R225" i="1" s="1"/>
  <c r="S224" i="1"/>
  <c r="X347" i="23" l="1"/>
  <c r="D348" i="23"/>
  <c r="V347" i="23"/>
  <c r="Y347" i="23" s="1"/>
  <c r="Q315" i="1"/>
  <c r="C316" i="1"/>
  <c r="T225" i="1"/>
  <c r="E226" i="1"/>
  <c r="R226" i="1" s="1"/>
  <c r="S225" i="1"/>
  <c r="X348" i="23" l="1"/>
  <c r="D349" i="23"/>
  <c r="V348" i="23"/>
  <c r="Y348" i="23" s="1"/>
  <c r="C317" i="1"/>
  <c r="Q316" i="1"/>
  <c r="E227" i="1"/>
  <c r="R227" i="1" s="1"/>
  <c r="T226" i="1"/>
  <c r="S226" i="1"/>
  <c r="D350" i="23" l="1"/>
  <c r="X349" i="23"/>
  <c r="V349" i="23"/>
  <c r="Y349" i="23" s="1"/>
  <c r="Q317" i="1"/>
  <c r="C318" i="1"/>
  <c r="T227" i="1"/>
  <c r="E228" i="1"/>
  <c r="R228" i="1" s="1"/>
  <c r="S227" i="1"/>
  <c r="V350" i="23" l="1"/>
  <c r="Y350" i="23" s="1"/>
  <c r="X350" i="23"/>
  <c r="D351" i="23"/>
  <c r="Q318" i="1"/>
  <c r="C319" i="1"/>
  <c r="E229" i="1"/>
  <c r="R229" i="1" s="1"/>
  <c r="T228" i="1"/>
  <c r="S228" i="1"/>
  <c r="D352" i="23" l="1"/>
  <c r="X351" i="23"/>
  <c r="V351" i="23"/>
  <c r="Y351" i="23" s="1"/>
  <c r="C320" i="1"/>
  <c r="Q319" i="1"/>
  <c r="T229" i="1"/>
  <c r="E230" i="1"/>
  <c r="R230" i="1" s="1"/>
  <c r="S229" i="1"/>
  <c r="V352" i="23" l="1"/>
  <c r="Y352" i="23" s="1"/>
  <c r="D353" i="23"/>
  <c r="X352" i="23"/>
  <c r="Q320" i="1"/>
  <c r="C321" i="1"/>
  <c r="E231" i="1"/>
  <c r="R231" i="1" s="1"/>
  <c r="T230" i="1"/>
  <c r="S230" i="1"/>
  <c r="D354" i="23" l="1"/>
  <c r="X353" i="23"/>
  <c r="V353" i="23"/>
  <c r="Y353" i="23" s="1"/>
  <c r="Q321" i="1"/>
  <c r="C322" i="1"/>
  <c r="T231" i="1"/>
  <c r="E232" i="1"/>
  <c r="R232" i="1" s="1"/>
  <c r="S231" i="1"/>
  <c r="V354" i="23" l="1"/>
  <c r="Y354" i="23" s="1"/>
  <c r="X354" i="23"/>
  <c r="D355" i="23"/>
  <c r="C323" i="1"/>
  <c r="Q322" i="1"/>
  <c r="E233" i="1"/>
  <c r="R233" i="1" s="1"/>
  <c r="T232" i="1"/>
  <c r="S232" i="1"/>
  <c r="D356" i="23" l="1"/>
  <c r="X355" i="23"/>
  <c r="V355" i="23"/>
  <c r="Y355" i="23" s="1"/>
  <c r="C324" i="1"/>
  <c r="Q323" i="1"/>
  <c r="T233" i="1"/>
  <c r="E234" i="1"/>
  <c r="R234" i="1" s="1"/>
  <c r="S233" i="1"/>
  <c r="V356" i="23" l="1"/>
  <c r="Y356" i="23" s="1"/>
  <c r="D357" i="23"/>
  <c r="X356" i="23"/>
  <c r="Q324" i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D358" i="23" l="1"/>
  <c r="X357" i="23"/>
  <c r="V357" i="23"/>
  <c r="Y357" i="23" s="1"/>
  <c r="C332" i="1"/>
  <c r="E236" i="1"/>
  <c r="R236" i="1" s="1"/>
  <c r="T235" i="1"/>
  <c r="S235" i="1"/>
  <c r="D359" i="23" l="1"/>
  <c r="V358" i="23"/>
  <c r="Y358" i="23" s="1"/>
  <c r="X358" i="23"/>
  <c r="C333" i="1"/>
  <c r="T236" i="1"/>
  <c r="E237" i="1"/>
  <c r="R237" i="1" s="1"/>
  <c r="S236" i="1"/>
  <c r="D360" i="23" l="1"/>
  <c r="V359" i="23"/>
  <c r="Y359" i="23" s="1"/>
  <c r="X359" i="23"/>
  <c r="C334" i="1"/>
  <c r="E238" i="1"/>
  <c r="R238" i="1" s="1"/>
  <c r="T237" i="1"/>
  <c r="S237" i="1"/>
  <c r="D361" i="23" l="1"/>
  <c r="V360" i="23"/>
  <c r="Y360" i="23" s="1"/>
  <c r="X360" i="23"/>
  <c r="C335" i="1"/>
  <c r="C336" i="1" s="1"/>
  <c r="E239" i="1"/>
  <c r="R239" i="1" s="1"/>
  <c r="T238" i="1"/>
  <c r="S238" i="1"/>
  <c r="D362" i="23" l="1"/>
  <c r="V361" i="23"/>
  <c r="Y361" i="23" s="1"/>
  <c r="X361" i="23"/>
  <c r="C337" i="1"/>
  <c r="E240" i="1"/>
  <c r="R240" i="1" s="1"/>
  <c r="T239" i="1"/>
  <c r="S239" i="1"/>
  <c r="D363" i="23" l="1"/>
  <c r="V362" i="23"/>
  <c r="Y362" i="23" s="1"/>
  <c r="X362" i="23"/>
  <c r="C338" i="1"/>
  <c r="E241" i="1"/>
  <c r="R241" i="1" s="1"/>
  <c r="T240" i="1"/>
  <c r="S240" i="1"/>
  <c r="X363" i="23" l="1"/>
  <c r="D364" i="23"/>
  <c r="V363" i="23"/>
  <c r="Y363" i="23" s="1"/>
  <c r="C339" i="1"/>
  <c r="E242" i="1"/>
  <c r="R242" i="1" s="1"/>
  <c r="T241" i="1"/>
  <c r="S241" i="1"/>
  <c r="X364" i="23" l="1"/>
  <c r="D365" i="23"/>
  <c r="V364" i="23"/>
  <c r="Y364" i="23" s="1"/>
  <c r="C340" i="1"/>
  <c r="E243" i="1"/>
  <c r="R243" i="1" s="1"/>
  <c r="T242" i="1"/>
  <c r="S242" i="1"/>
  <c r="X365" i="23" l="1"/>
  <c r="D366" i="23"/>
  <c r="V365" i="23"/>
  <c r="Y365" i="23" s="1"/>
  <c r="C341" i="1"/>
  <c r="E244" i="1"/>
  <c r="R244" i="1" s="1"/>
  <c r="T243" i="1"/>
  <c r="S243" i="1"/>
  <c r="X366" i="23" l="1"/>
  <c r="D367" i="23"/>
  <c r="V366" i="23"/>
  <c r="Y366" i="23" s="1"/>
  <c r="C342" i="1"/>
  <c r="E245" i="1"/>
  <c r="R245" i="1" s="1"/>
  <c r="T244" i="1"/>
  <c r="S244" i="1"/>
  <c r="X367" i="23" l="1"/>
  <c r="D368" i="23"/>
  <c r="V367" i="23"/>
  <c r="Y367" i="23" s="1"/>
  <c r="C343" i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E246" i="1"/>
  <c r="T245" i="1"/>
  <c r="S245" i="1"/>
  <c r="X368" i="23" l="1"/>
  <c r="D369" i="23"/>
  <c r="V368" i="23"/>
  <c r="Y368" i="23" s="1"/>
  <c r="C362" i="1"/>
  <c r="E247" i="1"/>
  <c r="R246" i="1"/>
  <c r="X369" i="23" l="1"/>
  <c r="D370" i="23"/>
  <c r="V369" i="23"/>
  <c r="Y369" i="23" s="1"/>
  <c r="C363" i="1"/>
  <c r="E248" i="1"/>
  <c r="R247" i="1"/>
  <c r="D371" i="23" l="1"/>
  <c r="V370" i="23"/>
  <c r="Y370" i="23" s="1"/>
  <c r="X370" i="23"/>
  <c r="C364" i="1"/>
  <c r="E249" i="1"/>
  <c r="R248" i="1"/>
  <c r="X371" i="23" l="1"/>
  <c r="V371" i="23"/>
  <c r="Y371" i="23" s="1"/>
  <c r="D372" i="23"/>
  <c r="C365" i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E250" i="1"/>
  <c r="R249" i="1"/>
  <c r="D373" i="23" l="1"/>
  <c r="V372" i="23"/>
  <c r="Y372" i="23" s="1"/>
  <c r="X372" i="23"/>
  <c r="C382" i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E251" i="1"/>
  <c r="R250" i="1"/>
  <c r="V373" i="23" l="1"/>
  <c r="Y373" i="23" s="1"/>
  <c r="X373" i="23"/>
  <c r="D374" i="23"/>
  <c r="C397" i="1"/>
  <c r="E252" i="1"/>
  <c r="R251" i="1"/>
  <c r="D375" i="23" l="1"/>
  <c r="V374" i="23"/>
  <c r="Y374" i="23" s="1"/>
  <c r="X374" i="23"/>
  <c r="C398" i="1"/>
  <c r="E253" i="1"/>
  <c r="R252" i="1"/>
  <c r="X375" i="23" l="1"/>
  <c r="V375" i="23"/>
  <c r="Y375" i="23" s="1"/>
  <c r="D376" i="23"/>
  <c r="E254" i="1"/>
  <c r="R253" i="1"/>
  <c r="D377" i="23" l="1"/>
  <c r="X376" i="23"/>
  <c r="V376" i="23"/>
  <c r="Y376" i="23" s="1"/>
  <c r="E255" i="1"/>
  <c r="R254" i="1"/>
  <c r="V377" i="23" l="1"/>
  <c r="Y377" i="23" s="1"/>
  <c r="X377" i="23"/>
  <c r="D378" i="23"/>
  <c r="E256" i="1"/>
  <c r="R255" i="1"/>
  <c r="X378" i="23" l="1"/>
  <c r="D379" i="23"/>
  <c r="V378" i="23"/>
  <c r="Y378" i="23" s="1"/>
  <c r="E257" i="1"/>
  <c r="R256" i="1"/>
  <c r="D380" i="23" l="1"/>
  <c r="X379" i="23"/>
  <c r="V379" i="23"/>
  <c r="Y379" i="23" s="1"/>
  <c r="E258" i="1"/>
  <c r="R257" i="1"/>
  <c r="V380" i="23" l="1"/>
  <c r="Y380" i="23" s="1"/>
  <c r="X380" i="23"/>
  <c r="D381" i="23"/>
  <c r="E259" i="1"/>
  <c r="R258" i="1"/>
  <c r="D7063" i="3"/>
  <c r="D382" i="23" l="1"/>
  <c r="X381" i="23"/>
  <c r="V381" i="23"/>
  <c r="Y381" i="23" s="1"/>
  <c r="E260" i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D8120" i="3" s="1"/>
  <c r="D8144" i="3" s="1"/>
  <c r="D8168" i="3" s="1"/>
  <c r="D8192" i="3" s="1"/>
  <c r="D8216" i="3" s="1"/>
  <c r="D8240" i="3" s="1"/>
  <c r="D8264" i="3" s="1"/>
  <c r="D8288" i="3" s="1"/>
  <c r="D8312" i="3" s="1"/>
  <c r="D8336" i="3" s="1"/>
  <c r="D8360" i="3" s="1"/>
  <c r="D8384" i="3" s="1"/>
  <c r="D8408" i="3" s="1"/>
  <c r="D8432" i="3" s="1"/>
  <c r="D8456" i="3" s="1"/>
  <c r="D8480" i="3" s="1"/>
  <c r="D8504" i="3" s="1"/>
  <c r="D8528" i="3" s="1"/>
  <c r="D8552" i="3" s="1"/>
  <c r="D8576" i="3" s="1"/>
  <c r="D8600" i="3" s="1"/>
  <c r="D8624" i="3" s="1"/>
  <c r="D8648" i="3" s="1"/>
  <c r="D8672" i="3" s="1"/>
  <c r="D8696" i="3" s="1"/>
  <c r="D8720" i="3" s="1"/>
  <c r="D8744" i="3" s="1"/>
  <c r="D8768" i="3" s="1"/>
  <c r="D8792" i="3" s="1"/>
  <c r="D8816" i="3" s="1"/>
  <c r="D8840" i="3" s="1"/>
  <c r="D8864" i="3" s="1"/>
  <c r="D8888" i="3" s="1"/>
  <c r="D8912" i="3" s="1"/>
  <c r="D8936" i="3" s="1"/>
  <c r="D8960" i="3" s="1"/>
  <c r="D8984" i="3" s="1"/>
  <c r="D9008" i="3" s="1"/>
  <c r="D9032" i="3" s="1"/>
  <c r="D9056" i="3" s="1"/>
  <c r="D9080" i="3" s="1"/>
  <c r="D9104" i="3" s="1"/>
  <c r="D9128" i="3" s="1"/>
  <c r="D9152" i="3" s="1"/>
  <c r="D9176" i="3" s="1"/>
  <c r="D9200" i="3" s="1"/>
  <c r="D9224" i="3" s="1"/>
  <c r="D9248" i="3" s="1"/>
  <c r="D9272" i="3" s="1"/>
  <c r="D9296" i="3" s="1"/>
  <c r="D9320" i="3" s="1"/>
  <c r="D9344" i="3" s="1"/>
  <c r="D9368" i="3" s="1"/>
  <c r="D9392" i="3" s="1"/>
  <c r="D9416" i="3" s="1"/>
  <c r="D9440" i="3" s="1"/>
  <c r="D9464" i="3" s="1"/>
  <c r="D9488" i="3" s="1"/>
  <c r="D9512" i="3" s="1"/>
  <c r="D9536" i="3" s="1"/>
  <c r="D9560" i="3" s="1"/>
  <c r="X382" i="23" l="1"/>
  <c r="D383" i="23"/>
  <c r="V382" i="23"/>
  <c r="Y382" i="23" s="1"/>
  <c r="E261" i="1"/>
  <c r="R260" i="1"/>
  <c r="D384" i="23" l="1"/>
  <c r="V383" i="23"/>
  <c r="Y383" i="23" s="1"/>
  <c r="X383" i="23"/>
  <c r="E262" i="1"/>
  <c r="R261" i="1"/>
  <c r="D385" i="23" l="1"/>
  <c r="V384" i="23"/>
  <c r="Y384" i="23" s="1"/>
  <c r="X384" i="23"/>
  <c r="E263" i="1"/>
  <c r="R262" i="1"/>
  <c r="V385" i="23" l="1"/>
  <c r="Y385" i="23" s="1"/>
  <c r="X385" i="23"/>
  <c r="D386" i="23"/>
  <c r="E264" i="1"/>
  <c r="R263" i="1"/>
  <c r="X386" i="23" l="1"/>
  <c r="D387" i="23"/>
  <c r="V386" i="23"/>
  <c r="Y386" i="23" s="1"/>
  <c r="E265" i="1"/>
  <c r="R264" i="1"/>
  <c r="X387" i="23" l="1"/>
  <c r="D388" i="23"/>
  <c r="V387" i="23"/>
  <c r="Y387" i="23" s="1"/>
  <c r="E266" i="1"/>
  <c r="R265" i="1"/>
  <c r="D389" i="23" l="1"/>
  <c r="V388" i="23"/>
  <c r="Y388" i="23" s="1"/>
  <c r="X388" i="23"/>
  <c r="E267" i="1"/>
  <c r="R266" i="1"/>
  <c r="D390" i="23" l="1"/>
  <c r="V389" i="23"/>
  <c r="Y389" i="23" s="1"/>
  <c r="X389" i="23"/>
  <c r="E268" i="1"/>
  <c r="R267" i="1"/>
  <c r="V390" i="23" l="1"/>
  <c r="Y390" i="23" s="1"/>
  <c r="D391" i="23"/>
  <c r="X390" i="23"/>
  <c r="E269" i="1"/>
  <c r="R268" i="1"/>
  <c r="X391" i="23" l="1"/>
  <c r="V391" i="23"/>
  <c r="Y391" i="23" s="1"/>
  <c r="D392" i="23"/>
  <c r="E270" i="1"/>
  <c r="R269" i="1"/>
  <c r="X392" i="23" l="1"/>
  <c r="D393" i="23"/>
  <c r="V392" i="23"/>
  <c r="Y392" i="23" s="1"/>
  <c r="E271" i="1"/>
  <c r="R270" i="1"/>
  <c r="D394" i="23" l="1"/>
  <c r="V393" i="23"/>
  <c r="Y393" i="23" s="1"/>
  <c r="X393" i="23"/>
  <c r="E272" i="1"/>
  <c r="R271" i="1"/>
  <c r="V394" i="23" l="1"/>
  <c r="Y394" i="23" s="1"/>
  <c r="X394" i="23"/>
  <c r="D395" i="23"/>
  <c r="E273" i="1"/>
  <c r="R272" i="1"/>
  <c r="V395" i="23" l="1"/>
  <c r="Y395" i="23" s="1"/>
  <c r="X395" i="23"/>
  <c r="D396" i="23"/>
  <c r="E274" i="1"/>
  <c r="R273" i="1"/>
  <c r="V396" i="23" l="1"/>
  <c r="Y396" i="23" s="1"/>
  <c r="X396" i="23"/>
  <c r="D397" i="23"/>
  <c r="E275" i="1"/>
  <c r="R274" i="1"/>
  <c r="V397" i="23" l="1"/>
  <c r="Y397" i="23" s="1"/>
  <c r="D398" i="23"/>
  <c r="X397" i="23"/>
  <c r="E276" i="1"/>
  <c r="R275" i="1"/>
  <c r="V398" i="23" l="1"/>
  <c r="Y398" i="23" s="1"/>
  <c r="X398" i="23"/>
  <c r="D399" i="23"/>
  <c r="E277" i="1"/>
  <c r="R276" i="1"/>
  <c r="X399" i="23" l="1"/>
  <c r="D400" i="23"/>
  <c r="V399" i="23"/>
  <c r="Y399" i="23" s="1"/>
  <c r="E278" i="1"/>
  <c r="R277" i="1"/>
  <c r="X400" i="23" l="1"/>
  <c r="D401" i="23"/>
  <c r="V400" i="23"/>
  <c r="Y400" i="23" s="1"/>
  <c r="T278" i="1"/>
  <c r="R278" i="1"/>
  <c r="E279" i="1"/>
  <c r="V401" i="23" l="1"/>
  <c r="Y401" i="23" s="1"/>
  <c r="X401" i="23"/>
  <c r="D402" i="23"/>
  <c r="T279" i="1"/>
  <c r="R279" i="1"/>
  <c r="E280" i="1"/>
  <c r="R402" i="23" l="1"/>
  <c r="V402" i="23"/>
  <c r="Y402" i="23" s="1"/>
  <c r="D403" i="23"/>
  <c r="X402" i="23"/>
  <c r="T402" i="23"/>
  <c r="R280" i="1"/>
  <c r="E281" i="1"/>
  <c r="T280" i="1"/>
  <c r="V403" i="23" l="1"/>
  <c r="Y403" i="23" s="1"/>
  <c r="D404" i="23"/>
  <c r="X403" i="23"/>
  <c r="R281" i="1"/>
  <c r="E282" i="1"/>
  <c r="T281" i="1"/>
  <c r="D405" i="23" l="1"/>
  <c r="V404" i="23"/>
  <c r="Y404" i="23" s="1"/>
  <c r="X404" i="23"/>
  <c r="R282" i="1"/>
  <c r="T282" i="1"/>
  <c r="E283" i="1"/>
  <c r="X405" i="23" l="1"/>
  <c r="V405" i="23"/>
  <c r="R283" i="1"/>
  <c r="E284" i="1"/>
  <c r="T283" i="1"/>
  <c r="Y405" i="23" l="1"/>
  <c r="R284" i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E344" i="1" s="1"/>
  <c r="R342" i="1"/>
  <c r="T342" i="1"/>
  <c r="E345" i="1" l="1"/>
  <c r="T344" i="1"/>
  <c r="R344" i="1"/>
  <c r="R343" i="1"/>
  <c r="T343" i="1"/>
  <c r="E346" i="1" l="1"/>
  <c r="R345" i="1"/>
  <c r="T345" i="1"/>
  <c r="E347" i="1" l="1"/>
  <c r="E348" i="1" s="1"/>
  <c r="R346" i="1"/>
  <c r="T346" i="1"/>
  <c r="E349" i="1" l="1"/>
  <c r="T348" i="1"/>
  <c r="R348" i="1"/>
  <c r="R347" i="1"/>
  <c r="T347" i="1"/>
  <c r="R349" i="1" l="1"/>
  <c r="E350" i="1"/>
  <c r="T349" i="1"/>
  <c r="E351" i="1" l="1"/>
  <c r="R350" i="1"/>
  <c r="T350" i="1"/>
  <c r="E352" i="1" l="1"/>
  <c r="R351" i="1"/>
  <c r="T351" i="1"/>
  <c r="E353" i="1" l="1"/>
  <c r="T352" i="1"/>
  <c r="R352" i="1"/>
  <c r="E354" i="1" l="1"/>
  <c r="E355" i="1" s="1"/>
  <c r="R353" i="1"/>
  <c r="T353" i="1"/>
  <c r="R355" i="1" l="1"/>
  <c r="E356" i="1"/>
  <c r="T355" i="1"/>
  <c r="T354" i="1"/>
  <c r="R354" i="1"/>
  <c r="E357" i="1" l="1"/>
  <c r="E358" i="1" s="1"/>
  <c r="E359" i="1" s="1"/>
  <c r="E360" i="1" s="1"/>
  <c r="E361" i="1" s="1"/>
  <c r="R356" i="1"/>
  <c r="T356" i="1"/>
  <c r="E362" i="1" l="1"/>
  <c r="R361" i="1"/>
  <c r="T361" i="1"/>
  <c r="R360" i="1"/>
  <c r="T360" i="1"/>
  <c r="R359" i="1"/>
  <c r="T359" i="1"/>
  <c r="R358" i="1"/>
  <c r="T358" i="1"/>
  <c r="T357" i="1"/>
  <c r="R357" i="1"/>
  <c r="E363" i="1" l="1"/>
  <c r="R362" i="1"/>
  <c r="T362" i="1"/>
  <c r="E364" i="1" l="1"/>
  <c r="R363" i="1"/>
  <c r="T363" i="1"/>
  <c r="E365" i="1" l="1"/>
  <c r="E366" i="1" s="1"/>
  <c r="T364" i="1"/>
  <c r="R364" i="1"/>
  <c r="R366" i="1" l="1"/>
  <c r="T366" i="1"/>
  <c r="E367" i="1"/>
  <c r="E368" i="1" s="1"/>
  <c r="R365" i="1"/>
  <c r="T365" i="1"/>
  <c r="E369" i="1" l="1"/>
  <c r="R368" i="1"/>
  <c r="T368" i="1"/>
  <c r="R367" i="1"/>
  <c r="T367" i="1"/>
  <c r="E370" i="1" l="1"/>
  <c r="T369" i="1"/>
  <c r="R369" i="1"/>
  <c r="R370" i="1" l="1"/>
  <c r="E371" i="1"/>
  <c r="T370" i="1"/>
  <c r="R371" i="1" l="1"/>
  <c r="T371" i="1"/>
  <c r="E372" i="1"/>
  <c r="E373" i="1" l="1"/>
  <c r="T372" i="1"/>
  <c r="R372" i="1"/>
  <c r="E374" i="1" l="1"/>
  <c r="T373" i="1"/>
  <c r="R373" i="1"/>
  <c r="E375" i="1" l="1"/>
  <c r="T374" i="1"/>
  <c r="R374" i="1"/>
  <c r="R375" i="1" l="1"/>
  <c r="E376" i="1"/>
  <c r="T375" i="1"/>
  <c r="E377" i="1" l="1"/>
  <c r="T376" i="1"/>
  <c r="R376" i="1"/>
  <c r="E378" i="1" l="1"/>
  <c r="T378" i="1" s="1"/>
  <c r="T377" i="1"/>
  <c r="R377" i="1"/>
  <c r="E379" i="1" l="1"/>
  <c r="R378" i="1"/>
  <c r="E380" i="1" l="1"/>
  <c r="E381" i="1" s="1"/>
  <c r="T379" i="1"/>
  <c r="R379" i="1"/>
  <c r="E382" i="1" l="1"/>
  <c r="R381" i="1"/>
  <c r="T381" i="1"/>
  <c r="T380" i="1"/>
  <c r="R380" i="1"/>
  <c r="R382" i="1" l="1"/>
  <c r="E383" i="1"/>
  <c r="E384" i="1" s="1"/>
  <c r="E385" i="1" s="1"/>
  <c r="T382" i="1"/>
  <c r="T385" i="1" l="1"/>
  <c r="E386" i="1"/>
  <c r="R385" i="1"/>
  <c r="R384" i="1"/>
  <c r="T384" i="1"/>
  <c r="T383" i="1"/>
  <c r="R383" i="1"/>
  <c r="R386" i="1" l="1"/>
  <c r="E387" i="1"/>
  <c r="E388" i="1" s="1"/>
  <c r="T386" i="1"/>
  <c r="E389" i="1" l="1"/>
  <c r="R388" i="1"/>
  <c r="T388" i="1"/>
  <c r="R387" i="1"/>
  <c r="T387" i="1"/>
  <c r="E390" i="1" l="1"/>
  <c r="T389" i="1"/>
  <c r="R389" i="1"/>
  <c r="E391" i="1" l="1"/>
  <c r="E392" i="1" s="1"/>
  <c r="R390" i="1"/>
  <c r="T390" i="1"/>
  <c r="E393" i="1" l="1"/>
  <c r="E394" i="1" s="1"/>
  <c r="T392" i="1"/>
  <c r="R392" i="1"/>
  <c r="R391" i="1"/>
  <c r="T391" i="1"/>
  <c r="E395" i="1" l="1"/>
  <c r="E396" i="1" s="1"/>
  <c r="R394" i="1"/>
  <c r="T394" i="1"/>
  <c r="R393" i="1"/>
  <c r="T393" i="1"/>
  <c r="E397" i="1" l="1"/>
  <c r="R396" i="1"/>
  <c r="T396" i="1"/>
  <c r="T395" i="1"/>
  <c r="R395" i="1"/>
  <c r="E398" i="1" l="1"/>
  <c r="E399" i="1" s="1"/>
  <c r="R397" i="1"/>
  <c r="T397" i="1"/>
  <c r="E400" i="1" l="1"/>
  <c r="T399" i="1"/>
  <c r="R399" i="1"/>
  <c r="R398" i="1"/>
  <c r="T398" i="1"/>
  <c r="E401" i="1" l="1"/>
  <c r="T400" i="1"/>
  <c r="R400" i="1"/>
  <c r="E402" i="1" l="1"/>
  <c r="R401" i="1"/>
  <c r="T401" i="1"/>
  <c r="R402" i="1" l="1"/>
  <c r="T402" i="1"/>
</calcChain>
</file>

<file path=xl/sharedStrings.xml><?xml version="1.0" encoding="utf-8"?>
<sst xmlns="http://schemas.openxmlformats.org/spreadsheetml/2006/main" count="10370" uniqueCount="270">
  <si>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</si>
  <si>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</si>
  <si>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</si>
  <si>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</si>
  <si>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</si>
  <si>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</si>
  <si>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</si>
  <si>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</si>
  <si>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</si>
  <si>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</si>
  <si>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</si>
  <si>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</si>
  <si>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</si>
  <si>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</si>
  <si>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</si>
  <si>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Ciudad de Buenos Aires</t>
  </si>
  <si>
    <t>Chaco</t>
  </si>
  <si>
    <t>Buenos Aires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</si>
  <si>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</si>
  <si>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</si>
  <si>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</si>
  <si>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</si>
  <si>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</si>
  <si>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</si>
  <si>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</si>
  <si>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</si>
  <si>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</si>
  <si>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</si>
  <si>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</si>
  <si>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</si>
  <si>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</si>
  <si>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</si>
  <si>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</si>
  <si>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</si>
  <si>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</si>
  <si>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</si>
  <si>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</si>
  <si>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</si>
  <si>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</si>
  <si>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</si>
  <si>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</si>
  <si>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</si>
  <si>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</si>
  <si>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</si>
  <si>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</si>
  <si>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</si>
  <si>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</si>
  <si>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</si>
  <si>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</si>
  <si>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</si>
  <si>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</si>
  <si>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</si>
  <si>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</si>
  <si>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</si>
  <si>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</si>
  <si>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</si>
  <si>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</si>
  <si>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</si>
  <si>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</si>
  <si>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</si>
  <si>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</si>
  <si>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</si>
  <si>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</si>
  <si>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</si>
  <si>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</si>
  <si>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</si>
  <si>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</si>
  <si>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</si>
  <si>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</si>
  <si>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</si>
  <si>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</si>
  <si>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</si>
  <si>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</si>
  <si>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</si>
  <si>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</si>
  <si>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</si>
  <si>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</si>
  <si>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</si>
  <si>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</si>
  <si>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</si>
  <si>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</si>
  <si>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</si>
  <si>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</si>
  <si>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</si>
  <si>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</si>
  <si>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</si>
  <si>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</si>
  <si>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</si>
  <si>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</si>
  <si>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</si>
  <si>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</si>
  <si>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</si>
  <si>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</si>
  <si>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</si>
  <si>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</si>
  <si>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</si>
  <si>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</si>
  <si>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</si>
  <si>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</si>
  <si>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</si>
  <si>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</si>
  <si>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</si>
  <si>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</si>
  <si>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</si>
  <si>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Tres de Febrero</t>
  </si>
  <si>
    <t>Exaltación de La Cruz</t>
  </si>
  <si>
    <t>Lomas de Zamora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</si>
  <si>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</si>
  <si>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</si>
  <si>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</si>
  <si>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</si>
  <si>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</si>
  <si>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</si>
  <si>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</si>
  <si>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</si>
  <si>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</si>
  <si>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</si>
  <si>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</si>
  <si>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</si>
  <si>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</si>
  <si>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CANTIDAD</t>
  </si>
  <si>
    <t>% OCUPACION</t>
  </si>
  <si>
    <t>CAMAS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</si>
  <si>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</si>
  <si>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</si>
  <si>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</si>
  <si>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</si>
  <si>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</si>
  <si>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</si>
  <si>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</si>
  <si>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</si>
  <si>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</si>
  <si>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</si>
  <si>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</si>
  <si>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</si>
  <si>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</si>
  <si>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</si>
  <si>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>INCIDENCIA</t>
  </si>
  <si>
    <t>INDICADORES SANITARIOS POR PROVINCIA</t>
  </si>
  <si>
    <t>IA 7 días</t>
  </si>
  <si>
    <t>Incidencia diaria</t>
  </si>
  <si>
    <t>R² = 0,4065</t>
  </si>
  <si>
    <t>RAZÓN Crecimiento</t>
  </si>
  <si>
    <t>VACUNAS APLICADAS</t>
  </si>
  <si>
    <t>RAZON</t>
  </si>
  <si>
    <t>poblacion</t>
  </si>
  <si>
    <t>color</t>
  </si>
  <si>
    <t>AGRONOMIA</t>
  </si>
  <si>
    <t>13894.1518251863</t>
  </si>
  <si>
    <t>AMARILLO</t>
  </si>
  <si>
    <t>ALMAGRO</t>
  </si>
  <si>
    <t>132001.427042455</t>
  </si>
  <si>
    <t>BALVANERA</t>
  </si>
  <si>
    <t>139147.002326925</t>
  </si>
  <si>
    <t>BARRACAS</t>
  </si>
  <si>
    <t>89526.2626614223</t>
  </si>
  <si>
    <t>ROJO</t>
  </si>
  <si>
    <t>BELGRANO</t>
  </si>
  <si>
    <t>126828.725593814</t>
  </si>
  <si>
    <t>LA BOCA</t>
  </si>
  <si>
    <t>44893.3782267116</t>
  </si>
  <si>
    <t>BOEDO</t>
  </si>
  <si>
    <t>47365.620010644</t>
  </si>
  <si>
    <t>CABALLITO</t>
  </si>
  <si>
    <t>176606.318778843</t>
  </si>
  <si>
    <t>CHACARITA</t>
  </si>
  <si>
    <t>27538.2054773793</t>
  </si>
  <si>
    <t>COGHLAN</t>
  </si>
  <si>
    <t>18723.5428199284</t>
  </si>
  <si>
    <t>COLEGIALES</t>
  </si>
  <si>
    <t>52311.0264170683</t>
  </si>
  <si>
    <t>CONSTITUCION</t>
  </si>
  <si>
    <t>43967.7176623338</t>
  </si>
  <si>
    <t>FLORES</t>
  </si>
  <si>
    <t>164174.252275683</t>
  </si>
  <si>
    <t>FLORESTA</t>
  </si>
  <si>
    <t>37432.7911250255</t>
  </si>
  <si>
    <t>LINIERS</t>
  </si>
  <si>
    <t>44197.9374295866</t>
  </si>
  <si>
    <t>MATADEROS</t>
  </si>
  <si>
    <t>64254.1068072983</t>
  </si>
  <si>
    <t>MONSERRAT</t>
  </si>
  <si>
    <t>40367.7954698363</t>
  </si>
  <si>
    <t>MONTE CASTRO</t>
  </si>
  <si>
    <t>33746.4362599639</t>
  </si>
  <si>
    <t>NUEVA POMPEYA</t>
  </si>
  <si>
    <t>42232.8870927002</t>
  </si>
  <si>
    <t>NUÑEZ</t>
  </si>
  <si>
    <t>52495.9434952754</t>
  </si>
  <si>
    <t>PALERMO</t>
  </si>
  <si>
    <t>226069.246435845</t>
  </si>
  <si>
    <t>PARQUE AVELLANEDA</t>
  </si>
  <si>
    <t>53206.1739239553</t>
  </si>
  <si>
    <t>PARQUE CHACABUCO</t>
  </si>
  <si>
    <t>56258.1955078042</t>
  </si>
  <si>
    <t>PARQUE CHAS</t>
  </si>
  <si>
    <t>17581.2665993342</t>
  </si>
  <si>
    <t>PARQUE PATRICIOS</t>
  </si>
  <si>
    <t>PATERNAL</t>
  </si>
  <si>
    <t>PUERTO MADERO</t>
  </si>
  <si>
    <t>RECOLETA</t>
  </si>
  <si>
    <t>RETIRO</t>
  </si>
  <si>
    <t>SAAVEDRA</t>
  </si>
  <si>
    <t>SAN CRISTOBAL</t>
  </si>
  <si>
    <t>SAN NICOLAS</t>
  </si>
  <si>
    <t>SAN TELMO</t>
  </si>
  <si>
    <t>VELEZ SARSFIELD</t>
  </si>
  <si>
    <t>VERSALLES</t>
  </si>
  <si>
    <t>VILLA CRESPO</t>
  </si>
  <si>
    <t>VILLA DEL PARQUE</t>
  </si>
  <si>
    <t>VILLA DEVOTO</t>
  </si>
  <si>
    <t>VILLA GRAL. MITRE</t>
  </si>
  <si>
    <t>VILLA LUGANO</t>
  </si>
  <si>
    <t>VILLA LURO</t>
  </si>
  <si>
    <t>VILLA ORTUZAR</t>
  </si>
  <si>
    <t>VILLA PUEYRREDON</t>
  </si>
  <si>
    <t>VILLA REAL</t>
  </si>
  <si>
    <t>VILLA RIACHUELO</t>
  </si>
  <si>
    <t>VILLA SANTA RITA</t>
  </si>
  <si>
    <t>VILLA SOLDATI</t>
  </si>
  <si>
    <t>VILLA URQUIZA</t>
  </si>
  <si>
    <t>BARRIO</t>
  </si>
  <si>
    <t>RAZÓN</t>
  </si>
  <si>
    <t>Inc. Acum. 14 días</t>
  </si>
  <si>
    <t>Casos del 2/3 al 16/3</t>
  </si>
  <si>
    <t>Casos del 15/2 al 1/3</t>
  </si>
  <si>
    <t>18 a29</t>
  </si>
  <si>
    <t>30 a39</t>
  </si>
  <si>
    <t>40a49</t>
  </si>
  <si>
    <t>50a59</t>
  </si>
  <si>
    <t>60a69</t>
  </si>
  <si>
    <t>70a79</t>
  </si>
  <si>
    <t>80a89</t>
  </si>
  <si>
    <t>90-99</t>
  </si>
  <si>
    <t>mas de 100</t>
  </si>
  <si>
    <t>Total</t>
  </si>
  <si>
    <t>Neuquen</t>
  </si>
  <si>
    <t>Tierra del fuego</t>
  </si>
  <si>
    <t>Entre Ríos</t>
  </si>
  <si>
    <t>Río Negro</t>
  </si>
  <si>
    <t>Buenos Aires</t>
  </si>
  <si>
    <t>Tierra del Fuego</t>
  </si>
  <si>
    <t>San Juan</t>
  </si>
  <si>
    <t>Santiago del Estero</t>
  </si>
  <si>
    <t>La Pampa</t>
  </si>
  <si>
    <t>Santa Fe</t>
  </si>
  <si>
    <t>San Luis</t>
  </si>
  <si>
    <t>Santa Cruz</t>
  </si>
  <si>
    <t>La Rioja</t>
  </si>
  <si>
    <t>Mayores de 61</t>
  </si>
  <si>
    <t>Mayores de 60 Vacunados</t>
  </si>
  <si>
    <t>Población Mayores de 60</t>
  </si>
  <si>
    <t>% Mayores de 60</t>
  </si>
  <si>
    <t>CASOS TOTALES</t>
  </si>
  <si>
    <t>FALL. TOTALES</t>
  </si>
  <si>
    <t>TOTAL PAIS</t>
  </si>
  <si>
    <t>Letalidad en Mayores de 60</t>
  </si>
  <si>
    <t>% de población &gt; 60 que falleció</t>
  </si>
  <si>
    <t>MAXIMO</t>
  </si>
  <si>
    <t>HOY</t>
  </si>
  <si>
    <t>prom CASOS</t>
  </si>
  <si>
    <t>prom MUERTES</t>
  </si>
  <si>
    <t>prom UTI</t>
  </si>
  <si>
    <t>ACTIVOS</t>
  </si>
  <si>
    <t>ACTIVOS EN UTI</t>
  </si>
  <si>
    <t>CRECIMIENTO SEMANAL</t>
  </si>
  <si>
    <t>OCUP_GRAL</t>
  </si>
  <si>
    <t>OCUP_AMBA</t>
  </si>
  <si>
    <t>CRECIM DE ACTIVOS</t>
  </si>
  <si>
    <t>% MUERTES CASOS 15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</si>
</sst>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0.0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  <font>
      <sz val="9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E02F44"/>
      <name val="Arial"/>
      <family val="2"/>
    </font>
    <font>
      <sz val="9"/>
      <color rgb="FFFF780A"/>
      <name val="Arial"/>
      <family val="2"/>
    </font>
    <font>
      <sz val="9"/>
      <color rgb="FFF2CC0C"/>
      <name val="Arial"/>
      <family val="2"/>
    </font>
    <font>
      <sz val="10"/>
      <color rgb="FFE02F44"/>
      <name val="Arial"/>
      <family val="2"/>
    </font>
    <font>
      <sz val="10"/>
      <color rgb="FFF2CC0C"/>
      <name val="Arial"/>
      <family val="2"/>
    </font>
    <font>
      <sz val="10"/>
      <color rgb="FFFF780A"/>
      <name val="Arial"/>
      <family val="2"/>
    </font>
    <font>
      <sz val="6"/>
      <color rgb="FF333333"/>
      <name val="Arial"/>
      <family val="2"/>
    </font>
    <font>
      <sz val="6"/>
      <color rgb="FFE02F44"/>
      <name val="Arial"/>
      <family val="2"/>
    </font>
    <font>
      <sz val="6"/>
      <color rgb="FFF2CC0C"/>
      <name val="Arial"/>
      <family val="2"/>
    </font>
    <font>
      <sz val="6"/>
      <color rgb="FFFF780A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6"/>
      <color rgb="FF0083B3"/>
      <name val="Arial"/>
      <family val="2"/>
    </font>
    <font>
      <sz val="9"/>
      <color rgb="FF333333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2" fillId="0" borderId="0"/>
    <xf numFmtId="0" fontId="53" fillId="0" borderId="0"/>
  </cellStyleXfs>
  <cellXfs count="39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25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9" fontId="26" fillId="0" borderId="1" xfId="1" applyFont="1" applyBorder="1" applyAlignment="1">
      <alignment horizontal="center" vertical="center"/>
    </xf>
    <xf numFmtId="16" fontId="24" fillId="5" borderId="26" xfId="0" applyNumberFormat="1" applyFont="1" applyFill="1" applyBorder="1" applyAlignment="1">
      <alignment horizontal="center" vertical="center"/>
    </xf>
    <xf numFmtId="14" fontId="24" fillId="5" borderId="27" xfId="0" applyNumberFormat="1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25" fillId="5" borderId="29" xfId="0" applyFont="1" applyFill="1" applyBorder="1" applyAlignment="1">
      <alignment horizontal="left" vertical="center"/>
    </xf>
    <xf numFmtId="9" fontId="26" fillId="0" borderId="11" xfId="1" applyFont="1" applyBorder="1" applyAlignment="1">
      <alignment horizontal="center" vertical="center"/>
    </xf>
    <xf numFmtId="0" fontId="25" fillId="5" borderId="30" xfId="0" applyFont="1" applyFill="1" applyBorder="1" applyAlignment="1">
      <alignment horizontal="left" vertical="center"/>
    </xf>
    <xf numFmtId="0" fontId="25" fillId="5" borderId="31" xfId="0" applyFont="1" applyFill="1" applyBorder="1" applyAlignment="1">
      <alignment horizontal="left" vertical="center"/>
    </xf>
    <xf numFmtId="9" fontId="26" fillId="0" borderId="13" xfId="1" applyFont="1" applyBorder="1" applyAlignment="1">
      <alignment horizontal="center" vertical="center"/>
    </xf>
    <xf numFmtId="9" fontId="26" fillId="0" borderId="14" xfId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4" borderId="0" xfId="0" applyFont="1" applyFill="1"/>
    <xf numFmtId="0" fontId="23" fillId="4" borderId="0" xfId="0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28" fillId="0" borderId="11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8" fillId="0" borderId="14" xfId="1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5" xfId="0" applyFont="1" applyBorder="1"/>
    <xf numFmtId="0" fontId="3" fillId="0" borderId="6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2" fillId="0" borderId="35" xfId="0" applyFont="1" applyBorder="1" applyAlignment="1">
      <alignment horizontal="center" vertical="center" wrapText="1"/>
    </xf>
    <xf numFmtId="14" fontId="33" fillId="0" borderId="1" xfId="0" applyNumberFormat="1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/>
    </xf>
    <xf numFmtId="164" fontId="0" fillId="0" borderId="0" xfId="1" applyNumberFormat="1" applyFont="1"/>
    <xf numFmtId="14" fontId="33" fillId="0" borderId="5" xfId="0" applyNumberFormat="1" applyFont="1" applyFill="1" applyBorder="1" applyAlignment="1">
      <alignment horizontal="center" vertical="center"/>
    </xf>
    <xf numFmtId="14" fontId="33" fillId="0" borderId="3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3" fillId="0" borderId="37" xfId="0" applyFont="1" applyBorder="1"/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14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/>
    </xf>
    <xf numFmtId="0" fontId="0" fillId="41" borderId="36" xfId="0" applyFill="1" applyBorder="1" applyAlignment="1">
      <alignment horizontal="center"/>
    </xf>
    <xf numFmtId="0" fontId="2" fillId="0" borderId="36" xfId="0" applyFont="1" applyBorder="1" applyAlignment="1">
      <alignment horizontal="center" wrapText="1"/>
    </xf>
    <xf numFmtId="9" fontId="0" fillId="0" borderId="0" xfId="0" applyNumberFormat="1"/>
    <xf numFmtId="0" fontId="3" fillId="0" borderId="51" xfId="0" applyFont="1" applyBorder="1"/>
    <xf numFmtId="14" fontId="33" fillId="0" borderId="52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2" fillId="0" borderId="52" xfId="0" applyFont="1" applyBorder="1" applyAlignment="1">
      <alignment horizontal="center" wrapText="1"/>
    </xf>
    <xf numFmtId="164" fontId="0" fillId="0" borderId="52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3" fillId="0" borderId="55" xfId="0" applyFont="1" applyBorder="1"/>
    <xf numFmtId="0" fontId="2" fillId="0" borderId="36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3" fillId="42" borderId="1" xfId="0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4" fontId="33" fillId="43" borderId="1" xfId="0" applyNumberFormat="1" applyFont="1" applyFill="1" applyBorder="1" applyAlignment="1">
      <alignment horizontal="center" vertical="center"/>
    </xf>
    <xf numFmtId="14" fontId="33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3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3" fontId="1" fillId="0" borderId="57" xfId="43" applyNumberFormat="1" applyFont="1" applyBorder="1" applyAlignment="1">
      <alignment horizontal="center" vertical="center"/>
    </xf>
    <xf numFmtId="14" fontId="33" fillId="42" borderId="58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/>
    </xf>
    <xf numFmtId="14" fontId="33" fillId="42" borderId="5" xfId="0" applyNumberFormat="1" applyFont="1" applyFill="1" applyBorder="1" applyAlignment="1">
      <alignment horizontal="center" vertical="center"/>
    </xf>
    <xf numFmtId="1" fontId="0" fillId="0" borderId="59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3" fontId="1" fillId="0" borderId="58" xfId="43" applyNumberFormat="1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3" fillId="4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3" fillId="4" borderId="62" xfId="0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0" fillId="0" borderId="1" xfId="43" applyNumberFormat="1" applyFont="1" applyBorder="1" applyAlignment="1">
      <alignment horizontal="center"/>
    </xf>
    <xf numFmtId="165" fontId="31" fillId="0" borderId="1" xfId="43" applyNumberFormat="1" applyFont="1" applyBorder="1" applyAlignment="1">
      <alignment horizontal="center"/>
    </xf>
    <xf numFmtId="165" fontId="0" fillId="0" borderId="36" xfId="43" applyNumberFormat="1" applyFont="1" applyBorder="1" applyAlignment="1">
      <alignment horizontal="center"/>
    </xf>
    <xf numFmtId="165" fontId="0" fillId="0" borderId="52" xfId="43" applyNumberFormat="1" applyFont="1" applyBorder="1" applyAlignment="1">
      <alignment horizontal="center"/>
    </xf>
    <xf numFmtId="165" fontId="29" fillId="0" borderId="1" xfId="43" applyNumberFormat="1" applyFont="1" applyBorder="1" applyAlignment="1">
      <alignment horizontal="center"/>
    </xf>
    <xf numFmtId="165" fontId="0" fillId="0" borderId="58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2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2" fillId="0" borderId="1" xfId="43" applyNumberFormat="1" applyFont="1" applyBorder="1" applyAlignment="1">
      <alignment horizontal="center" vertical="center"/>
    </xf>
    <xf numFmtId="165" fontId="29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2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1" xfId="43" applyNumberFormat="1" applyFont="1" applyBorder="1" applyAlignment="1">
      <alignment horizontal="center"/>
    </xf>
    <xf numFmtId="165" fontId="3" fillId="0" borderId="62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34" fillId="0" borderId="9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6" fillId="3" borderId="64" xfId="0" applyFont="1" applyFill="1" applyBorder="1" applyAlignment="1">
      <alignment horizontal="center" vertical="center" wrapText="1"/>
    </xf>
    <xf numFmtId="0" fontId="36" fillId="3" borderId="65" xfId="0" applyFont="1" applyFill="1" applyBorder="1" applyAlignment="1">
      <alignment horizontal="center" vertical="center" wrapText="1"/>
    </xf>
    <xf numFmtId="0" fontId="37" fillId="3" borderId="65" xfId="0" applyFont="1" applyFill="1" applyBorder="1" applyAlignment="1">
      <alignment horizontal="center" vertical="center" wrapText="1"/>
    </xf>
    <xf numFmtId="0" fontId="38" fillId="3" borderId="65" xfId="0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vertical="center"/>
    </xf>
    <xf numFmtId="9" fontId="28" fillId="0" borderId="2" xfId="1" applyFont="1" applyBorder="1" applyAlignment="1">
      <alignment horizontal="center" vertical="center"/>
    </xf>
    <xf numFmtId="9" fontId="28" fillId="0" borderId="67" xfId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65" fontId="31" fillId="4" borderId="1" xfId="43" applyNumberFormat="1" applyFont="1" applyFill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3" fillId="0" borderId="60" xfId="0" applyFont="1" applyBorder="1" applyAlignment="1">
      <alignment horizontal="center"/>
    </xf>
    <xf numFmtId="166" fontId="34" fillId="0" borderId="5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4" fillId="0" borderId="8" xfId="0" applyNumberFormat="1" applyFont="1" applyBorder="1" applyAlignment="1">
      <alignment horizontal="center" vertical="center"/>
    </xf>
    <xf numFmtId="166" fontId="34" fillId="0" borderId="11" xfId="0" applyNumberFormat="1" applyFont="1" applyBorder="1" applyAlignment="1">
      <alignment horizontal="center" vertical="center"/>
    </xf>
    <xf numFmtId="14" fontId="0" fillId="0" borderId="69" xfId="0" applyNumberForma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40" fillId="0" borderId="0" xfId="0" applyFont="1" applyAlignment="1">
      <alignment horizontal="center" vertical="center" readingOrder="1"/>
    </xf>
    <xf numFmtId="14" fontId="41" fillId="4" borderId="1" xfId="0" applyNumberFormat="1" applyFont="1" applyFill="1" applyBorder="1" applyAlignment="1">
      <alignment horizontal="center" vertical="center"/>
    </xf>
    <xf numFmtId="165" fontId="1" fillId="0" borderId="1" xfId="43" applyNumberFormat="1" applyFont="1" applyBorder="1" applyAlignment="1">
      <alignment horizontal="center"/>
    </xf>
    <xf numFmtId="165" fontId="3" fillId="2" borderId="1" xfId="43" applyNumberFormat="1" applyFont="1" applyFill="1" applyBorder="1" applyAlignment="1">
      <alignment horizontal="center"/>
    </xf>
    <xf numFmtId="166" fontId="34" fillId="0" borderId="33" xfId="0" applyNumberFormat="1" applyFont="1" applyBorder="1" applyAlignment="1">
      <alignment horizontal="center" vertical="center"/>
    </xf>
    <xf numFmtId="166" fontId="34" fillId="0" borderId="4" xfId="0" applyNumberFormat="1" applyFont="1" applyBorder="1" applyAlignment="1">
      <alignment horizontal="center" vertical="center"/>
    </xf>
    <xf numFmtId="166" fontId="34" fillId="0" borderId="49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 wrapText="1" indent="1"/>
    </xf>
    <xf numFmtId="0" fontId="42" fillId="3" borderId="64" xfId="0" applyFont="1" applyFill="1" applyBorder="1" applyAlignment="1">
      <alignment horizontal="center" vertical="center" wrapText="1"/>
    </xf>
    <xf numFmtId="0" fontId="42" fillId="3" borderId="65" xfId="0" applyFont="1" applyFill="1" applyBorder="1" applyAlignment="1">
      <alignment horizontal="center" vertical="center" wrapText="1"/>
    </xf>
    <xf numFmtId="0" fontId="43" fillId="3" borderId="64" xfId="0" applyFont="1" applyFill="1" applyBorder="1" applyAlignment="1">
      <alignment horizontal="center" vertical="center" wrapText="1"/>
    </xf>
    <xf numFmtId="0" fontId="44" fillId="3" borderId="65" xfId="0" applyFont="1" applyFill="1" applyBorder="1" applyAlignment="1">
      <alignment horizontal="center" vertical="center" wrapText="1"/>
    </xf>
    <xf numFmtId="0" fontId="43" fillId="3" borderId="65" xfId="0" applyFont="1" applyFill="1" applyBorder="1" applyAlignment="1">
      <alignment horizontal="center" vertical="center" wrapText="1"/>
    </xf>
    <xf numFmtId="0" fontId="44" fillId="3" borderId="64" xfId="0" applyFont="1" applyFill="1" applyBorder="1" applyAlignment="1">
      <alignment horizontal="center" vertical="center" wrapText="1"/>
    </xf>
    <xf numFmtId="0" fontId="45" fillId="3" borderId="64" xfId="0" applyFont="1" applyFill="1" applyBorder="1" applyAlignment="1">
      <alignment horizontal="center" vertical="center" wrapText="1"/>
    </xf>
    <xf numFmtId="0" fontId="45" fillId="3" borderId="65" xfId="0" applyFont="1" applyFill="1" applyBorder="1" applyAlignment="1">
      <alignment horizontal="center" vertical="center" wrapText="1"/>
    </xf>
    <xf numFmtId="0" fontId="46" fillId="3" borderId="65" xfId="0" applyFont="1" applyFill="1" applyBorder="1" applyAlignment="1">
      <alignment horizontal="center" vertical="center" wrapText="1"/>
    </xf>
    <xf numFmtId="0" fontId="47" fillId="3" borderId="64" xfId="0" applyFont="1" applyFill="1" applyBorder="1" applyAlignment="1">
      <alignment horizontal="center" vertical="center" wrapText="1"/>
    </xf>
    <xf numFmtId="0" fontId="47" fillId="3" borderId="65" xfId="0" applyFont="1" applyFill="1" applyBorder="1" applyAlignment="1">
      <alignment horizontal="center" vertical="center" wrapText="1"/>
    </xf>
    <xf numFmtId="0" fontId="46" fillId="3" borderId="64" xfId="0" applyFont="1" applyFill="1" applyBorder="1" applyAlignment="1">
      <alignment horizontal="center" vertical="center" wrapText="1"/>
    </xf>
    <xf numFmtId="0" fontId="46" fillId="3" borderId="70" xfId="0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1" fontId="34" fillId="0" borderId="54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/>
    </xf>
    <xf numFmtId="166" fontId="39" fillId="0" borderId="60" xfId="0" applyNumberFormat="1" applyFont="1" applyBorder="1" applyAlignment="1">
      <alignment horizontal="center" vertical="center"/>
    </xf>
    <xf numFmtId="14" fontId="0" fillId="0" borderId="0" xfId="0" applyNumberFormat="1"/>
    <xf numFmtId="0" fontId="20" fillId="5" borderId="0" xfId="0" applyFont="1" applyFill="1" applyAlignment="1">
      <alignment horizontal="center"/>
    </xf>
    <xf numFmtId="14" fontId="20" fillId="5" borderId="0" xfId="0" applyNumberFormat="1" applyFont="1" applyFill="1" applyAlignment="1">
      <alignment horizontal="center"/>
    </xf>
    <xf numFmtId="0" fontId="20" fillId="5" borderId="0" xfId="0" applyFont="1" applyFill="1"/>
    <xf numFmtId="166" fontId="34" fillId="0" borderId="0" xfId="0" applyNumberFormat="1" applyFont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2" fontId="34" fillId="0" borderId="11" xfId="0" applyNumberFormat="1" applyFont="1" applyBorder="1" applyAlignment="1">
      <alignment horizontal="center" vertical="center"/>
    </xf>
    <xf numFmtId="2" fontId="34" fillId="0" borderId="14" xfId="0" applyNumberFormat="1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165" fontId="0" fillId="0" borderId="2" xfId="43" applyNumberFormat="1" applyFont="1" applyBorder="1" applyAlignment="1">
      <alignment horizontal="center"/>
    </xf>
    <xf numFmtId="165" fontId="18" fillId="0" borderId="1" xfId="43" applyNumberFormat="1" applyFont="1" applyBorder="1" applyAlignment="1">
      <alignment horizontal="center"/>
    </xf>
    <xf numFmtId="165" fontId="0" fillId="0" borderId="60" xfId="43" applyNumberFormat="1" applyFont="1" applyBorder="1" applyAlignment="1">
      <alignment horizontal="center"/>
    </xf>
    <xf numFmtId="165" fontId="0" fillId="40" borderId="1" xfId="43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44" borderId="1" xfId="43" applyNumberFormat="1" applyFont="1" applyFill="1" applyBorder="1" applyAlignment="1">
      <alignment horizontal="center"/>
    </xf>
    <xf numFmtId="0" fontId="0" fillId="0" borderId="0" xfId="0" applyAlignment="1"/>
    <xf numFmtId="0" fontId="24" fillId="44" borderId="0" xfId="0" applyFont="1" applyFill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5" fillId="5" borderId="29" xfId="0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" fontId="24" fillId="5" borderId="27" xfId="0" applyNumberFormat="1" applyFont="1" applyFill="1" applyBorder="1" applyAlignment="1">
      <alignment horizontal="center" vertical="center" wrapText="1"/>
    </xf>
    <xf numFmtId="16" fontId="24" fillId="5" borderId="27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/>
    </xf>
    <xf numFmtId="16" fontId="24" fillId="5" borderId="28" xfId="0" applyNumberFormat="1" applyFont="1" applyFill="1" applyBorder="1" applyAlignment="1">
      <alignment horizontal="center" vertical="center" wrapText="1"/>
    </xf>
    <xf numFmtId="1" fontId="34" fillId="0" borderId="9" xfId="0" applyNumberFormat="1" applyFont="1" applyBorder="1" applyAlignment="1">
      <alignment horizontal="center" vertical="center"/>
    </xf>
    <xf numFmtId="0" fontId="25" fillId="5" borderId="71" xfId="0" applyFont="1" applyFill="1" applyBorder="1" applyAlignment="1">
      <alignment vertical="center"/>
    </xf>
    <xf numFmtId="2" fontId="34" fillId="0" borderId="7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/>
    </xf>
    <xf numFmtId="1" fontId="34" fillId="0" borderId="72" xfId="0" applyNumberFormat="1" applyFont="1" applyBorder="1" applyAlignment="1">
      <alignment horizontal="center" vertical="center"/>
    </xf>
    <xf numFmtId="0" fontId="0" fillId="4" borderId="0" xfId="0" applyFill="1" applyAlignment="1"/>
    <xf numFmtId="49" fontId="0" fillId="4" borderId="0" xfId="0" applyNumberFormat="1" applyFill="1"/>
    <xf numFmtId="0" fontId="26" fillId="0" borderId="1" xfId="0" applyNumberFormat="1" applyFont="1" applyBorder="1" applyAlignment="1">
      <alignment horizontal="center"/>
    </xf>
    <xf numFmtId="0" fontId="26" fillId="0" borderId="13" xfId="0" applyNumberFormat="1" applyFont="1" applyBorder="1" applyAlignment="1">
      <alignment horizontal="center"/>
    </xf>
    <xf numFmtId="167" fontId="34" fillId="0" borderId="11" xfId="0" applyNumberFormat="1" applyFont="1" applyBorder="1" applyAlignment="1">
      <alignment horizontal="center" vertical="center"/>
    </xf>
    <xf numFmtId="167" fontId="34" fillId="0" borderId="9" xfId="0" applyNumberFormat="1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/>
    </xf>
    <xf numFmtId="9" fontId="3" fillId="0" borderId="1" xfId="1" applyFon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9" fontId="3" fillId="0" borderId="11" xfId="1" applyNumberFormat="1" applyFont="1" applyBorder="1" applyAlignment="1">
      <alignment horizontal="center" vertical="center"/>
    </xf>
    <xf numFmtId="1" fontId="0" fillId="0" borderId="5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3" fillId="0" borderId="56" xfId="1" applyNumberFormat="1" applyFont="1" applyBorder="1" applyAlignment="1">
      <alignment horizontal="center" vertical="center"/>
    </xf>
    <xf numFmtId="164" fontId="26" fillId="0" borderId="76" xfId="1" applyNumberFormat="1" applyFont="1" applyBorder="1" applyAlignment="1">
      <alignment horizontal="center" vertical="center"/>
    </xf>
    <xf numFmtId="164" fontId="26" fillId="0" borderId="74" xfId="1" applyNumberFormat="1" applyFont="1" applyBorder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9" fontId="3" fillId="0" borderId="33" xfId="1" applyNumberFormat="1" applyFont="1" applyBorder="1" applyAlignment="1">
      <alignment horizontal="center" vertical="center"/>
    </xf>
    <xf numFmtId="164" fontId="26" fillId="0" borderId="77" xfId="1" applyNumberFormat="1" applyFont="1" applyBorder="1" applyAlignment="1">
      <alignment horizontal="center" vertical="center"/>
    </xf>
    <xf numFmtId="1" fontId="3" fillId="0" borderId="78" xfId="1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9" fontId="3" fillId="0" borderId="79" xfId="1" applyFont="1" applyBorder="1" applyAlignment="1">
      <alignment horizontal="center" vertical="center"/>
    </xf>
    <xf numFmtId="1" fontId="54" fillId="0" borderId="79" xfId="45" applyNumberFormat="1" applyFont="1" applyBorder="1" applyAlignment="1">
      <alignment horizontal="center"/>
    </xf>
    <xf numFmtId="9" fontId="3" fillId="0" borderId="72" xfId="1" applyNumberFormat="1" applyFont="1" applyBorder="1" applyAlignment="1">
      <alignment horizontal="center" vertical="center"/>
    </xf>
    <xf numFmtId="164" fontId="26" fillId="0" borderId="73" xfId="1" applyNumberFormat="1" applyFont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9" fontId="20" fillId="5" borderId="81" xfId="1" applyFont="1" applyFill="1" applyBorder="1" applyAlignment="1">
      <alignment horizontal="center" vertical="center" wrapText="1"/>
    </xf>
    <xf numFmtId="0" fontId="20" fillId="5" borderId="81" xfId="0" applyFont="1" applyFill="1" applyBorder="1" applyAlignment="1">
      <alignment horizontal="center" vertical="center" wrapText="1"/>
    </xf>
    <xf numFmtId="0" fontId="20" fillId="5" borderId="82" xfId="0" applyFont="1" applyFill="1" applyBorder="1" applyAlignment="1">
      <alignment horizontal="center" vertical="center" wrapText="1"/>
    </xf>
    <xf numFmtId="0" fontId="20" fillId="5" borderId="83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5" borderId="84" xfId="0" applyFont="1" applyFill="1" applyBorder="1" applyAlignment="1">
      <alignment horizontal="center" vertical="center"/>
    </xf>
    <xf numFmtId="0" fontId="17" fillId="5" borderId="85" xfId="0" applyFont="1" applyFill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165" fontId="20" fillId="5" borderId="1" xfId="43" applyNumberFormat="1" applyFont="1" applyFill="1" applyBorder="1" applyAlignment="1">
      <alignment horizontal="center"/>
    </xf>
    <xf numFmtId="1" fontId="34" fillId="0" borderId="5" xfId="0" applyNumberFormat="1" applyFont="1" applyBorder="1" applyAlignment="1">
      <alignment horizontal="center" vertical="center"/>
    </xf>
    <xf numFmtId="2" fontId="34" fillId="0" borderId="33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66" xfId="0" applyBorder="1" applyAlignment="1">
      <alignment horizontal="center"/>
    </xf>
    <xf numFmtId="0" fontId="55" fillId="3" borderId="0" xfId="0" applyFont="1" applyFill="1" applyAlignment="1">
      <alignment horizontal="left" vertical="center" wrapText="1" indent="1"/>
    </xf>
    <xf numFmtId="0" fontId="48" fillId="3" borderId="64" xfId="0" applyFont="1" applyFill="1" applyBorder="1" applyAlignment="1">
      <alignment horizontal="center" vertical="center" wrapText="1"/>
    </xf>
    <xf numFmtId="0" fontId="49" fillId="3" borderId="64" xfId="0" applyFont="1" applyFill="1" applyBorder="1" applyAlignment="1">
      <alignment horizontal="center" vertical="center" wrapText="1"/>
    </xf>
    <xf numFmtId="0" fontId="49" fillId="3" borderId="65" xfId="0" applyFont="1" applyFill="1" applyBorder="1" applyAlignment="1">
      <alignment horizontal="center" vertical="center" wrapText="1"/>
    </xf>
    <xf numFmtId="0" fontId="51" fillId="3" borderId="64" xfId="0" applyFont="1" applyFill="1" applyBorder="1" applyAlignment="1">
      <alignment horizontal="center" vertical="center" wrapText="1"/>
    </xf>
    <xf numFmtId="0" fontId="51" fillId="3" borderId="65" xfId="0" applyFont="1" applyFill="1" applyBorder="1" applyAlignment="1">
      <alignment horizontal="center" vertical="center" wrapText="1"/>
    </xf>
    <xf numFmtId="0" fontId="50" fillId="3" borderId="64" xfId="0" applyFont="1" applyFill="1" applyBorder="1" applyAlignment="1">
      <alignment horizontal="center" vertical="center" wrapText="1"/>
    </xf>
    <xf numFmtId="0" fontId="50" fillId="3" borderId="65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13" xfId="0" applyBorder="1"/>
    <xf numFmtId="0" fontId="56" fillId="3" borderId="64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 vertical="center"/>
    </xf>
    <xf numFmtId="0" fontId="28" fillId="4" borderId="66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20" fillId="5" borderId="0" xfId="0" applyFont="1" applyFill="1" applyAlignment="1">
      <alignment horizontal="center" vertical="center" wrapText="1"/>
    </xf>
    <xf numFmtId="14" fontId="33" fillId="0" borderId="5" xfId="0" applyNumberFormat="1" applyFont="1" applyBorder="1" applyAlignment="1">
      <alignment horizontal="center" vertical="center"/>
    </xf>
    <xf numFmtId="14" fontId="33" fillId="0" borderId="36" xfId="0" applyNumberFormat="1" applyFont="1" applyBorder="1" applyAlignment="1">
      <alignment horizontal="center" vertical="center"/>
    </xf>
    <xf numFmtId="14" fontId="33" fillId="0" borderId="52" xfId="0" applyNumberFormat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9" fontId="3" fillId="38" borderId="0" xfId="1" applyFont="1" applyFill="1" applyAlignment="1">
      <alignment horizontal="center"/>
    </xf>
    <xf numFmtId="1" fontId="0" fillId="38" borderId="0" xfId="0" applyNumberFormat="1" applyFill="1" applyAlignment="1">
      <alignment horizontal="center"/>
    </xf>
    <xf numFmtId="0" fontId="0" fillId="0" borderId="60" xfId="0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9" fontId="0" fillId="0" borderId="5" xfId="1" applyFont="1" applyBorder="1" applyAlignment="1">
      <alignment horizontal="center"/>
    </xf>
    <xf numFmtId="0" fontId="0" fillId="0" borderId="0" xfId="0"/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rmal 2 2" xfId="46" xr:uid="{06C535D4-AD6A-4CE9-A4D2-B1DA926D9A54}"/>
    <cellStyle name="Normal 3" xfId="45" xr:uid="{36E35D61-9097-4B3E-B3C6-3DE54C4DFFDA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604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 sz="2000" b="1"/>
              <a:t>Crecimiento</a:t>
            </a:r>
          </a:p>
          <a:p>
            <a:pPr>
              <a:defRPr/>
            </a:pPr>
            <a:r>
              <a:rPr lang="es-AR" sz="1400"/>
              <a:t>casos prom. vs casos prom. 7 días antes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8531801547624429E-2"/>
          <c:y val="5.0206791891707903E-2"/>
          <c:w val="0.95775843333795507"/>
          <c:h val="0.9039507054840328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'argentina_gral (2)'!$A$373:$A$405</c:f>
              <c:numCache>
                <c:formatCode>m/d/yyyy</c:formatCode>
                <c:ptCount val="33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  <c:pt idx="16">
                  <c:v>44280</c:v>
                </c:pt>
                <c:pt idx="17">
                  <c:v>44281</c:v>
                </c:pt>
                <c:pt idx="18">
                  <c:v>44282</c:v>
                </c:pt>
                <c:pt idx="19">
                  <c:v>44283</c:v>
                </c:pt>
                <c:pt idx="20">
                  <c:v>44284</c:v>
                </c:pt>
                <c:pt idx="21">
                  <c:v>44285</c:v>
                </c:pt>
                <c:pt idx="22">
                  <c:v>44286</c:v>
                </c:pt>
                <c:pt idx="23">
                  <c:v>44287</c:v>
                </c:pt>
                <c:pt idx="24">
                  <c:v>44288</c:v>
                </c:pt>
                <c:pt idx="25">
                  <c:v>44289</c:v>
                </c:pt>
                <c:pt idx="26">
                  <c:v>44290</c:v>
                </c:pt>
                <c:pt idx="27">
                  <c:v>44291</c:v>
                </c:pt>
                <c:pt idx="28">
                  <c:v>44292</c:v>
                </c:pt>
                <c:pt idx="29">
                  <c:v>44293</c:v>
                </c:pt>
                <c:pt idx="30">
                  <c:v>44294</c:v>
                </c:pt>
                <c:pt idx="31">
                  <c:v>44295</c:v>
                </c:pt>
                <c:pt idx="32">
                  <c:v>44296</c:v>
                </c:pt>
              </c:numCache>
            </c:numRef>
          </c:cat>
          <c:val>
            <c:numRef>
              <c:f>'argentina_gral (2)'!$Z$373:$Z$405</c:f>
              <c:numCache>
                <c:formatCode>0%</c:formatCode>
                <c:ptCount val="33"/>
                <c:pt idx="0">
                  <c:v>5.3623540856031049E-2</c:v>
                </c:pt>
                <c:pt idx="1">
                  <c:v>7.0564016072225844E-2</c:v>
                </c:pt>
                <c:pt idx="2">
                  <c:v>1.8758985298891639E-2</c:v>
                </c:pt>
                <c:pt idx="3">
                  <c:v>3.2363525178163988E-2</c:v>
                </c:pt>
                <c:pt idx="4">
                  <c:v>7.1916917035319772E-2</c:v>
                </c:pt>
                <c:pt idx="5">
                  <c:v>8.0030934358229056E-2</c:v>
                </c:pt>
                <c:pt idx="6">
                  <c:v>8.9255626081938599E-2</c:v>
                </c:pt>
                <c:pt idx="7">
                  <c:v>0.11484373190000707</c:v>
                </c:pt>
                <c:pt idx="8">
                  <c:v>0.10916126095368162</c:v>
                </c:pt>
                <c:pt idx="9">
                  <c:v>0.11304763857562716</c:v>
                </c:pt>
                <c:pt idx="10">
                  <c:v>8.5078678466597557E-2</c:v>
                </c:pt>
                <c:pt idx="11">
                  <c:v>7.8722388577876279E-2</c:v>
                </c:pt>
                <c:pt idx="12">
                  <c:v>6.053992202068148E-2</c:v>
                </c:pt>
                <c:pt idx="13">
                  <c:v>4.5012468827930086E-2</c:v>
                </c:pt>
                <c:pt idx="14">
                  <c:v>5.5919230058894875E-2</c:v>
                </c:pt>
                <c:pt idx="15">
                  <c:v>5.3157302220857572E-2</c:v>
                </c:pt>
                <c:pt idx="16">
                  <c:v>4.4665012406947868E-2</c:v>
                </c:pt>
                <c:pt idx="17">
                  <c:v>0.1292191334432955</c:v>
                </c:pt>
                <c:pt idx="18">
                  <c:v>0.19183200463545713</c:v>
                </c:pt>
                <c:pt idx="19">
                  <c:v>0.24937358310464153</c:v>
                </c:pt>
                <c:pt idx="20">
                  <c:v>0.36891713308457708</c:v>
                </c:pt>
                <c:pt idx="21">
                  <c:v>0.38358081318510462</c:v>
                </c:pt>
                <c:pt idx="22">
                  <c:v>0.53701179860597326</c:v>
                </c:pt>
                <c:pt idx="23">
                  <c:v>0.51654850546866649</c:v>
                </c:pt>
                <c:pt idx="24">
                  <c:v>0.37639564124057023</c:v>
                </c:pt>
                <c:pt idx="25">
                  <c:v>0.30754783051602841</c:v>
                </c:pt>
                <c:pt idx="26">
                  <c:v>0.35127176646611291</c:v>
                </c:pt>
                <c:pt idx="27">
                  <c:v>0.20030096963329957</c:v>
                </c:pt>
                <c:pt idx="28">
                  <c:v>0.33820306793279764</c:v>
                </c:pt>
                <c:pt idx="29">
                  <c:v>0.28251672071341716</c:v>
                </c:pt>
                <c:pt idx="30">
                  <c:v>0.29792332268370614</c:v>
                </c:pt>
                <c:pt idx="31">
                  <c:v>0.51918345472704686</c:v>
                </c:pt>
                <c:pt idx="32">
                  <c:v>0.62831718361980826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338-944E-8F59F04C24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51525976"/>
        <c:axId val="551530568"/>
      </c:barChart>
      <c:dateAx>
        <c:axId val="551525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30568"/>
        <c:crosses val="autoZero"/>
        <c:auto val="1"/>
        <c:lblOffset val="100"/>
        <c:baseTimeUnit val="days"/>
      </c:dateAx>
      <c:valAx>
        <c:axId val="5515305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152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C510C5C9-88FF-4C2A-8976-1B4A31AAEC7D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732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0DF0B58C-65DD-4DA8-BC1F-1CCCB0229AD5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75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8854D321-1E47-4EAF-844D-EBC42D693D5F}"/>
            </a:ext>
          </a:extLst>
        </xdr:cNvPr>
        <xdr:cNvSpPr>
          <a:spLocks noChangeAspect="1" noChangeArrowheads="1"/>
        </xdr:cNvSpPr>
      </xdr:nvSpPr>
      <xdr:spPr bwMode="auto">
        <a:xfrm>
          <a:off x="2000250" y="377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36</xdr:col>
      <xdr:colOff>128867</xdr:colOff>
      <xdr:row>381</xdr:row>
      <xdr:rowOff>11207</xdr:rowOff>
    </xdr:from>
    <xdr:to>
      <xdr:col>49</xdr:col>
      <xdr:colOff>493059</xdr:colOff>
      <xdr:row>401</xdr:row>
      <xdr:rowOff>100855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F8FFC5-E473-48FF-8C54-A73F6033A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gentina%20auxili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gentina_gral (2)"/>
      <sheetName val="casos_provincias (2)"/>
      <sheetName val="argentina_gral"/>
      <sheetName val="casos_provincias"/>
    </sheetNames>
    <sheetDataSet>
      <sheetData sheetId="0">
        <row r="373">
          <cell r="A373">
            <v>44264</v>
          </cell>
          <cell r="Z373">
            <v>5.3623540856031049E-2</v>
          </cell>
        </row>
        <row r="374">
          <cell r="A374">
            <v>44265</v>
          </cell>
          <cell r="Z374">
            <v>7.0564016072225844E-2</v>
          </cell>
        </row>
        <row r="375">
          <cell r="A375">
            <v>44266</v>
          </cell>
          <cell r="Z375">
            <v>1.8758985298891639E-2</v>
          </cell>
        </row>
        <row r="376">
          <cell r="A376">
            <v>44267</v>
          </cell>
          <cell r="Z376">
            <v>3.2363525178163988E-2</v>
          </cell>
        </row>
        <row r="377">
          <cell r="A377">
            <v>44268</v>
          </cell>
          <cell r="Z377">
            <v>7.1916917035319772E-2</v>
          </cell>
        </row>
        <row r="378">
          <cell r="A378">
            <v>44269</v>
          </cell>
          <cell r="Z378">
            <v>8.0030934358229056E-2</v>
          </cell>
        </row>
        <row r="379">
          <cell r="A379">
            <v>44270</v>
          </cell>
          <cell r="Z379">
            <v>8.9255626081938599E-2</v>
          </cell>
        </row>
        <row r="380">
          <cell r="A380">
            <v>44271</v>
          </cell>
          <cell r="Z380">
            <v>0.11484373190000707</v>
          </cell>
        </row>
        <row r="381">
          <cell r="A381">
            <v>44272</v>
          </cell>
          <cell r="Z381">
            <v>0.10916126095368162</v>
          </cell>
        </row>
        <row r="382">
          <cell r="A382">
            <v>44273</v>
          </cell>
          <cell r="Z382">
            <v>0.11304763857562716</v>
          </cell>
        </row>
        <row r="383">
          <cell r="A383">
            <v>44274</v>
          </cell>
          <cell r="Z383">
            <v>8.5078678466597557E-2</v>
          </cell>
        </row>
        <row r="384">
          <cell r="A384">
            <v>44275</v>
          </cell>
          <cell r="Z384">
            <v>7.8722388577876279E-2</v>
          </cell>
        </row>
        <row r="385">
          <cell r="A385">
            <v>44276</v>
          </cell>
          <cell r="Z385">
            <v>6.053992202068148E-2</v>
          </cell>
        </row>
        <row r="386">
          <cell r="A386">
            <v>44277</v>
          </cell>
          <cell r="Z386">
            <v>4.5012468827930086E-2</v>
          </cell>
        </row>
        <row r="387">
          <cell r="A387">
            <v>44278</v>
          </cell>
          <cell r="Z387">
            <v>5.5919230058894875E-2</v>
          </cell>
        </row>
        <row r="388">
          <cell r="A388">
            <v>44279</v>
          </cell>
          <cell r="Z388">
            <v>5.3157302220857572E-2</v>
          </cell>
        </row>
        <row r="389">
          <cell r="A389">
            <v>44280</v>
          </cell>
          <cell r="Z389">
            <v>4.4665012406947868E-2</v>
          </cell>
        </row>
        <row r="390">
          <cell r="A390">
            <v>44281</v>
          </cell>
          <cell r="Z390">
            <v>0.1292191334432955</v>
          </cell>
        </row>
        <row r="391">
          <cell r="A391">
            <v>44282</v>
          </cell>
          <cell r="Z391">
            <v>0.19183200463545713</v>
          </cell>
        </row>
        <row r="392">
          <cell r="A392">
            <v>44283</v>
          </cell>
          <cell r="Z392">
            <v>0.24937358310464153</v>
          </cell>
        </row>
        <row r="393">
          <cell r="A393">
            <v>44284</v>
          </cell>
          <cell r="Z393">
            <v>0.36891713308457708</v>
          </cell>
        </row>
        <row r="394">
          <cell r="A394">
            <v>44285</v>
          </cell>
          <cell r="Z394">
            <v>0.38358081318510462</v>
          </cell>
        </row>
        <row r="395">
          <cell r="A395">
            <v>44286</v>
          </cell>
          <cell r="Z395">
            <v>0.53701179860597326</v>
          </cell>
        </row>
        <row r="396">
          <cell r="A396">
            <v>44287</v>
          </cell>
          <cell r="Z396">
            <v>0.51654850546866649</v>
          </cell>
        </row>
        <row r="397">
          <cell r="A397">
            <v>44288</v>
          </cell>
          <cell r="Z397">
            <v>0.37639564124057023</v>
          </cell>
        </row>
        <row r="398">
          <cell r="A398">
            <v>44289</v>
          </cell>
          <cell r="Z398">
            <v>0.30754783051602841</v>
          </cell>
        </row>
        <row r="399">
          <cell r="A399">
            <v>44290</v>
          </cell>
          <cell r="Z399">
            <v>0.35127176646611291</v>
          </cell>
        </row>
        <row r="400">
          <cell r="A400">
            <v>44291</v>
          </cell>
          <cell r="Z400">
            <v>0.20030096963329957</v>
          </cell>
        </row>
        <row r="401">
          <cell r="A401">
            <v>44292</v>
          </cell>
          <cell r="Z401">
            <v>0.33820306793279764</v>
          </cell>
        </row>
        <row r="402">
          <cell r="A402">
            <v>44293</v>
          </cell>
          <cell r="Z402">
            <v>0.28251672071341716</v>
          </cell>
        </row>
        <row r="403">
          <cell r="A403">
            <v>44294</v>
          </cell>
          <cell r="Z403">
            <v>0.29792332268370614</v>
          </cell>
        </row>
        <row r="404">
          <cell r="A404">
            <v>44295</v>
          </cell>
          <cell r="Z404">
            <v>0.51918345472704686</v>
          </cell>
        </row>
        <row r="405">
          <cell r="A405">
            <v>44296</v>
          </cell>
          <cell r="Z405">
            <v>0.62831718361980826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405"/>
  <sheetViews>
    <sheetView zoomScale="85" zoomScaleNormal="85" workbookViewId="0">
      <pane ySplit="1" topLeftCell="A396" activePane="bottomLeft" state="frozen"/>
      <selection activeCell="H388" sqref="H388"/>
      <selection pane="bottomLeft" activeCell="H405" sqref="H405"/>
    </sheetView>
  </sheetViews>
  <sheetFormatPr baseColWidth="10" defaultRowHeight="15" x14ac:dyDescent="0.25"/>
  <cols>
    <col min="1" max="1" width="10.42578125" style="55" customWidth="1"/>
    <col min="2" max="2" width="9.42578125" style="207" customWidth="1"/>
    <col min="3" max="3" width="11" style="207" customWidth="1"/>
    <col min="4" max="4" width="6.28515625" style="207" customWidth="1"/>
    <col min="5" max="5" width="9.28515625" style="207" customWidth="1"/>
    <col min="6" max="6" width="8.28515625" style="207" customWidth="1"/>
    <col min="7" max="7" width="12.5703125" style="223" customWidth="1"/>
    <col min="8" max="8" width="7.7109375" style="207" customWidth="1"/>
    <col min="9" max="9" width="9.7109375" style="63" customWidth="1"/>
    <col min="10" max="10" width="11.140625" style="63" customWidth="1"/>
    <col min="11" max="11" width="6" style="24" customWidth="1"/>
    <col min="12" max="12" width="8.85546875" style="24" customWidth="1"/>
    <col min="13" max="13" width="7.42578125" style="63" customWidth="1"/>
    <col min="14" max="15" width="5.140625" style="63" hidden="1" customWidth="1"/>
    <col min="16" max="16" width="4.7109375" style="63" hidden="1" customWidth="1"/>
    <col min="17" max="17" width="5.5703125" style="63" hidden="1" customWidth="1"/>
    <col min="18" max="18" width="9.85546875" style="63" customWidth="1"/>
    <col min="19" max="19" width="6.140625" style="18" customWidth="1"/>
    <col min="20" max="20" width="9.7109375" style="63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29" customFormat="1" ht="42.75" customHeight="1" x14ac:dyDescent="0.25">
      <c r="A1" s="224" t="s">
        <v>43</v>
      </c>
      <c r="B1" s="225" t="s">
        <v>0</v>
      </c>
      <c r="C1" s="225" t="s">
        <v>1</v>
      </c>
      <c r="D1" s="225" t="s">
        <v>2</v>
      </c>
      <c r="E1" s="225" t="s">
        <v>3</v>
      </c>
      <c r="F1" s="225" t="s">
        <v>134</v>
      </c>
      <c r="G1" s="226" t="s">
        <v>4</v>
      </c>
      <c r="H1" s="225" t="s">
        <v>5</v>
      </c>
      <c r="I1" s="227" t="s">
        <v>6</v>
      </c>
      <c r="J1" s="227" t="s">
        <v>7</v>
      </c>
      <c r="K1" s="228" t="s">
        <v>8</v>
      </c>
      <c r="L1" s="228" t="s">
        <v>9</v>
      </c>
      <c r="M1" s="227" t="s">
        <v>10</v>
      </c>
      <c r="N1" s="227" t="s">
        <v>11</v>
      </c>
      <c r="O1" s="227" t="s">
        <v>12</v>
      </c>
      <c r="P1" s="227" t="s">
        <v>13</v>
      </c>
      <c r="Q1" s="227" t="s">
        <v>14</v>
      </c>
      <c r="R1" s="227" t="s">
        <v>133</v>
      </c>
      <c r="S1" s="227" t="s">
        <v>135</v>
      </c>
      <c r="T1" s="227" t="s">
        <v>136</v>
      </c>
    </row>
    <row r="2" spans="1:20" x14ac:dyDescent="0.25">
      <c r="A2" s="2">
        <v>43893</v>
      </c>
      <c r="B2" s="188">
        <v>1</v>
      </c>
      <c r="C2" s="188">
        <v>1</v>
      </c>
      <c r="D2" s="188">
        <v>0</v>
      </c>
      <c r="E2" s="188">
        <v>0</v>
      </c>
      <c r="F2" s="188"/>
      <c r="G2" s="213">
        <v>0</v>
      </c>
      <c r="H2" s="188"/>
      <c r="I2" s="188"/>
      <c r="J2" s="1"/>
      <c r="K2" s="15"/>
      <c r="L2" s="15"/>
      <c r="M2" s="1"/>
      <c r="N2" s="1">
        <v>1</v>
      </c>
      <c r="O2" s="1">
        <v>0</v>
      </c>
      <c r="P2" s="1">
        <v>0</v>
      </c>
      <c r="Q2" s="1">
        <v>0</v>
      </c>
      <c r="R2" s="16"/>
      <c r="S2" s="1"/>
      <c r="T2" s="4"/>
    </row>
    <row r="3" spans="1:20" x14ac:dyDescent="0.25">
      <c r="A3" s="2">
        <v>43894</v>
      </c>
      <c r="B3" s="188">
        <v>0</v>
      </c>
      <c r="C3" s="188">
        <v>1</v>
      </c>
      <c r="D3" s="188">
        <v>0</v>
      </c>
      <c r="E3" s="188">
        <v>0</v>
      </c>
      <c r="F3" s="190">
        <f t="shared" ref="F3:F66" si="0">G3-G2</f>
        <v>0</v>
      </c>
      <c r="G3" s="213">
        <v>0</v>
      </c>
      <c r="H3" s="188"/>
      <c r="I3" s="188"/>
      <c r="J3" s="1"/>
      <c r="K3" s="15"/>
      <c r="L3" s="15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88">
        <v>1</v>
      </c>
      <c r="C4" s="188">
        <v>2</v>
      </c>
      <c r="D4" s="188">
        <v>0</v>
      </c>
      <c r="E4" s="188">
        <v>0</v>
      </c>
      <c r="F4" s="190">
        <f t="shared" si="0"/>
        <v>0</v>
      </c>
      <c r="G4" s="213">
        <v>0</v>
      </c>
      <c r="H4" s="188"/>
      <c r="I4" s="188"/>
      <c r="J4" s="1"/>
      <c r="K4" s="15"/>
      <c r="L4" s="15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88">
        <v>6</v>
      </c>
      <c r="C5" s="188">
        <v>8</v>
      </c>
      <c r="D5" s="188">
        <v>0</v>
      </c>
      <c r="E5" s="188">
        <v>0</v>
      </c>
      <c r="F5" s="190">
        <f t="shared" si="0"/>
        <v>0</v>
      </c>
      <c r="G5" s="213">
        <v>0</v>
      </c>
      <c r="H5" s="188"/>
      <c r="I5" s="188"/>
      <c r="J5" s="1"/>
      <c r="K5" s="15"/>
      <c r="L5" s="15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88">
        <v>1</v>
      </c>
      <c r="C6" s="188">
        <v>9</v>
      </c>
      <c r="D6" s="188">
        <v>1</v>
      </c>
      <c r="E6" s="188">
        <v>1</v>
      </c>
      <c r="F6" s="190">
        <f t="shared" si="0"/>
        <v>0</v>
      </c>
      <c r="G6" s="213">
        <v>0</v>
      </c>
      <c r="H6" s="188"/>
      <c r="I6" s="188"/>
      <c r="J6" s="1"/>
      <c r="K6" s="15"/>
      <c r="L6" s="15"/>
      <c r="M6" s="1"/>
      <c r="N6" s="1">
        <v>9</v>
      </c>
      <c r="O6" s="1">
        <v>0</v>
      </c>
      <c r="P6" s="1">
        <v>0</v>
      </c>
      <c r="Q6" s="1">
        <v>0</v>
      </c>
      <c r="R6" s="21">
        <f t="shared" ref="R6:R69" si="1">G6-G5</f>
        <v>0</v>
      </c>
      <c r="S6" s="1"/>
      <c r="T6" s="4"/>
    </row>
    <row r="7" spans="1:20" x14ac:dyDescent="0.25">
      <c r="A7" s="2">
        <v>43898</v>
      </c>
      <c r="B7" s="188">
        <v>3</v>
      </c>
      <c r="C7" s="188">
        <v>12</v>
      </c>
      <c r="D7" s="188">
        <v>0</v>
      </c>
      <c r="E7" s="188">
        <v>1</v>
      </c>
      <c r="F7" s="190">
        <f t="shared" si="0"/>
        <v>0</v>
      </c>
      <c r="G7" s="213">
        <v>0</v>
      </c>
      <c r="H7" s="188"/>
      <c r="I7" s="188"/>
      <c r="J7" s="1"/>
      <c r="K7" s="15"/>
      <c r="L7" s="15"/>
      <c r="M7" s="1"/>
      <c r="N7" s="1">
        <v>12</v>
      </c>
      <c r="O7" s="1">
        <v>0</v>
      </c>
      <c r="P7" s="1">
        <v>0</v>
      </c>
      <c r="Q7" s="1">
        <v>0</v>
      </c>
      <c r="R7" s="21">
        <f t="shared" si="1"/>
        <v>0</v>
      </c>
      <c r="S7" s="1"/>
      <c r="T7" s="4"/>
    </row>
    <row r="8" spans="1:20" x14ac:dyDescent="0.25">
      <c r="A8" s="2">
        <v>43899</v>
      </c>
      <c r="B8" s="188">
        <v>5</v>
      </c>
      <c r="C8" s="188">
        <v>17</v>
      </c>
      <c r="D8" s="188">
        <v>0</v>
      </c>
      <c r="E8" s="188">
        <v>1</v>
      </c>
      <c r="F8" s="190">
        <f t="shared" si="0"/>
        <v>0</v>
      </c>
      <c r="G8" s="213">
        <v>0</v>
      </c>
      <c r="H8" s="188"/>
      <c r="I8" s="188"/>
      <c r="J8" s="1"/>
      <c r="K8" s="15"/>
      <c r="L8" s="15"/>
      <c r="M8" s="1"/>
      <c r="N8" s="1">
        <v>17</v>
      </c>
      <c r="O8" s="1">
        <v>0</v>
      </c>
      <c r="P8" s="1">
        <v>0</v>
      </c>
      <c r="Q8" s="1">
        <v>0</v>
      </c>
      <c r="R8" s="21">
        <f t="shared" si="1"/>
        <v>0</v>
      </c>
      <c r="S8" s="1"/>
      <c r="T8" s="4"/>
    </row>
    <row r="9" spans="1:20" x14ac:dyDescent="0.25">
      <c r="A9" s="2">
        <v>43900</v>
      </c>
      <c r="B9" s="188">
        <v>2</v>
      </c>
      <c r="C9" s="188">
        <v>19</v>
      </c>
      <c r="D9" s="188">
        <v>0</v>
      </c>
      <c r="E9" s="188">
        <v>1</v>
      </c>
      <c r="F9" s="190">
        <f t="shared" si="0"/>
        <v>0</v>
      </c>
      <c r="G9" s="213">
        <v>0</v>
      </c>
      <c r="H9" s="188"/>
      <c r="I9" s="188"/>
      <c r="J9" s="1"/>
      <c r="K9" s="15"/>
      <c r="L9" s="15"/>
      <c r="M9" s="1"/>
      <c r="N9" s="1">
        <v>19</v>
      </c>
      <c r="O9" s="1">
        <v>0</v>
      </c>
      <c r="P9" s="1">
        <v>0</v>
      </c>
      <c r="Q9" s="1">
        <v>0</v>
      </c>
      <c r="R9" s="21">
        <f t="shared" si="1"/>
        <v>0</v>
      </c>
      <c r="S9" s="1"/>
      <c r="T9" s="4"/>
    </row>
    <row r="10" spans="1:20" x14ac:dyDescent="0.25">
      <c r="A10" s="2">
        <v>43901</v>
      </c>
      <c r="B10" s="188">
        <v>2</v>
      </c>
      <c r="C10" s="188">
        <v>21</v>
      </c>
      <c r="D10" s="188">
        <v>0</v>
      </c>
      <c r="E10" s="188">
        <v>1</v>
      </c>
      <c r="F10" s="190">
        <f t="shared" si="0"/>
        <v>0</v>
      </c>
      <c r="G10" s="213">
        <v>0</v>
      </c>
      <c r="H10" s="188"/>
      <c r="I10" s="188"/>
      <c r="J10" s="1"/>
      <c r="K10" s="15"/>
      <c r="L10" s="15"/>
      <c r="M10" s="1"/>
      <c r="N10" s="1">
        <v>21</v>
      </c>
      <c r="O10" s="1">
        <v>0</v>
      </c>
      <c r="P10" s="1">
        <v>0</v>
      </c>
      <c r="Q10" s="1">
        <v>0</v>
      </c>
      <c r="R10" s="21">
        <f t="shared" si="1"/>
        <v>0</v>
      </c>
      <c r="S10" s="1"/>
      <c r="T10" s="4"/>
    </row>
    <row r="11" spans="1:20" x14ac:dyDescent="0.25">
      <c r="A11" s="2">
        <v>43902</v>
      </c>
      <c r="B11" s="188">
        <v>10</v>
      </c>
      <c r="C11" s="188">
        <v>31</v>
      </c>
      <c r="D11" s="188">
        <v>0</v>
      </c>
      <c r="E11" s="188">
        <v>1</v>
      </c>
      <c r="F11" s="190">
        <f t="shared" si="0"/>
        <v>0</v>
      </c>
      <c r="G11" s="213">
        <v>0</v>
      </c>
      <c r="H11" s="188"/>
      <c r="I11" s="188"/>
      <c r="J11" s="1"/>
      <c r="K11" s="15"/>
      <c r="L11" s="15"/>
      <c r="M11" s="1"/>
      <c r="N11" s="1">
        <v>28</v>
      </c>
      <c r="O11" s="1">
        <v>3</v>
      </c>
      <c r="P11" s="1">
        <v>0</v>
      </c>
      <c r="Q11" s="1">
        <v>0</v>
      </c>
      <c r="R11" s="21">
        <f t="shared" si="1"/>
        <v>0</v>
      </c>
      <c r="S11" s="1"/>
      <c r="T11" s="4"/>
    </row>
    <row r="12" spans="1:20" x14ac:dyDescent="0.25">
      <c r="A12" s="2">
        <v>43903</v>
      </c>
      <c r="B12" s="188">
        <v>3</v>
      </c>
      <c r="C12" s="188">
        <v>34</v>
      </c>
      <c r="D12" s="188">
        <v>1</v>
      </c>
      <c r="E12" s="188">
        <v>2</v>
      </c>
      <c r="F12" s="190">
        <f t="shared" si="0"/>
        <v>0</v>
      </c>
      <c r="G12" s="213">
        <v>0</v>
      </c>
      <c r="H12" s="188"/>
      <c r="I12" s="188"/>
      <c r="J12" s="1"/>
      <c r="K12" s="15"/>
      <c r="L12" s="15"/>
      <c r="M12" s="1"/>
      <c r="N12" s="1">
        <v>30</v>
      </c>
      <c r="O12" s="1">
        <v>4</v>
      </c>
      <c r="P12" s="1">
        <v>0</v>
      </c>
      <c r="Q12" s="1">
        <v>0</v>
      </c>
      <c r="R12" s="21">
        <f t="shared" si="1"/>
        <v>0</v>
      </c>
      <c r="S12" s="1"/>
      <c r="T12" s="4"/>
    </row>
    <row r="13" spans="1:20" x14ac:dyDescent="0.25">
      <c r="A13" s="2">
        <v>43904</v>
      </c>
      <c r="B13" s="188">
        <v>11</v>
      </c>
      <c r="C13" s="188">
        <v>45</v>
      </c>
      <c r="D13" s="188">
        <v>0</v>
      </c>
      <c r="E13" s="188">
        <v>2</v>
      </c>
      <c r="F13" s="190">
        <f t="shared" si="0"/>
        <v>0</v>
      </c>
      <c r="G13" s="213">
        <v>0</v>
      </c>
      <c r="H13" s="188"/>
      <c r="I13" s="188"/>
      <c r="J13" s="1"/>
      <c r="K13" s="15"/>
      <c r="L13" s="15"/>
      <c r="M13" s="1"/>
      <c r="N13" s="1">
        <v>40</v>
      </c>
      <c r="O13" s="1">
        <v>5</v>
      </c>
      <c r="P13" s="1">
        <v>0</v>
      </c>
      <c r="Q13" s="1">
        <v>0</v>
      </c>
      <c r="R13" s="21">
        <f t="shared" si="1"/>
        <v>0</v>
      </c>
      <c r="S13" s="1"/>
      <c r="T13" s="4"/>
    </row>
    <row r="14" spans="1:20" x14ac:dyDescent="0.25">
      <c r="A14" s="2">
        <v>43905</v>
      </c>
      <c r="B14" s="188">
        <v>11</v>
      </c>
      <c r="C14" s="188">
        <v>56</v>
      </c>
      <c r="D14" s="188">
        <v>0</v>
      </c>
      <c r="E14" s="188">
        <v>2</v>
      </c>
      <c r="F14" s="190">
        <f t="shared" si="0"/>
        <v>0</v>
      </c>
      <c r="G14" s="213">
        <v>0</v>
      </c>
      <c r="H14" s="188"/>
      <c r="I14" s="188"/>
      <c r="J14" s="1"/>
      <c r="K14" s="15"/>
      <c r="L14" s="15"/>
      <c r="M14" s="1"/>
      <c r="N14" s="1">
        <v>48</v>
      </c>
      <c r="O14" s="1">
        <v>8</v>
      </c>
      <c r="P14" s="1">
        <v>0</v>
      </c>
      <c r="Q14" s="1">
        <v>0</v>
      </c>
      <c r="R14" s="21">
        <f t="shared" si="1"/>
        <v>0</v>
      </c>
      <c r="S14" s="53">
        <f t="shared" ref="S14:S77" si="2">H14/(C14-E14-G14)</f>
        <v>0</v>
      </c>
      <c r="T14" s="43">
        <f>E14/C14</f>
        <v>3.5714285714285712E-2</v>
      </c>
    </row>
    <row r="15" spans="1:20" x14ac:dyDescent="0.25">
      <c r="A15" s="2">
        <v>43906</v>
      </c>
      <c r="B15" s="188">
        <v>9</v>
      </c>
      <c r="C15" s="188">
        <v>65</v>
      </c>
      <c r="D15" s="188">
        <v>0</v>
      </c>
      <c r="E15" s="188">
        <v>2</v>
      </c>
      <c r="F15" s="190">
        <f t="shared" si="0"/>
        <v>0</v>
      </c>
      <c r="G15" s="213">
        <v>0</v>
      </c>
      <c r="H15" s="188"/>
      <c r="I15" s="188"/>
      <c r="J15" s="1"/>
      <c r="K15" s="15"/>
      <c r="L15" s="15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1">
        <f t="shared" si="1"/>
        <v>0</v>
      </c>
      <c r="S15" s="53">
        <f t="shared" si="2"/>
        <v>0</v>
      </c>
      <c r="T15" s="43">
        <f t="shared" ref="T15:T78" si="3">E15/C15</f>
        <v>3.0769230769230771E-2</v>
      </c>
    </row>
    <row r="16" spans="1:20" x14ac:dyDescent="0.25">
      <c r="A16" s="2">
        <v>43907</v>
      </c>
      <c r="B16" s="188">
        <v>13</v>
      </c>
      <c r="C16" s="188">
        <v>78</v>
      </c>
      <c r="D16" s="188">
        <v>0</v>
      </c>
      <c r="E16" s="188">
        <v>2</v>
      </c>
      <c r="F16" s="190">
        <f t="shared" si="0"/>
        <v>0</v>
      </c>
      <c r="G16" s="213">
        <v>0</v>
      </c>
      <c r="H16" s="188"/>
      <c r="I16" s="188"/>
      <c r="J16" s="1"/>
      <c r="K16" s="15">
        <v>686</v>
      </c>
      <c r="L16" s="15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1">
        <f t="shared" si="1"/>
        <v>0</v>
      </c>
      <c r="S16" s="53">
        <f t="shared" si="2"/>
        <v>0</v>
      </c>
      <c r="T16" s="43">
        <f t="shared" si="3"/>
        <v>2.564102564102564E-2</v>
      </c>
    </row>
    <row r="17" spans="1:20" x14ac:dyDescent="0.25">
      <c r="A17" s="2">
        <v>43908</v>
      </c>
      <c r="B17" s="188">
        <v>19</v>
      </c>
      <c r="C17" s="188">
        <v>97</v>
      </c>
      <c r="D17" s="188">
        <v>1</v>
      </c>
      <c r="E17" s="188">
        <v>3</v>
      </c>
      <c r="F17" s="190">
        <f t="shared" si="0"/>
        <v>18</v>
      </c>
      <c r="G17" s="213">
        <v>18</v>
      </c>
      <c r="H17" s="188"/>
      <c r="I17" s="188"/>
      <c r="J17" s="1"/>
      <c r="K17" s="15"/>
      <c r="L17" s="15">
        <v>562</v>
      </c>
      <c r="M17" s="1">
        <v>562</v>
      </c>
      <c r="N17" s="1">
        <v>80</v>
      </c>
      <c r="O17" s="1">
        <v>16</v>
      </c>
      <c r="P17" s="1">
        <v>0</v>
      </c>
      <c r="Q17" s="13">
        <f t="shared" ref="Q17:Q80" si="4">C17-P17-O17-N17</f>
        <v>1</v>
      </c>
      <c r="R17" s="21">
        <f t="shared" si="1"/>
        <v>18</v>
      </c>
      <c r="S17" s="53">
        <f t="shared" si="2"/>
        <v>0</v>
      </c>
      <c r="T17" s="43">
        <f t="shared" si="3"/>
        <v>3.0927835051546393E-2</v>
      </c>
    </row>
    <row r="18" spans="1:20" x14ac:dyDescent="0.25">
      <c r="A18" s="2">
        <v>43909</v>
      </c>
      <c r="B18" s="188">
        <v>31</v>
      </c>
      <c r="C18" s="188">
        <v>128</v>
      </c>
      <c r="D18" s="188">
        <v>0</v>
      </c>
      <c r="E18" s="188">
        <v>3</v>
      </c>
      <c r="F18" s="190">
        <f t="shared" si="0"/>
        <v>5</v>
      </c>
      <c r="G18" s="213">
        <v>23</v>
      </c>
      <c r="H18" s="188"/>
      <c r="I18" s="188"/>
      <c r="J18" s="1"/>
      <c r="K18" s="15"/>
      <c r="L18" s="15">
        <v>705</v>
      </c>
      <c r="M18" s="1">
        <v>705</v>
      </c>
      <c r="N18" s="1">
        <v>100</v>
      </c>
      <c r="O18" s="1">
        <v>22</v>
      </c>
      <c r="P18" s="1">
        <v>0</v>
      </c>
      <c r="Q18" s="13">
        <f t="shared" si="4"/>
        <v>6</v>
      </c>
      <c r="R18" s="21">
        <f t="shared" si="1"/>
        <v>5</v>
      </c>
      <c r="S18" s="53">
        <f t="shared" si="2"/>
        <v>0</v>
      </c>
      <c r="T18" s="43">
        <f t="shared" si="3"/>
        <v>2.34375E-2</v>
      </c>
    </row>
    <row r="19" spans="1:20" x14ac:dyDescent="0.25">
      <c r="A19" s="2">
        <v>43910</v>
      </c>
      <c r="B19" s="188">
        <v>30</v>
      </c>
      <c r="C19" s="188">
        <v>158</v>
      </c>
      <c r="D19" s="188">
        <v>0</v>
      </c>
      <c r="E19" s="188">
        <v>3</v>
      </c>
      <c r="F19" s="190">
        <f t="shared" si="0"/>
        <v>4</v>
      </c>
      <c r="G19" s="213">
        <v>27</v>
      </c>
      <c r="H19" s="188"/>
      <c r="I19" s="188"/>
      <c r="J19" s="1"/>
      <c r="K19" s="15"/>
      <c r="L19" s="15">
        <v>872</v>
      </c>
      <c r="M19" s="1">
        <v>872</v>
      </c>
      <c r="N19" s="1">
        <v>122</v>
      </c>
      <c r="O19" s="1">
        <v>26</v>
      </c>
      <c r="P19" s="1">
        <v>0</v>
      </c>
      <c r="Q19" s="13">
        <f t="shared" si="4"/>
        <v>10</v>
      </c>
      <c r="R19" s="21">
        <f t="shared" si="1"/>
        <v>4</v>
      </c>
      <c r="S19" s="53">
        <f t="shared" si="2"/>
        <v>0</v>
      </c>
      <c r="T19" s="43">
        <f t="shared" si="3"/>
        <v>1.8987341772151899E-2</v>
      </c>
    </row>
    <row r="20" spans="1:20" x14ac:dyDescent="0.25">
      <c r="A20" s="2">
        <v>43911</v>
      </c>
      <c r="B20" s="188">
        <v>67</v>
      </c>
      <c r="C20" s="188">
        <v>225</v>
      </c>
      <c r="D20" s="188">
        <v>1</v>
      </c>
      <c r="E20" s="188">
        <v>4</v>
      </c>
      <c r="F20" s="190">
        <f t="shared" si="0"/>
        <v>4</v>
      </c>
      <c r="G20" s="213">
        <v>31</v>
      </c>
      <c r="H20" s="188"/>
      <c r="I20" s="188"/>
      <c r="J20" s="1"/>
      <c r="K20" s="15"/>
      <c r="L20" s="15">
        <v>1028</v>
      </c>
      <c r="M20" s="1">
        <v>1028</v>
      </c>
      <c r="N20" s="1">
        <v>167</v>
      </c>
      <c r="O20" s="1">
        <v>38</v>
      </c>
      <c r="P20" s="1">
        <v>0</v>
      </c>
      <c r="Q20" s="13">
        <f t="shared" si="4"/>
        <v>20</v>
      </c>
      <c r="R20" s="21">
        <f t="shared" si="1"/>
        <v>4</v>
      </c>
      <c r="S20" s="53">
        <f t="shared" si="2"/>
        <v>0</v>
      </c>
      <c r="T20" s="43">
        <f t="shared" si="3"/>
        <v>1.7777777777777778E-2</v>
      </c>
    </row>
    <row r="21" spans="1:20" x14ac:dyDescent="0.25">
      <c r="A21" s="2">
        <v>43912</v>
      </c>
      <c r="B21" s="188">
        <v>41</v>
      </c>
      <c r="C21" s="188">
        <v>266</v>
      </c>
      <c r="D21" s="188">
        <v>0</v>
      </c>
      <c r="E21" s="188">
        <v>4</v>
      </c>
      <c r="F21" s="190">
        <f t="shared" si="0"/>
        <v>20</v>
      </c>
      <c r="G21" s="213">
        <v>51</v>
      </c>
      <c r="H21" s="188"/>
      <c r="I21" s="188"/>
      <c r="J21" s="1"/>
      <c r="K21" s="15"/>
      <c r="L21" s="15">
        <v>1271</v>
      </c>
      <c r="M21" s="1">
        <v>1271</v>
      </c>
      <c r="N21" s="1">
        <v>189</v>
      </c>
      <c r="O21" s="1">
        <v>59</v>
      </c>
      <c r="P21" s="1">
        <v>1</v>
      </c>
      <c r="Q21" s="13">
        <f t="shared" si="4"/>
        <v>17</v>
      </c>
      <c r="R21" s="21">
        <f t="shared" si="1"/>
        <v>20</v>
      </c>
      <c r="S21" s="53">
        <f t="shared" si="2"/>
        <v>0</v>
      </c>
      <c r="T21" s="43">
        <f t="shared" si="3"/>
        <v>1.5037593984962405E-2</v>
      </c>
    </row>
    <row r="22" spans="1:20" x14ac:dyDescent="0.25">
      <c r="A22" s="2">
        <v>43913</v>
      </c>
      <c r="B22" s="189">
        <v>36</v>
      </c>
      <c r="C22" s="189">
        <v>301</v>
      </c>
      <c r="D22" s="189">
        <v>0</v>
      </c>
      <c r="E22" s="188">
        <v>4</v>
      </c>
      <c r="F22" s="190">
        <f t="shared" si="0"/>
        <v>1</v>
      </c>
      <c r="G22" s="213">
        <v>52</v>
      </c>
      <c r="H22" s="188"/>
      <c r="I22" s="188"/>
      <c r="J22" s="1"/>
      <c r="K22" s="15"/>
      <c r="L22" s="15">
        <v>1453</v>
      </c>
      <c r="M22" s="1">
        <v>1453</v>
      </c>
      <c r="N22" s="1">
        <v>206</v>
      </c>
      <c r="O22" s="1">
        <v>64</v>
      </c>
      <c r="P22" s="1">
        <v>1</v>
      </c>
      <c r="Q22" s="13">
        <f t="shared" si="4"/>
        <v>30</v>
      </c>
      <c r="R22" s="21">
        <f t="shared" si="1"/>
        <v>1</v>
      </c>
      <c r="S22" s="53">
        <f t="shared" si="2"/>
        <v>0</v>
      </c>
      <c r="T22" s="43">
        <f t="shared" si="3"/>
        <v>1.3289036544850499E-2</v>
      </c>
    </row>
    <row r="23" spans="1:20" x14ac:dyDescent="0.25">
      <c r="A23" s="2">
        <v>43914</v>
      </c>
      <c r="B23" s="188">
        <v>86</v>
      </c>
      <c r="C23" s="188">
        <v>387</v>
      </c>
      <c r="D23" s="189">
        <v>2</v>
      </c>
      <c r="E23" s="188">
        <v>6</v>
      </c>
      <c r="F23" s="190">
        <f t="shared" si="0"/>
        <v>11</v>
      </c>
      <c r="G23" s="213">
        <v>63</v>
      </c>
      <c r="H23" s="188"/>
      <c r="I23" s="188"/>
      <c r="J23" s="1"/>
      <c r="K23" s="15"/>
      <c r="L23" s="15">
        <v>1453</v>
      </c>
      <c r="M23" s="1">
        <v>1453</v>
      </c>
      <c r="N23" s="1">
        <v>247</v>
      </c>
      <c r="O23" s="1">
        <v>84</v>
      </c>
      <c r="P23" s="1">
        <v>1</v>
      </c>
      <c r="Q23" s="13">
        <f t="shared" si="4"/>
        <v>55</v>
      </c>
      <c r="R23" s="21">
        <f t="shared" si="1"/>
        <v>11</v>
      </c>
      <c r="S23" s="53">
        <f t="shared" si="2"/>
        <v>0</v>
      </c>
      <c r="T23" s="43">
        <f t="shared" si="3"/>
        <v>1.5503875968992248E-2</v>
      </c>
    </row>
    <row r="24" spans="1:20" x14ac:dyDescent="0.25">
      <c r="A24" s="2">
        <v>43915</v>
      </c>
      <c r="B24" s="188">
        <v>117</v>
      </c>
      <c r="C24" s="188">
        <v>503</v>
      </c>
      <c r="D24" s="188">
        <v>2</v>
      </c>
      <c r="E24" s="188">
        <v>8</v>
      </c>
      <c r="F24" s="190">
        <f t="shared" si="0"/>
        <v>9</v>
      </c>
      <c r="G24" s="213">
        <v>72</v>
      </c>
      <c r="H24" s="188"/>
      <c r="I24" s="188"/>
      <c r="J24" s="1"/>
      <c r="K24" s="15"/>
      <c r="L24" s="15">
        <v>1946</v>
      </c>
      <c r="M24" s="1">
        <v>1946</v>
      </c>
      <c r="N24" s="1">
        <v>250</v>
      </c>
      <c r="O24" s="1">
        <v>102</v>
      </c>
      <c r="P24" s="1">
        <v>1</v>
      </c>
      <c r="Q24" s="13">
        <f t="shared" si="4"/>
        <v>150</v>
      </c>
      <c r="R24" s="21">
        <f t="shared" si="1"/>
        <v>9</v>
      </c>
      <c r="S24" s="53">
        <f t="shared" si="2"/>
        <v>0</v>
      </c>
      <c r="T24" s="43">
        <f t="shared" si="3"/>
        <v>1.5904572564612324E-2</v>
      </c>
    </row>
    <row r="25" spans="1:20" x14ac:dyDescent="0.25">
      <c r="A25" s="2">
        <v>43916</v>
      </c>
      <c r="B25" s="188">
        <v>87</v>
      </c>
      <c r="C25" s="188">
        <v>589</v>
      </c>
      <c r="D25" s="188">
        <v>4</v>
      </c>
      <c r="E25" s="188">
        <v>12</v>
      </c>
      <c r="F25" s="190">
        <f t="shared" si="0"/>
        <v>3</v>
      </c>
      <c r="G25" s="213">
        <v>75</v>
      </c>
      <c r="H25" s="188">
        <v>25</v>
      </c>
      <c r="I25" s="188"/>
      <c r="J25" s="1"/>
      <c r="K25" s="15"/>
      <c r="L25" s="15">
        <v>2558</v>
      </c>
      <c r="M25" s="1">
        <v>2558</v>
      </c>
      <c r="N25" s="1">
        <v>287</v>
      </c>
      <c r="O25" s="1">
        <v>126</v>
      </c>
      <c r="P25" s="1">
        <v>1</v>
      </c>
      <c r="Q25" s="13">
        <f t="shared" si="4"/>
        <v>175</v>
      </c>
      <c r="R25" s="21">
        <f t="shared" si="1"/>
        <v>3</v>
      </c>
      <c r="S25" s="53">
        <f t="shared" si="2"/>
        <v>4.9800796812749001E-2</v>
      </c>
      <c r="T25" s="43">
        <f t="shared" si="3"/>
        <v>2.037351443123939E-2</v>
      </c>
    </row>
    <row r="26" spans="1:20" x14ac:dyDescent="0.25">
      <c r="A26" s="2">
        <v>43917</v>
      </c>
      <c r="B26" s="188">
        <v>101</v>
      </c>
      <c r="C26" s="188">
        <v>690</v>
      </c>
      <c r="D26" s="188">
        <v>5</v>
      </c>
      <c r="E26" s="188">
        <v>17</v>
      </c>
      <c r="F26" s="190">
        <f t="shared" si="0"/>
        <v>5</v>
      </c>
      <c r="G26" s="213">
        <v>80</v>
      </c>
      <c r="H26" s="188"/>
      <c r="I26" s="188"/>
      <c r="J26" s="1"/>
      <c r="K26" s="15"/>
      <c r="L26" s="15">
        <v>2817</v>
      </c>
      <c r="M26" s="1">
        <v>2817</v>
      </c>
      <c r="N26" s="1">
        <v>387</v>
      </c>
      <c r="O26" s="1">
        <v>167</v>
      </c>
      <c r="P26" s="1">
        <v>1</v>
      </c>
      <c r="Q26" s="13">
        <f t="shared" si="4"/>
        <v>135</v>
      </c>
      <c r="R26" s="21">
        <f t="shared" si="1"/>
        <v>5</v>
      </c>
      <c r="S26" s="53">
        <f t="shared" si="2"/>
        <v>0</v>
      </c>
      <c r="T26" s="43">
        <f t="shared" si="3"/>
        <v>2.4637681159420291E-2</v>
      </c>
    </row>
    <row r="27" spans="1:20" x14ac:dyDescent="0.25">
      <c r="A27" s="2">
        <v>43918</v>
      </c>
      <c r="B27" s="188">
        <v>55</v>
      </c>
      <c r="C27" s="188">
        <v>745</v>
      </c>
      <c r="D27" s="188">
        <v>2</v>
      </c>
      <c r="E27" s="188">
        <v>19</v>
      </c>
      <c r="F27" s="190">
        <f t="shared" si="0"/>
        <v>11</v>
      </c>
      <c r="G27" s="213">
        <v>91</v>
      </c>
      <c r="H27" s="188">
        <v>44</v>
      </c>
      <c r="I27" s="188"/>
      <c r="J27" s="1"/>
      <c r="K27" s="15"/>
      <c r="L27" s="15">
        <v>3215</v>
      </c>
      <c r="M27" s="1">
        <v>3215</v>
      </c>
      <c r="N27" s="1">
        <v>408</v>
      </c>
      <c r="O27" s="1">
        <v>185</v>
      </c>
      <c r="P27" s="1">
        <v>1</v>
      </c>
      <c r="Q27" s="13">
        <f t="shared" si="4"/>
        <v>151</v>
      </c>
      <c r="R27" s="21">
        <f t="shared" si="1"/>
        <v>11</v>
      </c>
      <c r="S27" s="53">
        <f t="shared" si="2"/>
        <v>6.9291338582677164E-2</v>
      </c>
      <c r="T27" s="43">
        <f t="shared" si="3"/>
        <v>2.5503355704697986E-2</v>
      </c>
    </row>
    <row r="28" spans="1:20" x14ac:dyDescent="0.25">
      <c r="A28" s="2">
        <v>43919</v>
      </c>
      <c r="B28" s="188">
        <v>75</v>
      </c>
      <c r="C28" s="188">
        <v>820</v>
      </c>
      <c r="D28" s="188">
        <v>1</v>
      </c>
      <c r="E28" s="188">
        <v>20</v>
      </c>
      <c r="F28" s="190">
        <f t="shared" si="0"/>
        <v>137</v>
      </c>
      <c r="G28" s="213">
        <v>228</v>
      </c>
      <c r="H28" s="188">
        <v>53</v>
      </c>
      <c r="I28" s="188"/>
      <c r="J28" s="1"/>
      <c r="K28" s="15"/>
      <c r="L28" s="15">
        <v>3580</v>
      </c>
      <c r="M28" s="1">
        <v>3580</v>
      </c>
      <c r="N28" s="1">
        <v>442</v>
      </c>
      <c r="O28" s="1">
        <v>207</v>
      </c>
      <c r="P28" s="1">
        <v>1</v>
      </c>
      <c r="Q28" s="13">
        <f t="shared" si="4"/>
        <v>170</v>
      </c>
      <c r="R28" s="21">
        <f t="shared" si="1"/>
        <v>137</v>
      </c>
      <c r="S28" s="53">
        <f t="shared" si="2"/>
        <v>9.2657342657342656E-2</v>
      </c>
      <c r="T28" s="43">
        <f t="shared" si="3"/>
        <v>2.4390243902439025E-2</v>
      </c>
    </row>
    <row r="29" spans="1:20" x14ac:dyDescent="0.25">
      <c r="A29" s="2">
        <v>43920</v>
      </c>
      <c r="B29" s="188">
        <v>146</v>
      </c>
      <c r="C29" s="188">
        <v>966</v>
      </c>
      <c r="D29" s="188">
        <v>5</v>
      </c>
      <c r="E29" s="188">
        <v>25</v>
      </c>
      <c r="F29" s="190">
        <f t="shared" si="0"/>
        <v>12</v>
      </c>
      <c r="G29" s="213">
        <v>240</v>
      </c>
      <c r="H29" s="188">
        <v>55</v>
      </c>
      <c r="I29" s="188"/>
      <c r="J29" s="1"/>
      <c r="K29" s="15"/>
      <c r="L29" s="15">
        <v>4065</v>
      </c>
      <c r="M29" s="1">
        <v>4065</v>
      </c>
      <c r="N29" s="1">
        <v>489</v>
      </c>
      <c r="O29" s="1">
        <v>207</v>
      </c>
      <c r="P29" s="1">
        <v>1</v>
      </c>
      <c r="Q29" s="13">
        <f t="shared" si="4"/>
        <v>269</v>
      </c>
      <c r="R29" s="21">
        <f t="shared" si="1"/>
        <v>12</v>
      </c>
      <c r="S29" s="53">
        <f t="shared" si="2"/>
        <v>7.8459343794579167E-2</v>
      </c>
      <c r="T29" s="43">
        <f t="shared" si="3"/>
        <v>2.5879917184265012E-2</v>
      </c>
    </row>
    <row r="30" spans="1:20" x14ac:dyDescent="0.25">
      <c r="A30" s="2">
        <v>43921</v>
      </c>
      <c r="B30" s="188">
        <v>88</v>
      </c>
      <c r="C30" s="188">
        <v>1054</v>
      </c>
      <c r="D30" s="188">
        <v>3</v>
      </c>
      <c r="E30" s="188">
        <v>28</v>
      </c>
      <c r="F30" s="190">
        <f t="shared" si="0"/>
        <v>8</v>
      </c>
      <c r="G30" s="213">
        <v>248</v>
      </c>
      <c r="H30" s="188">
        <v>55</v>
      </c>
      <c r="I30" s="188"/>
      <c r="J30" s="1"/>
      <c r="K30" s="15"/>
      <c r="L30" s="15">
        <v>4597</v>
      </c>
      <c r="M30" s="1">
        <v>4597</v>
      </c>
      <c r="N30" s="1">
        <v>529</v>
      </c>
      <c r="O30" s="1">
        <v>295</v>
      </c>
      <c r="P30" s="1">
        <v>1</v>
      </c>
      <c r="Q30" s="13">
        <f t="shared" si="4"/>
        <v>229</v>
      </c>
      <c r="R30" s="21">
        <f t="shared" si="1"/>
        <v>8</v>
      </c>
      <c r="S30" s="53">
        <f t="shared" si="2"/>
        <v>7.0694087403598976E-2</v>
      </c>
      <c r="T30" s="43">
        <f t="shared" si="3"/>
        <v>2.6565464895635674E-2</v>
      </c>
    </row>
    <row r="31" spans="1:20" x14ac:dyDescent="0.25">
      <c r="A31" s="2">
        <v>43922</v>
      </c>
      <c r="B31" s="188">
        <v>79</v>
      </c>
      <c r="C31" s="188">
        <v>1133</v>
      </c>
      <c r="D31" s="188">
        <v>5</v>
      </c>
      <c r="E31" s="188">
        <v>33</v>
      </c>
      <c r="F31" s="190">
        <f t="shared" si="0"/>
        <v>8</v>
      </c>
      <c r="G31" s="213">
        <v>256</v>
      </c>
      <c r="H31" s="188">
        <v>72</v>
      </c>
      <c r="I31" s="188"/>
      <c r="J31" s="1"/>
      <c r="K31" s="15"/>
      <c r="L31" s="15">
        <v>5144</v>
      </c>
      <c r="M31" s="1">
        <v>5144</v>
      </c>
      <c r="N31" s="1">
        <v>580</v>
      </c>
      <c r="O31" s="1">
        <v>349</v>
      </c>
      <c r="P31" s="1">
        <v>1</v>
      </c>
      <c r="Q31" s="13">
        <f t="shared" si="4"/>
        <v>203</v>
      </c>
      <c r="R31" s="21">
        <f t="shared" si="1"/>
        <v>8</v>
      </c>
      <c r="S31" s="53">
        <f t="shared" si="2"/>
        <v>8.5308056872037921E-2</v>
      </c>
      <c r="T31" s="43">
        <f t="shared" si="3"/>
        <v>2.9126213592233011E-2</v>
      </c>
    </row>
    <row r="32" spans="1:20" x14ac:dyDescent="0.25">
      <c r="A32" s="2">
        <v>43923</v>
      </c>
      <c r="B32" s="188">
        <v>132</v>
      </c>
      <c r="C32" s="188">
        <v>1265</v>
      </c>
      <c r="D32" s="188">
        <v>4</v>
      </c>
      <c r="E32" s="188">
        <v>37</v>
      </c>
      <c r="F32" s="190">
        <f t="shared" si="0"/>
        <v>10</v>
      </c>
      <c r="G32" s="213">
        <v>266</v>
      </c>
      <c r="H32" s="188">
        <v>82</v>
      </c>
      <c r="I32" s="188"/>
      <c r="J32" s="1"/>
      <c r="K32" s="15"/>
      <c r="L32" s="15">
        <v>6120</v>
      </c>
      <c r="M32" s="1">
        <v>6120</v>
      </c>
      <c r="N32" s="1">
        <v>622</v>
      </c>
      <c r="O32" s="1">
        <v>397</v>
      </c>
      <c r="P32" s="1">
        <v>103</v>
      </c>
      <c r="Q32" s="13">
        <f t="shared" si="4"/>
        <v>143</v>
      </c>
      <c r="R32" s="21">
        <f t="shared" si="1"/>
        <v>10</v>
      </c>
      <c r="S32" s="53">
        <f t="shared" si="2"/>
        <v>8.5239085239085244E-2</v>
      </c>
      <c r="T32" s="43">
        <f t="shared" si="3"/>
        <v>2.9249011857707511E-2</v>
      </c>
    </row>
    <row r="33" spans="1:20" x14ac:dyDescent="0.25">
      <c r="A33" s="2">
        <v>43924</v>
      </c>
      <c r="B33" s="188">
        <v>88</v>
      </c>
      <c r="C33" s="188">
        <v>1353</v>
      </c>
      <c r="D33" s="188">
        <v>5</v>
      </c>
      <c r="E33" s="188">
        <v>42</v>
      </c>
      <c r="F33" s="190">
        <f t="shared" si="0"/>
        <v>13</v>
      </c>
      <c r="G33" s="213">
        <v>279</v>
      </c>
      <c r="H33" s="188">
        <v>86</v>
      </c>
      <c r="I33" s="188"/>
      <c r="J33" s="1"/>
      <c r="K33" s="15"/>
      <c r="L33" s="15">
        <v>7135</v>
      </c>
      <c r="M33" s="1">
        <v>7135</v>
      </c>
      <c r="N33" s="1">
        <v>656</v>
      </c>
      <c r="O33" s="1">
        <v>460</v>
      </c>
      <c r="P33" s="1">
        <v>113</v>
      </c>
      <c r="Q33" s="13">
        <f t="shared" si="4"/>
        <v>124</v>
      </c>
      <c r="R33" s="21">
        <f t="shared" si="1"/>
        <v>13</v>
      </c>
      <c r="S33" s="53">
        <f t="shared" si="2"/>
        <v>8.3333333333333329E-2</v>
      </c>
      <c r="T33" s="43">
        <f t="shared" si="3"/>
        <v>3.1042128603104215E-2</v>
      </c>
    </row>
    <row r="34" spans="1:20" x14ac:dyDescent="0.25">
      <c r="A34" s="2">
        <v>43925</v>
      </c>
      <c r="B34" s="188">
        <v>98</v>
      </c>
      <c r="C34" s="188">
        <v>1451</v>
      </c>
      <c r="D34" s="188">
        <v>1</v>
      </c>
      <c r="E34" s="188">
        <v>43</v>
      </c>
      <c r="F34" s="190">
        <f t="shared" si="0"/>
        <v>1</v>
      </c>
      <c r="G34" s="213">
        <v>280</v>
      </c>
      <c r="H34" s="188">
        <v>87</v>
      </c>
      <c r="I34" s="188"/>
      <c r="J34" s="1"/>
      <c r="K34" s="15">
        <v>394</v>
      </c>
      <c r="L34" s="15">
        <v>7494</v>
      </c>
      <c r="M34" s="1">
        <v>7888</v>
      </c>
      <c r="N34" s="1">
        <v>674</v>
      </c>
      <c r="O34" s="1">
        <v>490</v>
      </c>
      <c r="P34" s="1">
        <v>119</v>
      </c>
      <c r="Q34" s="13">
        <f t="shared" si="4"/>
        <v>168</v>
      </c>
      <c r="R34" s="21">
        <f t="shared" si="1"/>
        <v>1</v>
      </c>
      <c r="S34" s="53">
        <f t="shared" si="2"/>
        <v>7.7127659574468085E-2</v>
      </c>
      <c r="T34" s="43">
        <f t="shared" si="3"/>
        <v>2.9634734665747762E-2</v>
      </c>
    </row>
    <row r="35" spans="1:20" x14ac:dyDescent="0.25">
      <c r="A35" s="2">
        <v>43926</v>
      </c>
      <c r="B35" s="188">
        <v>103</v>
      </c>
      <c r="C35" s="188">
        <v>1554</v>
      </c>
      <c r="D35" s="188">
        <v>3</v>
      </c>
      <c r="E35" s="188">
        <v>46</v>
      </c>
      <c r="F35" s="190">
        <f t="shared" si="0"/>
        <v>45</v>
      </c>
      <c r="G35" s="213">
        <v>325</v>
      </c>
      <c r="H35" s="188">
        <v>94</v>
      </c>
      <c r="I35" s="188"/>
      <c r="J35" s="1"/>
      <c r="K35" s="15">
        <v>383</v>
      </c>
      <c r="L35" s="15">
        <v>8125</v>
      </c>
      <c r="M35" s="1">
        <v>8508</v>
      </c>
      <c r="N35" s="1">
        <v>695</v>
      </c>
      <c r="O35" s="1">
        <v>536</v>
      </c>
      <c r="P35" s="1">
        <v>148</v>
      </c>
      <c r="Q35" s="13">
        <f t="shared" si="4"/>
        <v>175</v>
      </c>
      <c r="R35" s="21">
        <f t="shared" si="1"/>
        <v>45</v>
      </c>
      <c r="S35" s="53">
        <f t="shared" si="2"/>
        <v>7.945900253592561E-2</v>
      </c>
      <c r="T35" s="43">
        <f t="shared" si="3"/>
        <v>2.9601029601029602E-2</v>
      </c>
    </row>
    <row r="36" spans="1:20" x14ac:dyDescent="0.25">
      <c r="A36" s="2">
        <v>43927</v>
      </c>
      <c r="B36" s="188">
        <v>74</v>
      </c>
      <c r="C36" s="188">
        <v>1628</v>
      </c>
      <c r="D36" s="188">
        <v>7</v>
      </c>
      <c r="E36" s="188">
        <v>53</v>
      </c>
      <c r="F36" s="190">
        <f t="shared" si="0"/>
        <v>13</v>
      </c>
      <c r="G36" s="213">
        <v>338</v>
      </c>
      <c r="H36" s="188">
        <v>96</v>
      </c>
      <c r="I36" s="188"/>
      <c r="J36" s="1"/>
      <c r="K36" s="15">
        <v>458</v>
      </c>
      <c r="L36" s="15">
        <v>8707</v>
      </c>
      <c r="M36" s="1">
        <v>9165</v>
      </c>
      <c r="N36" s="1">
        <v>718</v>
      </c>
      <c r="O36" s="1">
        <v>563</v>
      </c>
      <c r="P36" s="1">
        <v>175</v>
      </c>
      <c r="Q36" s="13">
        <f t="shared" si="4"/>
        <v>172</v>
      </c>
      <c r="R36" s="21">
        <f t="shared" si="1"/>
        <v>13</v>
      </c>
      <c r="S36" s="53">
        <f t="shared" si="2"/>
        <v>7.7607113985448672E-2</v>
      </c>
      <c r="T36" s="43">
        <f t="shared" si="3"/>
        <v>3.2555282555282554E-2</v>
      </c>
    </row>
    <row r="37" spans="1:20" x14ac:dyDescent="0.25">
      <c r="A37" s="2">
        <v>43928</v>
      </c>
      <c r="B37" s="188">
        <v>87</v>
      </c>
      <c r="C37" s="188">
        <v>1715</v>
      </c>
      <c r="D37" s="188">
        <v>7</v>
      </c>
      <c r="E37" s="188">
        <v>60</v>
      </c>
      <c r="F37" s="190">
        <f t="shared" si="0"/>
        <v>20</v>
      </c>
      <c r="G37" s="213">
        <v>358</v>
      </c>
      <c r="H37" s="188">
        <v>98</v>
      </c>
      <c r="I37" s="188">
        <v>1552</v>
      </c>
      <c r="J37" s="1"/>
      <c r="K37" s="15">
        <v>418</v>
      </c>
      <c r="L37" s="15">
        <v>10020</v>
      </c>
      <c r="M37" s="1">
        <v>10438</v>
      </c>
      <c r="N37" s="1">
        <v>738</v>
      </c>
      <c r="O37" s="1">
        <v>588</v>
      </c>
      <c r="P37" s="1">
        <v>205</v>
      </c>
      <c r="Q37" s="13">
        <f t="shared" si="4"/>
        <v>184</v>
      </c>
      <c r="R37" s="21">
        <f t="shared" si="1"/>
        <v>20</v>
      </c>
      <c r="S37" s="53">
        <f t="shared" si="2"/>
        <v>7.5558982266769464E-2</v>
      </c>
      <c r="T37" s="43">
        <f t="shared" si="3"/>
        <v>3.4985422740524783E-2</v>
      </c>
    </row>
    <row r="38" spans="1:20" x14ac:dyDescent="0.25">
      <c r="A38" s="2">
        <v>43929</v>
      </c>
      <c r="B38" s="188">
        <v>80</v>
      </c>
      <c r="C38" s="188">
        <v>1795</v>
      </c>
      <c r="D38" s="188">
        <v>5</v>
      </c>
      <c r="E38" s="188">
        <v>65</v>
      </c>
      <c r="F38" s="190">
        <f t="shared" si="0"/>
        <v>7</v>
      </c>
      <c r="G38" s="213">
        <v>365</v>
      </c>
      <c r="H38" s="188">
        <v>98</v>
      </c>
      <c r="I38" s="188">
        <v>1520</v>
      </c>
      <c r="J38" s="1"/>
      <c r="K38" s="15">
        <v>450</v>
      </c>
      <c r="L38" s="15">
        <v>11385</v>
      </c>
      <c r="M38" s="1">
        <v>11835</v>
      </c>
      <c r="N38" s="1">
        <v>767</v>
      </c>
      <c r="O38" s="1">
        <v>618</v>
      </c>
      <c r="P38" s="1">
        <v>224</v>
      </c>
      <c r="Q38" s="13">
        <f t="shared" si="4"/>
        <v>186</v>
      </c>
      <c r="R38" s="21">
        <f t="shared" si="1"/>
        <v>7</v>
      </c>
      <c r="S38" s="53">
        <f t="shared" si="2"/>
        <v>7.179487179487179E-2</v>
      </c>
      <c r="T38" s="43">
        <f t="shared" si="3"/>
        <v>3.6211699164345405E-2</v>
      </c>
    </row>
    <row r="39" spans="1:20" x14ac:dyDescent="0.25">
      <c r="A39" s="2">
        <v>43930</v>
      </c>
      <c r="B39" s="188">
        <v>99</v>
      </c>
      <c r="C39" s="188">
        <v>1894</v>
      </c>
      <c r="D39" s="188">
        <v>14</v>
      </c>
      <c r="E39" s="188">
        <v>79</v>
      </c>
      <c r="F39" s="190">
        <f t="shared" si="0"/>
        <v>10</v>
      </c>
      <c r="G39" s="213">
        <v>375</v>
      </c>
      <c r="H39" s="188">
        <v>98</v>
      </c>
      <c r="I39" s="188">
        <v>1529</v>
      </c>
      <c r="J39" s="1">
        <v>16379</v>
      </c>
      <c r="K39" s="15"/>
      <c r="L39" s="15"/>
      <c r="M39" s="1">
        <v>12983</v>
      </c>
      <c r="N39" s="1">
        <v>785</v>
      </c>
      <c r="O39" s="1">
        <v>641</v>
      </c>
      <c r="P39" s="1">
        <v>261</v>
      </c>
      <c r="Q39" s="13">
        <f t="shared" si="4"/>
        <v>207</v>
      </c>
      <c r="R39" s="21">
        <f t="shared" si="1"/>
        <v>10</v>
      </c>
      <c r="S39" s="53">
        <f t="shared" si="2"/>
        <v>6.805555555555555E-2</v>
      </c>
      <c r="T39" s="43">
        <f t="shared" si="3"/>
        <v>4.171066525871172E-2</v>
      </c>
    </row>
    <row r="40" spans="1:20" x14ac:dyDescent="0.25">
      <c r="A40" s="2">
        <v>43931</v>
      </c>
      <c r="B40" s="188">
        <v>81</v>
      </c>
      <c r="C40" s="188">
        <v>1975</v>
      </c>
      <c r="D40" s="188">
        <v>3</v>
      </c>
      <c r="E40" s="188">
        <v>82</v>
      </c>
      <c r="F40" s="190">
        <f t="shared" si="0"/>
        <v>65</v>
      </c>
      <c r="G40" s="213">
        <v>440</v>
      </c>
      <c r="H40" s="188">
        <v>115</v>
      </c>
      <c r="I40" s="188">
        <v>1648</v>
      </c>
      <c r="J40" s="1">
        <v>18027</v>
      </c>
      <c r="K40" s="15">
        <v>566</v>
      </c>
      <c r="L40" s="15">
        <v>13584</v>
      </c>
      <c r="M40" s="1">
        <v>14150</v>
      </c>
      <c r="N40" s="1">
        <v>790</v>
      </c>
      <c r="O40" s="1">
        <v>672</v>
      </c>
      <c r="P40" s="1">
        <v>290</v>
      </c>
      <c r="Q40" s="13">
        <f t="shared" si="4"/>
        <v>223</v>
      </c>
      <c r="R40" s="21">
        <f t="shared" si="1"/>
        <v>65</v>
      </c>
      <c r="S40" s="53">
        <f t="shared" si="2"/>
        <v>7.9146593255333797E-2</v>
      </c>
      <c r="T40" s="43">
        <f t="shared" si="3"/>
        <v>4.1518987341772152E-2</v>
      </c>
    </row>
    <row r="41" spans="1:20" x14ac:dyDescent="0.25">
      <c r="A41" s="2">
        <v>43932</v>
      </c>
      <c r="B41" s="188">
        <v>167</v>
      </c>
      <c r="C41" s="188">
        <v>2142</v>
      </c>
      <c r="D41" s="188">
        <v>7</v>
      </c>
      <c r="E41" s="188">
        <v>89</v>
      </c>
      <c r="F41" s="190">
        <f t="shared" si="0"/>
        <v>28</v>
      </c>
      <c r="G41" s="213">
        <v>468</v>
      </c>
      <c r="H41" s="188">
        <v>83</v>
      </c>
      <c r="I41" s="188">
        <v>1731</v>
      </c>
      <c r="J41" s="1">
        <v>19758</v>
      </c>
      <c r="K41" s="15">
        <v>464</v>
      </c>
      <c r="L41" s="15">
        <v>15016</v>
      </c>
      <c r="M41" s="1">
        <v>15480</v>
      </c>
      <c r="N41" s="1">
        <v>816</v>
      </c>
      <c r="O41" s="1">
        <v>712</v>
      </c>
      <c r="P41" s="1">
        <v>304</v>
      </c>
      <c r="Q41" s="13">
        <f t="shared" si="4"/>
        <v>310</v>
      </c>
      <c r="R41" s="21">
        <f t="shared" si="1"/>
        <v>28</v>
      </c>
      <c r="S41" s="53">
        <f t="shared" si="2"/>
        <v>5.2365930599369087E-2</v>
      </c>
      <c r="T41" s="43">
        <f t="shared" si="3"/>
        <v>4.1549953314659195E-2</v>
      </c>
    </row>
    <row r="42" spans="1:20" x14ac:dyDescent="0.25">
      <c r="A42" s="2">
        <v>43933</v>
      </c>
      <c r="B42" s="188">
        <v>66</v>
      </c>
      <c r="C42" s="188">
        <v>2208</v>
      </c>
      <c r="D42" s="188">
        <v>6</v>
      </c>
      <c r="E42" s="188">
        <v>95</v>
      </c>
      <c r="F42" s="190">
        <f t="shared" si="0"/>
        <v>47</v>
      </c>
      <c r="G42" s="213">
        <v>515</v>
      </c>
      <c r="H42" s="188">
        <v>113</v>
      </c>
      <c r="I42" s="188">
        <v>1435</v>
      </c>
      <c r="J42" s="1">
        <v>21193</v>
      </c>
      <c r="K42" s="15">
        <v>477</v>
      </c>
      <c r="L42" s="15">
        <v>15939</v>
      </c>
      <c r="M42" s="1">
        <v>16416</v>
      </c>
      <c r="N42" s="1">
        <v>821</v>
      </c>
      <c r="O42" s="1">
        <v>766</v>
      </c>
      <c r="P42" s="1">
        <v>318</v>
      </c>
      <c r="Q42" s="13">
        <f t="shared" si="4"/>
        <v>303</v>
      </c>
      <c r="R42" s="21">
        <f t="shared" si="1"/>
        <v>47</v>
      </c>
      <c r="S42" s="53">
        <f t="shared" si="2"/>
        <v>7.07133917396746E-2</v>
      </c>
      <c r="T42" s="43">
        <f t="shared" si="3"/>
        <v>4.3025362318840576E-2</v>
      </c>
    </row>
    <row r="43" spans="1:20" x14ac:dyDescent="0.25">
      <c r="A43" s="2">
        <v>43934</v>
      </c>
      <c r="B43" s="188">
        <v>69</v>
      </c>
      <c r="C43" s="188">
        <v>2277</v>
      </c>
      <c r="D43" s="188">
        <v>3</v>
      </c>
      <c r="E43" s="188">
        <v>98</v>
      </c>
      <c r="F43" s="190">
        <f t="shared" si="0"/>
        <v>44</v>
      </c>
      <c r="G43" s="213">
        <v>559</v>
      </c>
      <c r="H43" s="188">
        <v>116</v>
      </c>
      <c r="I43" s="188">
        <v>1612</v>
      </c>
      <c r="J43" s="1">
        <v>22805</v>
      </c>
      <c r="K43" s="15">
        <v>479</v>
      </c>
      <c r="L43" s="15">
        <v>17245</v>
      </c>
      <c r="M43" s="1">
        <v>17724</v>
      </c>
      <c r="N43" s="1">
        <v>830</v>
      </c>
      <c r="O43" s="1">
        <v>790</v>
      </c>
      <c r="P43" s="1">
        <v>354</v>
      </c>
      <c r="Q43" s="13">
        <f t="shared" si="4"/>
        <v>303</v>
      </c>
      <c r="R43" s="21">
        <f t="shared" si="1"/>
        <v>44</v>
      </c>
      <c r="S43" s="53">
        <f t="shared" si="2"/>
        <v>7.160493827160494E-2</v>
      </c>
      <c r="T43" s="43">
        <f t="shared" si="3"/>
        <v>4.3039086517347384E-2</v>
      </c>
    </row>
    <row r="44" spans="1:20" x14ac:dyDescent="0.25">
      <c r="A44" s="2">
        <v>43935</v>
      </c>
      <c r="B44" s="188">
        <v>166</v>
      </c>
      <c r="C44" s="188">
        <v>2443</v>
      </c>
      <c r="D44" s="188">
        <v>7</v>
      </c>
      <c r="E44" s="188">
        <v>105</v>
      </c>
      <c r="F44" s="190">
        <f t="shared" si="0"/>
        <v>37</v>
      </c>
      <c r="G44" s="213">
        <v>596</v>
      </c>
      <c r="H44" s="188">
        <v>117</v>
      </c>
      <c r="I44" s="188">
        <v>1569</v>
      </c>
      <c r="J44" s="1">
        <v>24374</v>
      </c>
      <c r="K44" s="15">
        <v>486</v>
      </c>
      <c r="L44" s="15">
        <v>18415</v>
      </c>
      <c r="M44" s="1">
        <v>18901</v>
      </c>
      <c r="N44" s="1">
        <v>833</v>
      </c>
      <c r="O44" s="1">
        <v>857</v>
      </c>
      <c r="P44" s="1">
        <v>393</v>
      </c>
      <c r="Q44" s="13">
        <f t="shared" si="4"/>
        <v>360</v>
      </c>
      <c r="R44" s="21">
        <f t="shared" si="1"/>
        <v>37</v>
      </c>
      <c r="S44" s="53">
        <f t="shared" si="2"/>
        <v>6.7164179104477612E-2</v>
      </c>
      <c r="T44" s="43">
        <f t="shared" si="3"/>
        <v>4.2979942693409739E-2</v>
      </c>
    </row>
    <row r="45" spans="1:20" x14ac:dyDescent="0.25">
      <c r="A45" s="2">
        <v>43936</v>
      </c>
      <c r="B45" s="188">
        <v>128</v>
      </c>
      <c r="C45" s="188">
        <v>2571</v>
      </c>
      <c r="D45" s="188">
        <v>7</v>
      </c>
      <c r="E45" s="188">
        <v>112</v>
      </c>
      <c r="F45" s="190">
        <f t="shared" si="0"/>
        <v>35</v>
      </c>
      <c r="G45" s="213">
        <v>631</v>
      </c>
      <c r="H45" s="188">
        <v>121</v>
      </c>
      <c r="I45" s="188">
        <v>2083</v>
      </c>
      <c r="J45" s="1">
        <v>26457</v>
      </c>
      <c r="K45" s="15">
        <v>497</v>
      </c>
      <c r="L45" s="15">
        <v>20148</v>
      </c>
      <c r="M45" s="1">
        <v>20645</v>
      </c>
      <c r="N45" s="1">
        <v>840</v>
      </c>
      <c r="O45" s="1">
        <v>903</v>
      </c>
      <c r="P45" s="1">
        <v>425</v>
      </c>
      <c r="Q45" s="13">
        <f t="shared" si="4"/>
        <v>403</v>
      </c>
      <c r="R45" s="21">
        <f t="shared" si="1"/>
        <v>35</v>
      </c>
      <c r="S45" s="53">
        <f t="shared" si="2"/>
        <v>6.6192560175054704E-2</v>
      </c>
      <c r="T45" s="43">
        <f t="shared" si="3"/>
        <v>4.3562816024893036E-2</v>
      </c>
    </row>
    <row r="46" spans="1:20" x14ac:dyDescent="0.25">
      <c r="A46" s="2">
        <v>43937</v>
      </c>
      <c r="B46" s="188">
        <v>98</v>
      </c>
      <c r="C46" s="188">
        <v>2669</v>
      </c>
      <c r="D46" s="188">
        <v>10</v>
      </c>
      <c r="E46" s="188">
        <v>122</v>
      </c>
      <c r="F46" s="190">
        <f t="shared" si="0"/>
        <v>35</v>
      </c>
      <c r="G46" s="213">
        <v>666</v>
      </c>
      <c r="H46" s="188">
        <v>126</v>
      </c>
      <c r="I46" s="188">
        <v>2193</v>
      </c>
      <c r="J46" s="1">
        <v>28650</v>
      </c>
      <c r="K46" s="15">
        <v>508</v>
      </c>
      <c r="L46" s="15">
        <v>21802</v>
      </c>
      <c r="M46" s="1">
        <v>22310</v>
      </c>
      <c r="N46" s="1">
        <v>845</v>
      </c>
      <c r="O46" s="1">
        <v>951</v>
      </c>
      <c r="P46" s="1">
        <v>448</v>
      </c>
      <c r="Q46" s="13">
        <f t="shared" si="4"/>
        <v>425</v>
      </c>
      <c r="R46" s="21">
        <f t="shared" si="1"/>
        <v>35</v>
      </c>
      <c r="S46" s="53">
        <f t="shared" si="2"/>
        <v>6.6985645933014357E-2</v>
      </c>
      <c r="T46" s="43">
        <f t="shared" si="3"/>
        <v>4.5710003746721621E-2</v>
      </c>
    </row>
    <row r="47" spans="1:20" x14ac:dyDescent="0.25">
      <c r="A47" s="2">
        <v>43938</v>
      </c>
      <c r="B47" s="188">
        <v>89</v>
      </c>
      <c r="C47" s="188">
        <v>2758</v>
      </c>
      <c r="D47" s="188">
        <v>7</v>
      </c>
      <c r="E47" s="188">
        <v>129</v>
      </c>
      <c r="F47" s="190">
        <f t="shared" si="0"/>
        <v>19</v>
      </c>
      <c r="G47" s="213">
        <v>685</v>
      </c>
      <c r="H47" s="188">
        <v>127</v>
      </c>
      <c r="I47" s="188">
        <v>2292</v>
      </c>
      <c r="J47" s="1">
        <v>30942</v>
      </c>
      <c r="K47" s="15">
        <v>505</v>
      </c>
      <c r="L47" s="15">
        <v>23291</v>
      </c>
      <c r="M47" s="1">
        <v>23796</v>
      </c>
      <c r="N47" s="1">
        <v>851</v>
      </c>
      <c r="O47" s="1">
        <v>997</v>
      </c>
      <c r="P47" s="1">
        <v>474</v>
      </c>
      <c r="Q47" s="13">
        <f t="shared" si="4"/>
        <v>436</v>
      </c>
      <c r="R47" s="21">
        <f t="shared" si="1"/>
        <v>19</v>
      </c>
      <c r="S47" s="53">
        <f t="shared" si="2"/>
        <v>6.5329218106995879E-2</v>
      </c>
      <c r="T47" s="43">
        <f t="shared" si="3"/>
        <v>4.6773023930384336E-2</v>
      </c>
    </row>
    <row r="48" spans="1:20" x14ac:dyDescent="0.25">
      <c r="A48" s="2">
        <v>43939</v>
      </c>
      <c r="B48" s="188">
        <v>81</v>
      </c>
      <c r="C48" s="188">
        <v>2839</v>
      </c>
      <c r="D48" s="188">
        <v>3</v>
      </c>
      <c r="E48" s="188">
        <v>132</v>
      </c>
      <c r="F48" s="190">
        <f t="shared" si="0"/>
        <v>24</v>
      </c>
      <c r="G48" s="213">
        <v>709</v>
      </c>
      <c r="H48" s="188">
        <v>123</v>
      </c>
      <c r="I48" s="188">
        <v>1770</v>
      </c>
      <c r="J48" s="1">
        <v>32712</v>
      </c>
      <c r="K48" s="15">
        <v>503</v>
      </c>
      <c r="L48" s="15">
        <v>24756</v>
      </c>
      <c r="M48" s="1">
        <v>25259</v>
      </c>
      <c r="N48" s="1">
        <v>856</v>
      </c>
      <c r="O48" s="1">
        <v>1184</v>
      </c>
      <c r="P48" s="1">
        <v>496</v>
      </c>
      <c r="Q48" s="13">
        <f t="shared" si="4"/>
        <v>303</v>
      </c>
      <c r="R48" s="21">
        <f t="shared" si="1"/>
        <v>24</v>
      </c>
      <c r="S48" s="53">
        <f t="shared" si="2"/>
        <v>6.1561561561561562E-2</v>
      </c>
      <c r="T48" s="43">
        <f t="shared" si="3"/>
        <v>4.6495244804508631E-2</v>
      </c>
    </row>
    <row r="49" spans="1:21" x14ac:dyDescent="0.25">
      <c r="A49" s="2">
        <v>43940</v>
      </c>
      <c r="B49" s="188">
        <v>102</v>
      </c>
      <c r="C49" s="188">
        <v>2941</v>
      </c>
      <c r="D49" s="188">
        <v>2</v>
      </c>
      <c r="E49" s="188">
        <v>134</v>
      </c>
      <c r="F49" s="190">
        <f t="shared" si="0"/>
        <v>28</v>
      </c>
      <c r="G49" s="213">
        <v>737</v>
      </c>
      <c r="H49" s="188">
        <v>126</v>
      </c>
      <c r="I49" s="188">
        <v>1856</v>
      </c>
      <c r="J49" s="1">
        <v>34568</v>
      </c>
      <c r="K49" s="15">
        <v>536</v>
      </c>
      <c r="L49" s="15">
        <v>26122</v>
      </c>
      <c r="M49" s="1">
        <v>26658</v>
      </c>
      <c r="N49" s="1">
        <v>858</v>
      </c>
      <c r="O49" s="1">
        <v>1235</v>
      </c>
      <c r="P49" s="1">
        <v>538</v>
      </c>
      <c r="Q49" s="13">
        <f t="shared" si="4"/>
        <v>310</v>
      </c>
      <c r="R49" s="21">
        <f t="shared" si="1"/>
        <v>28</v>
      </c>
      <c r="S49" s="53">
        <f t="shared" si="2"/>
        <v>6.0869565217391307E-2</v>
      </c>
      <c r="T49" s="43">
        <f t="shared" si="3"/>
        <v>4.5562733764025844E-2</v>
      </c>
    </row>
    <row r="50" spans="1:21" x14ac:dyDescent="0.25">
      <c r="A50" s="2">
        <v>43941</v>
      </c>
      <c r="B50" s="188">
        <v>90</v>
      </c>
      <c r="C50" s="188">
        <v>3031</v>
      </c>
      <c r="D50" s="188">
        <v>8</v>
      </c>
      <c r="E50" s="188">
        <v>142</v>
      </c>
      <c r="F50" s="190">
        <f t="shared" si="0"/>
        <v>103</v>
      </c>
      <c r="G50" s="213">
        <v>840</v>
      </c>
      <c r="H50" s="188">
        <v>129</v>
      </c>
      <c r="I50" s="188">
        <v>2043</v>
      </c>
      <c r="J50" s="1">
        <v>36611</v>
      </c>
      <c r="K50" s="15">
        <v>566</v>
      </c>
      <c r="L50" s="15">
        <v>27732</v>
      </c>
      <c r="M50" s="1">
        <v>28298</v>
      </c>
      <c r="N50" s="1">
        <v>863</v>
      </c>
      <c r="O50" s="1">
        <v>1293</v>
      </c>
      <c r="P50" s="1">
        <v>576</v>
      </c>
      <c r="Q50" s="13">
        <f t="shared" si="4"/>
        <v>299</v>
      </c>
      <c r="R50" s="21">
        <f t="shared" si="1"/>
        <v>103</v>
      </c>
      <c r="S50" s="53">
        <f t="shared" si="2"/>
        <v>6.2957540263543194E-2</v>
      </c>
      <c r="T50" s="43">
        <f t="shared" si="3"/>
        <v>4.6849224678323982E-2</v>
      </c>
    </row>
    <row r="51" spans="1:21" x14ac:dyDescent="0.25">
      <c r="A51" s="2">
        <v>43942</v>
      </c>
      <c r="B51" s="188">
        <v>113</v>
      </c>
      <c r="C51" s="188">
        <v>3144</v>
      </c>
      <c r="D51" s="188">
        <v>9</v>
      </c>
      <c r="E51" s="188">
        <v>151</v>
      </c>
      <c r="F51" s="190">
        <f t="shared" si="0"/>
        <v>32</v>
      </c>
      <c r="G51" s="213">
        <v>872</v>
      </c>
      <c r="H51" s="188">
        <v>131</v>
      </c>
      <c r="I51" s="188">
        <v>2617</v>
      </c>
      <c r="J51" s="1">
        <v>39228</v>
      </c>
      <c r="K51" s="15">
        <v>533</v>
      </c>
      <c r="L51" s="15">
        <v>29829</v>
      </c>
      <c r="M51" s="1">
        <v>30362</v>
      </c>
      <c r="N51" s="1">
        <v>866</v>
      </c>
      <c r="O51" s="1">
        <v>1346</v>
      </c>
      <c r="P51" s="1">
        <v>618</v>
      </c>
      <c r="Q51" s="13">
        <f t="shared" si="4"/>
        <v>314</v>
      </c>
      <c r="R51" s="21">
        <f t="shared" si="1"/>
        <v>32</v>
      </c>
      <c r="S51" s="53">
        <f t="shared" si="2"/>
        <v>6.1763319189061763E-2</v>
      </c>
      <c r="T51" s="43">
        <f t="shared" si="3"/>
        <v>4.8027989821882951E-2</v>
      </c>
    </row>
    <row r="52" spans="1:21" x14ac:dyDescent="0.25">
      <c r="A52" s="2">
        <v>43943</v>
      </c>
      <c r="B52" s="188">
        <v>144</v>
      </c>
      <c r="C52" s="188">
        <v>3288</v>
      </c>
      <c r="D52" s="188">
        <v>8</v>
      </c>
      <c r="E52" s="188">
        <v>159</v>
      </c>
      <c r="F52" s="190">
        <f t="shared" si="0"/>
        <v>47</v>
      </c>
      <c r="G52" s="213">
        <v>919</v>
      </c>
      <c r="H52" s="188">
        <v>136</v>
      </c>
      <c r="I52" s="188">
        <v>2558</v>
      </c>
      <c r="J52" s="1">
        <v>41786</v>
      </c>
      <c r="K52" s="15">
        <v>569</v>
      </c>
      <c r="L52" s="15">
        <v>31845</v>
      </c>
      <c r="M52" s="1">
        <v>32414</v>
      </c>
      <c r="N52" s="1">
        <v>870</v>
      </c>
      <c r="O52" s="1">
        <v>1408</v>
      </c>
      <c r="P52" s="1">
        <v>669</v>
      </c>
      <c r="Q52" s="13">
        <f t="shared" si="4"/>
        <v>341</v>
      </c>
      <c r="R52" s="21">
        <f t="shared" si="1"/>
        <v>47</v>
      </c>
      <c r="S52" s="53">
        <f t="shared" si="2"/>
        <v>6.1538461538461542E-2</v>
      </c>
      <c r="T52" s="43">
        <f t="shared" si="3"/>
        <v>4.8357664233576646E-2</v>
      </c>
    </row>
    <row r="53" spans="1:21" x14ac:dyDescent="0.25">
      <c r="A53" s="2">
        <v>43944</v>
      </c>
      <c r="B53" s="188">
        <v>147</v>
      </c>
      <c r="C53" s="188">
        <v>3435</v>
      </c>
      <c r="D53" s="188">
        <v>6</v>
      </c>
      <c r="E53" s="188">
        <v>165</v>
      </c>
      <c r="F53" s="190">
        <f t="shared" si="0"/>
        <v>57</v>
      </c>
      <c r="G53" s="213">
        <v>976</v>
      </c>
      <c r="H53" s="188">
        <v>141</v>
      </c>
      <c r="I53" s="188">
        <v>2868</v>
      </c>
      <c r="J53" s="1">
        <v>44654</v>
      </c>
      <c r="K53" s="15">
        <v>557</v>
      </c>
      <c r="L53" s="15">
        <v>33874</v>
      </c>
      <c r="M53" s="1">
        <v>34431</v>
      </c>
      <c r="N53" s="1">
        <v>875</v>
      </c>
      <c r="O53" s="1">
        <v>1490</v>
      </c>
      <c r="P53" s="1">
        <v>722</v>
      </c>
      <c r="Q53" s="13">
        <f t="shared" si="4"/>
        <v>348</v>
      </c>
      <c r="R53" s="21">
        <f t="shared" si="1"/>
        <v>57</v>
      </c>
      <c r="S53" s="53">
        <f t="shared" si="2"/>
        <v>6.1464690496948561E-2</v>
      </c>
      <c r="T53" s="43">
        <f t="shared" si="3"/>
        <v>4.8034934497816595E-2</v>
      </c>
    </row>
    <row r="54" spans="1:21" x14ac:dyDescent="0.25">
      <c r="A54" s="2">
        <v>43945</v>
      </c>
      <c r="B54" s="188">
        <v>172</v>
      </c>
      <c r="C54" s="188">
        <v>3607</v>
      </c>
      <c r="D54" s="188">
        <v>11</v>
      </c>
      <c r="E54" s="188">
        <v>176</v>
      </c>
      <c r="F54" s="190">
        <f t="shared" si="0"/>
        <v>54</v>
      </c>
      <c r="G54" s="213">
        <v>1030</v>
      </c>
      <c r="H54" s="188">
        <v>144</v>
      </c>
      <c r="I54" s="188">
        <v>2752</v>
      </c>
      <c r="J54" s="1">
        <v>47406</v>
      </c>
      <c r="K54" s="15">
        <v>543</v>
      </c>
      <c r="L54" s="15">
        <v>36067</v>
      </c>
      <c r="M54" s="1">
        <v>36610</v>
      </c>
      <c r="N54" s="1">
        <v>887</v>
      </c>
      <c r="O54" s="1">
        <v>1562</v>
      </c>
      <c r="P54" s="1">
        <v>755</v>
      </c>
      <c r="Q54" s="13">
        <f t="shared" si="4"/>
        <v>403</v>
      </c>
      <c r="R54" s="21">
        <f t="shared" si="1"/>
        <v>54</v>
      </c>
      <c r="S54" s="53">
        <f t="shared" si="2"/>
        <v>5.9975010412328195E-2</v>
      </c>
      <c r="T54" s="43">
        <f t="shared" si="3"/>
        <v>4.8794011644025505E-2</v>
      </c>
      <c r="U54" s="110"/>
    </row>
    <row r="55" spans="1:21" x14ac:dyDescent="0.25">
      <c r="A55" s="2">
        <v>43946</v>
      </c>
      <c r="B55" s="188">
        <v>173</v>
      </c>
      <c r="C55" s="188">
        <v>3780</v>
      </c>
      <c r="D55" s="188">
        <v>9</v>
      </c>
      <c r="E55" s="188">
        <v>185</v>
      </c>
      <c r="F55" s="190">
        <f t="shared" si="0"/>
        <v>77</v>
      </c>
      <c r="G55" s="213">
        <v>1107</v>
      </c>
      <c r="H55" s="188">
        <v>139</v>
      </c>
      <c r="I55" s="188">
        <v>2499</v>
      </c>
      <c r="J55" s="1">
        <v>49905</v>
      </c>
      <c r="K55" s="15">
        <v>561</v>
      </c>
      <c r="L55" s="15">
        <v>37654</v>
      </c>
      <c r="M55" s="1">
        <v>38215</v>
      </c>
      <c r="N55" s="1">
        <v>888</v>
      </c>
      <c r="O55" s="1">
        <v>1641</v>
      </c>
      <c r="P55" s="1">
        <v>797</v>
      </c>
      <c r="Q55" s="13">
        <f t="shared" si="4"/>
        <v>454</v>
      </c>
      <c r="R55" s="21">
        <f t="shared" si="1"/>
        <v>77</v>
      </c>
      <c r="S55" s="53">
        <f t="shared" si="2"/>
        <v>5.5868167202572344E-2</v>
      </c>
      <c r="T55" s="43">
        <f t="shared" si="3"/>
        <v>4.8941798941798939E-2</v>
      </c>
      <c r="U55" s="110"/>
    </row>
    <row r="56" spans="1:21" x14ac:dyDescent="0.25">
      <c r="A56" s="2">
        <v>43947</v>
      </c>
      <c r="B56" s="188">
        <v>112</v>
      </c>
      <c r="C56" s="188">
        <v>3892</v>
      </c>
      <c r="D56" s="188">
        <v>7</v>
      </c>
      <c r="E56" s="188">
        <v>192</v>
      </c>
      <c r="F56" s="190">
        <f t="shared" si="0"/>
        <v>33</v>
      </c>
      <c r="G56" s="213">
        <v>1140</v>
      </c>
      <c r="H56" s="188">
        <v>151</v>
      </c>
      <c r="I56" s="188">
        <v>1995</v>
      </c>
      <c r="J56" s="1">
        <v>51900</v>
      </c>
      <c r="K56" s="15">
        <v>570</v>
      </c>
      <c r="L56" s="15">
        <v>39420</v>
      </c>
      <c r="M56" s="1">
        <v>39990</v>
      </c>
      <c r="N56" s="1">
        <v>900</v>
      </c>
      <c r="O56" s="1">
        <v>1684</v>
      </c>
      <c r="P56" s="1">
        <v>829</v>
      </c>
      <c r="Q56" s="13">
        <f t="shared" si="4"/>
        <v>479</v>
      </c>
      <c r="R56" s="21">
        <f t="shared" si="1"/>
        <v>33</v>
      </c>
      <c r="S56" s="53">
        <f t="shared" si="2"/>
        <v>5.8984374999999999E-2</v>
      </c>
      <c r="T56" s="43">
        <f t="shared" si="3"/>
        <v>4.9331963001027747E-2</v>
      </c>
      <c r="U56" s="110"/>
    </row>
    <row r="57" spans="1:21" x14ac:dyDescent="0.25">
      <c r="A57" s="2">
        <v>43948</v>
      </c>
      <c r="B57" s="188">
        <v>111</v>
      </c>
      <c r="C57" s="188">
        <v>4003</v>
      </c>
      <c r="D57" s="188">
        <v>5</v>
      </c>
      <c r="E57" s="188">
        <v>197</v>
      </c>
      <c r="F57" s="190">
        <f t="shared" si="0"/>
        <v>22</v>
      </c>
      <c r="G57" s="213">
        <v>1162</v>
      </c>
      <c r="H57" s="188">
        <v>155</v>
      </c>
      <c r="I57" s="188">
        <v>1700</v>
      </c>
      <c r="J57" s="1">
        <v>53600</v>
      </c>
      <c r="K57" s="15">
        <v>600</v>
      </c>
      <c r="L57" s="15">
        <v>40959</v>
      </c>
      <c r="M57" s="1">
        <v>41559</v>
      </c>
      <c r="N57" s="1">
        <v>905</v>
      </c>
      <c r="O57" s="1">
        <v>1725</v>
      </c>
      <c r="P57" s="1">
        <v>897</v>
      </c>
      <c r="Q57" s="13">
        <f t="shared" si="4"/>
        <v>476</v>
      </c>
      <c r="R57" s="21">
        <f t="shared" si="1"/>
        <v>22</v>
      </c>
      <c r="S57" s="53">
        <f t="shared" si="2"/>
        <v>5.8623298033282902E-2</v>
      </c>
      <c r="T57" s="43">
        <f t="shared" si="3"/>
        <v>4.921309018236323E-2</v>
      </c>
      <c r="U57" s="110"/>
    </row>
    <row r="58" spans="1:21" x14ac:dyDescent="0.25">
      <c r="A58" s="2">
        <v>43949</v>
      </c>
      <c r="B58" s="188">
        <v>124</v>
      </c>
      <c r="C58" s="188">
        <v>4127</v>
      </c>
      <c r="D58" s="188">
        <v>10</v>
      </c>
      <c r="E58" s="188">
        <v>207</v>
      </c>
      <c r="F58" s="190">
        <f t="shared" si="0"/>
        <v>30</v>
      </c>
      <c r="G58" s="213">
        <v>1192</v>
      </c>
      <c r="H58" s="188">
        <v>154</v>
      </c>
      <c r="I58" s="188">
        <v>2458</v>
      </c>
      <c r="J58" s="1">
        <v>56058</v>
      </c>
      <c r="K58" s="15">
        <v>612</v>
      </c>
      <c r="L58" s="15">
        <v>42710</v>
      </c>
      <c r="M58" s="1">
        <v>43322</v>
      </c>
      <c r="N58" s="1">
        <v>909</v>
      </c>
      <c r="O58" s="1">
        <v>1766</v>
      </c>
      <c r="P58" s="1">
        <v>984</v>
      </c>
      <c r="Q58" s="13">
        <f t="shared" si="4"/>
        <v>468</v>
      </c>
      <c r="R58" s="21">
        <f t="shared" si="1"/>
        <v>30</v>
      </c>
      <c r="S58" s="53">
        <f t="shared" si="2"/>
        <v>5.6451612903225805E-2</v>
      </c>
      <c r="T58" s="43">
        <f t="shared" si="3"/>
        <v>5.0157499394233099E-2</v>
      </c>
      <c r="U58" s="110"/>
    </row>
    <row r="59" spans="1:21" x14ac:dyDescent="0.25">
      <c r="A59" s="2">
        <v>43950</v>
      </c>
      <c r="B59" s="188">
        <v>158</v>
      </c>
      <c r="C59" s="188">
        <v>4285</v>
      </c>
      <c r="D59" s="188">
        <v>7</v>
      </c>
      <c r="E59" s="188">
        <v>214</v>
      </c>
      <c r="F59" s="190">
        <f t="shared" si="0"/>
        <v>64</v>
      </c>
      <c r="G59" s="213">
        <v>1256</v>
      </c>
      <c r="H59" s="188">
        <v>157</v>
      </c>
      <c r="I59" s="188">
        <v>2627</v>
      </c>
      <c r="J59" s="1">
        <v>58685</v>
      </c>
      <c r="K59" s="15">
        <v>618</v>
      </c>
      <c r="L59" s="15">
        <v>44828</v>
      </c>
      <c r="M59" s="1">
        <v>45446</v>
      </c>
      <c r="N59" s="1">
        <v>912</v>
      </c>
      <c r="O59" s="1">
        <v>1835</v>
      </c>
      <c r="P59" s="1">
        <v>1041</v>
      </c>
      <c r="Q59" s="13">
        <f t="shared" si="4"/>
        <v>497</v>
      </c>
      <c r="R59" s="21">
        <f t="shared" si="1"/>
        <v>64</v>
      </c>
      <c r="S59" s="53">
        <f t="shared" si="2"/>
        <v>5.5772646536412077E-2</v>
      </c>
      <c r="T59" s="43">
        <f t="shared" si="3"/>
        <v>4.9941656942823806E-2</v>
      </c>
      <c r="U59" s="110"/>
    </row>
    <row r="60" spans="1:21" x14ac:dyDescent="0.25">
      <c r="A60" s="2">
        <v>43951</v>
      </c>
      <c r="B60" s="188">
        <v>143</v>
      </c>
      <c r="C60" s="188">
        <v>4428</v>
      </c>
      <c r="D60" s="188">
        <v>4</v>
      </c>
      <c r="E60" s="188">
        <v>218</v>
      </c>
      <c r="F60" s="190">
        <f t="shared" si="0"/>
        <v>36</v>
      </c>
      <c r="G60" s="213">
        <v>1292</v>
      </c>
      <c r="H60" s="188">
        <v>157</v>
      </c>
      <c r="I60" s="188">
        <v>2845</v>
      </c>
      <c r="J60" s="1">
        <v>61530</v>
      </c>
      <c r="K60" s="15">
        <v>638</v>
      </c>
      <c r="L60" s="15">
        <v>46829</v>
      </c>
      <c r="M60" s="1">
        <v>47467</v>
      </c>
      <c r="N60" s="1">
        <v>915</v>
      </c>
      <c r="O60" s="1">
        <v>1904</v>
      </c>
      <c r="P60" s="1">
        <v>1149</v>
      </c>
      <c r="Q60" s="13">
        <f t="shared" si="4"/>
        <v>460</v>
      </c>
      <c r="R60" s="21">
        <f t="shared" si="1"/>
        <v>36</v>
      </c>
      <c r="S60" s="53">
        <f t="shared" si="2"/>
        <v>5.3803975325565453E-2</v>
      </c>
      <c r="T60" s="43">
        <f t="shared" si="3"/>
        <v>4.9232158988256551E-2</v>
      </c>
      <c r="U60" s="110"/>
    </row>
    <row r="61" spans="1:21" x14ac:dyDescent="0.25">
      <c r="A61" s="2">
        <v>43952</v>
      </c>
      <c r="B61" s="188">
        <v>105</v>
      </c>
      <c r="C61" s="188">
        <v>4532</v>
      </c>
      <c r="D61" s="188">
        <v>7</v>
      </c>
      <c r="E61" s="188">
        <v>225</v>
      </c>
      <c r="F61" s="190">
        <f t="shared" si="0"/>
        <v>28</v>
      </c>
      <c r="G61" s="213">
        <v>1320</v>
      </c>
      <c r="H61" s="188">
        <v>164</v>
      </c>
      <c r="I61" s="188">
        <v>2336</v>
      </c>
      <c r="J61" s="1">
        <v>63866</v>
      </c>
      <c r="K61" s="15">
        <v>656</v>
      </c>
      <c r="L61" s="15">
        <v>48591</v>
      </c>
      <c r="M61" s="1">
        <v>49247</v>
      </c>
      <c r="N61" s="1">
        <v>916</v>
      </c>
      <c r="O61" s="1">
        <v>1949</v>
      </c>
      <c r="P61" s="1">
        <v>1224</v>
      </c>
      <c r="Q61" s="13">
        <f t="shared" si="4"/>
        <v>443</v>
      </c>
      <c r="R61" s="21">
        <f t="shared" si="1"/>
        <v>28</v>
      </c>
      <c r="S61" s="53">
        <f t="shared" si="2"/>
        <v>5.4904586541680615E-2</v>
      </c>
      <c r="T61" s="43">
        <f t="shared" si="3"/>
        <v>4.9646954986760812E-2</v>
      </c>
      <c r="U61" s="110"/>
    </row>
    <row r="62" spans="1:21" x14ac:dyDescent="0.25">
      <c r="A62" s="2">
        <v>43953</v>
      </c>
      <c r="B62" s="188">
        <v>149</v>
      </c>
      <c r="C62" s="188">
        <v>4681</v>
      </c>
      <c r="D62" s="188">
        <v>12</v>
      </c>
      <c r="E62" s="188">
        <v>237</v>
      </c>
      <c r="F62" s="190">
        <f t="shared" si="0"/>
        <v>34</v>
      </c>
      <c r="G62" s="213">
        <v>1354</v>
      </c>
      <c r="H62" s="188">
        <v>164</v>
      </c>
      <c r="I62" s="188">
        <v>1947</v>
      </c>
      <c r="J62" s="1">
        <v>65813</v>
      </c>
      <c r="K62" s="15">
        <v>681</v>
      </c>
      <c r="L62" s="15">
        <v>50098</v>
      </c>
      <c r="M62" s="1">
        <v>50779</v>
      </c>
      <c r="N62" s="1">
        <v>917</v>
      </c>
      <c r="O62" s="1">
        <v>2012</v>
      </c>
      <c r="P62" s="1">
        <v>1267</v>
      </c>
      <c r="Q62" s="13">
        <f t="shared" si="4"/>
        <v>485</v>
      </c>
      <c r="R62" s="21">
        <f t="shared" si="1"/>
        <v>34</v>
      </c>
      <c r="S62" s="53">
        <f t="shared" si="2"/>
        <v>5.307443365695793E-2</v>
      </c>
      <c r="T62" s="43">
        <f t="shared" si="3"/>
        <v>5.0630207220679339E-2</v>
      </c>
      <c r="U62" s="110"/>
    </row>
    <row r="63" spans="1:21" x14ac:dyDescent="0.25">
      <c r="A63" s="2">
        <v>43954</v>
      </c>
      <c r="B63" s="188">
        <v>103</v>
      </c>
      <c r="C63" s="188">
        <v>4784</v>
      </c>
      <c r="D63" s="188">
        <v>9</v>
      </c>
      <c r="E63" s="188">
        <v>246</v>
      </c>
      <c r="F63" s="190">
        <f t="shared" si="0"/>
        <v>88</v>
      </c>
      <c r="G63" s="213">
        <v>1442</v>
      </c>
      <c r="H63" s="188">
        <v>146</v>
      </c>
      <c r="I63" s="188">
        <v>1497</v>
      </c>
      <c r="J63" s="1">
        <v>67920</v>
      </c>
      <c r="K63" s="15">
        <v>674</v>
      </c>
      <c r="L63" s="15">
        <v>51590</v>
      </c>
      <c r="M63" s="1">
        <v>52264</v>
      </c>
      <c r="N63" s="1">
        <v>920</v>
      </c>
      <c r="O63" s="1">
        <v>2076</v>
      </c>
      <c r="P63" s="1">
        <v>1314</v>
      </c>
      <c r="Q63" s="13">
        <f t="shared" si="4"/>
        <v>474</v>
      </c>
      <c r="R63" s="21">
        <f t="shared" si="1"/>
        <v>88</v>
      </c>
      <c r="S63" s="53">
        <f t="shared" si="2"/>
        <v>4.7157622739018086E-2</v>
      </c>
      <c r="T63" s="43">
        <f t="shared" si="3"/>
        <v>5.1421404682274248E-2</v>
      </c>
      <c r="U63" s="110"/>
    </row>
    <row r="64" spans="1:21" x14ac:dyDescent="0.25">
      <c r="A64" s="2">
        <v>43955</v>
      </c>
      <c r="B64" s="188">
        <v>104</v>
      </c>
      <c r="C64" s="188">
        <v>4887</v>
      </c>
      <c r="D64" s="188">
        <v>14</v>
      </c>
      <c r="E64" s="188">
        <v>260</v>
      </c>
      <c r="F64" s="190">
        <f t="shared" si="0"/>
        <v>30</v>
      </c>
      <c r="G64" s="213">
        <v>1472</v>
      </c>
      <c r="H64" s="188">
        <v>148</v>
      </c>
      <c r="I64" s="188">
        <v>1798</v>
      </c>
      <c r="J64" s="1">
        <v>69718</v>
      </c>
      <c r="K64" s="15">
        <v>692</v>
      </c>
      <c r="L64" s="15">
        <v>53203</v>
      </c>
      <c r="M64" s="1">
        <v>53895</v>
      </c>
      <c r="N64" s="1">
        <v>924</v>
      </c>
      <c r="O64" s="1">
        <v>2136</v>
      </c>
      <c r="P64" s="1">
        <v>1378</v>
      </c>
      <c r="Q64" s="13">
        <f t="shared" si="4"/>
        <v>449</v>
      </c>
      <c r="R64" s="21">
        <f t="shared" si="1"/>
        <v>30</v>
      </c>
      <c r="S64" s="53">
        <f t="shared" si="2"/>
        <v>4.6909667194928686E-2</v>
      </c>
      <c r="T64" s="43">
        <f t="shared" si="3"/>
        <v>5.3202373644362595E-2</v>
      </c>
      <c r="U64" s="110"/>
    </row>
    <row r="65" spans="1:21" x14ac:dyDescent="0.25">
      <c r="A65" s="2">
        <v>43956</v>
      </c>
      <c r="B65" s="188">
        <v>134</v>
      </c>
      <c r="C65" s="188">
        <v>5020</v>
      </c>
      <c r="D65" s="188">
        <v>4</v>
      </c>
      <c r="E65" s="188">
        <v>264</v>
      </c>
      <c r="F65" s="190">
        <f t="shared" si="0"/>
        <v>52</v>
      </c>
      <c r="G65" s="213">
        <v>1524</v>
      </c>
      <c r="H65" s="188">
        <v>143</v>
      </c>
      <c r="I65" s="188">
        <v>2597</v>
      </c>
      <c r="J65" s="1">
        <v>72315</v>
      </c>
      <c r="K65" s="15">
        <v>666</v>
      </c>
      <c r="L65" s="15">
        <v>55227</v>
      </c>
      <c r="M65" s="1">
        <v>55893</v>
      </c>
      <c r="N65" s="1">
        <v>929</v>
      </c>
      <c r="O65" s="1">
        <v>2204</v>
      </c>
      <c r="P65" s="1">
        <v>1446</v>
      </c>
      <c r="Q65" s="13">
        <f t="shared" si="4"/>
        <v>441</v>
      </c>
      <c r="R65" s="21">
        <f t="shared" si="1"/>
        <v>52</v>
      </c>
      <c r="S65" s="53">
        <f t="shared" si="2"/>
        <v>4.4245049504950493E-2</v>
      </c>
      <c r="T65" s="43">
        <f t="shared" si="3"/>
        <v>5.2589641434262951E-2</v>
      </c>
      <c r="U65" s="110"/>
    </row>
    <row r="66" spans="1:21" x14ac:dyDescent="0.25">
      <c r="A66" s="2">
        <v>43957</v>
      </c>
      <c r="B66" s="188">
        <v>188</v>
      </c>
      <c r="C66" s="188">
        <v>5208</v>
      </c>
      <c r="D66" s="188">
        <v>9</v>
      </c>
      <c r="E66" s="188">
        <v>273</v>
      </c>
      <c r="F66" s="190">
        <f t="shared" si="0"/>
        <v>77</v>
      </c>
      <c r="G66" s="213">
        <v>1601</v>
      </c>
      <c r="H66" s="188">
        <v>151</v>
      </c>
      <c r="I66" s="188">
        <v>2883</v>
      </c>
      <c r="J66" s="1">
        <v>75198</v>
      </c>
      <c r="K66" s="15">
        <v>652</v>
      </c>
      <c r="L66" s="15">
        <v>57176</v>
      </c>
      <c r="M66" s="1">
        <v>57828</v>
      </c>
      <c r="N66" s="1">
        <v>927</v>
      </c>
      <c r="O66" s="1">
        <v>2292</v>
      </c>
      <c r="P66" s="1">
        <v>1510</v>
      </c>
      <c r="Q66" s="13">
        <f t="shared" si="4"/>
        <v>479</v>
      </c>
      <c r="R66" s="21">
        <f t="shared" si="1"/>
        <v>77</v>
      </c>
      <c r="S66" s="53">
        <f t="shared" si="2"/>
        <v>4.5290941811637675E-2</v>
      </c>
      <c r="T66" s="43">
        <f t="shared" si="3"/>
        <v>5.2419354838709679E-2</v>
      </c>
      <c r="U66" s="110"/>
    </row>
    <row r="67" spans="1:21" x14ac:dyDescent="0.25">
      <c r="A67" s="2">
        <v>43958</v>
      </c>
      <c r="B67" s="188">
        <v>163</v>
      </c>
      <c r="C67" s="188">
        <v>5371</v>
      </c>
      <c r="D67" s="188">
        <v>9</v>
      </c>
      <c r="E67" s="188">
        <v>282</v>
      </c>
      <c r="F67" s="190">
        <f t="shared" ref="F67:F130" si="5">G67-G66</f>
        <v>0</v>
      </c>
      <c r="G67" s="213">
        <v>1601</v>
      </c>
      <c r="H67" s="188">
        <v>151</v>
      </c>
      <c r="I67" s="188">
        <v>2703</v>
      </c>
      <c r="J67" s="1">
        <v>77901</v>
      </c>
      <c r="K67" s="15">
        <v>688</v>
      </c>
      <c r="L67" s="15">
        <v>59080</v>
      </c>
      <c r="M67" s="1">
        <v>59768</v>
      </c>
      <c r="N67" s="1">
        <v>929</v>
      </c>
      <c r="O67" s="1">
        <v>2374</v>
      </c>
      <c r="P67" s="1">
        <v>1595</v>
      </c>
      <c r="Q67" s="13">
        <f t="shared" si="4"/>
        <v>473</v>
      </c>
      <c r="R67" s="21">
        <f t="shared" si="1"/>
        <v>0</v>
      </c>
      <c r="S67" s="53">
        <f t="shared" si="2"/>
        <v>4.3291284403669722E-2</v>
      </c>
      <c r="T67" s="43">
        <f t="shared" si="3"/>
        <v>5.2504189164029047E-2</v>
      </c>
      <c r="U67" s="110"/>
    </row>
    <row r="68" spans="1:21" x14ac:dyDescent="0.25">
      <c r="A68" s="2">
        <v>43959</v>
      </c>
      <c r="B68" s="188">
        <v>240</v>
      </c>
      <c r="C68" s="188">
        <v>5611</v>
      </c>
      <c r="D68" s="188">
        <v>11</v>
      </c>
      <c r="E68" s="188">
        <v>293</v>
      </c>
      <c r="F68" s="190">
        <f t="shared" si="5"/>
        <v>127</v>
      </c>
      <c r="G68" s="213">
        <v>1728</v>
      </c>
      <c r="H68" s="188">
        <v>157</v>
      </c>
      <c r="I68" s="188">
        <v>2828</v>
      </c>
      <c r="J68" s="1">
        <v>80729</v>
      </c>
      <c r="K68" s="15">
        <v>678</v>
      </c>
      <c r="L68" s="15">
        <v>61025</v>
      </c>
      <c r="M68" s="1">
        <v>61703</v>
      </c>
      <c r="N68" s="1">
        <v>931</v>
      </c>
      <c r="O68" s="1">
        <v>2469</v>
      </c>
      <c r="P68" s="1">
        <v>1644</v>
      </c>
      <c r="Q68" s="13">
        <f t="shared" si="4"/>
        <v>567</v>
      </c>
      <c r="R68" s="21">
        <f t="shared" si="1"/>
        <v>127</v>
      </c>
      <c r="S68" s="53">
        <f t="shared" si="2"/>
        <v>4.3732590529247911E-2</v>
      </c>
      <c r="T68" s="43">
        <f t="shared" si="3"/>
        <v>5.2218855818927108E-2</v>
      </c>
      <c r="U68" s="110"/>
    </row>
    <row r="69" spans="1:21" x14ac:dyDescent="0.25">
      <c r="A69" s="2">
        <v>43960</v>
      </c>
      <c r="B69" s="188">
        <v>165</v>
      </c>
      <c r="C69" s="188">
        <v>5776</v>
      </c>
      <c r="D69" s="188">
        <v>7</v>
      </c>
      <c r="E69" s="188">
        <v>300</v>
      </c>
      <c r="F69" s="190">
        <f t="shared" si="5"/>
        <v>29</v>
      </c>
      <c r="G69" s="213">
        <v>1757</v>
      </c>
      <c r="H69" s="188">
        <v>160</v>
      </c>
      <c r="I69" s="188">
        <v>2289</v>
      </c>
      <c r="J69" s="1">
        <v>83018</v>
      </c>
      <c r="K69" s="15">
        <v>698</v>
      </c>
      <c r="L69" s="15">
        <v>62760</v>
      </c>
      <c r="M69" s="1">
        <v>63458</v>
      </c>
      <c r="N69" s="1">
        <v>930</v>
      </c>
      <c r="O69" s="1">
        <v>2530</v>
      </c>
      <c r="P69" s="1">
        <v>1703</v>
      </c>
      <c r="Q69" s="13">
        <f t="shared" si="4"/>
        <v>613</v>
      </c>
      <c r="R69" s="21">
        <f t="shared" si="1"/>
        <v>29</v>
      </c>
      <c r="S69" s="53">
        <f t="shared" si="2"/>
        <v>4.3022317827372952E-2</v>
      </c>
      <c r="T69" s="43">
        <f t="shared" si="3"/>
        <v>5.1939058171745149E-2</v>
      </c>
      <c r="U69" s="110"/>
    </row>
    <row r="70" spans="1:21" x14ac:dyDescent="0.25">
      <c r="A70" s="2">
        <v>43961</v>
      </c>
      <c r="B70" s="188">
        <v>258</v>
      </c>
      <c r="C70" s="188">
        <v>6034</v>
      </c>
      <c r="D70" s="188">
        <v>5</v>
      </c>
      <c r="E70" s="188">
        <v>305</v>
      </c>
      <c r="F70" s="190">
        <f t="shared" si="5"/>
        <v>80</v>
      </c>
      <c r="G70" s="213">
        <v>1837</v>
      </c>
      <c r="H70" s="188">
        <v>164</v>
      </c>
      <c r="I70" s="188">
        <v>2140</v>
      </c>
      <c r="J70" s="1">
        <v>85158</v>
      </c>
      <c r="K70" s="15">
        <v>713</v>
      </c>
      <c r="L70" s="15">
        <v>64104</v>
      </c>
      <c r="M70" s="1">
        <v>64817</v>
      </c>
      <c r="N70" s="1">
        <v>929</v>
      </c>
      <c r="O70" s="1">
        <v>2667</v>
      </c>
      <c r="P70" s="1">
        <v>1768</v>
      </c>
      <c r="Q70" s="13">
        <f t="shared" si="4"/>
        <v>670</v>
      </c>
      <c r="R70" s="21">
        <f t="shared" ref="R70:R133" si="6">G70-G69</f>
        <v>80</v>
      </c>
      <c r="S70" s="53">
        <f t="shared" si="2"/>
        <v>4.2137718396711203E-2</v>
      </c>
      <c r="T70" s="43">
        <f t="shared" si="3"/>
        <v>5.0546900894928734E-2</v>
      </c>
      <c r="U70" s="110"/>
    </row>
    <row r="71" spans="1:21" x14ac:dyDescent="0.25">
      <c r="A71" s="2">
        <v>43962</v>
      </c>
      <c r="B71" s="188">
        <v>244</v>
      </c>
      <c r="C71" s="188">
        <v>6278</v>
      </c>
      <c r="D71" s="188">
        <v>9</v>
      </c>
      <c r="E71" s="188">
        <v>314</v>
      </c>
      <c r="F71" s="190">
        <f t="shared" si="5"/>
        <v>25</v>
      </c>
      <c r="G71" s="213">
        <v>1862</v>
      </c>
      <c r="H71" s="188">
        <v>170</v>
      </c>
      <c r="I71" s="188">
        <v>2389</v>
      </c>
      <c r="J71" s="1">
        <v>87547</v>
      </c>
      <c r="K71" s="15">
        <v>733</v>
      </c>
      <c r="L71" s="15">
        <v>65976</v>
      </c>
      <c r="M71" s="1">
        <v>66709</v>
      </c>
      <c r="N71" s="1">
        <v>929</v>
      </c>
      <c r="O71" s="1">
        <v>2800</v>
      </c>
      <c r="P71" s="1">
        <v>1833</v>
      </c>
      <c r="Q71" s="13">
        <f t="shared" si="4"/>
        <v>716</v>
      </c>
      <c r="R71" s="21">
        <f t="shared" si="6"/>
        <v>25</v>
      </c>
      <c r="S71" s="53">
        <f t="shared" si="2"/>
        <v>4.1443198439785472E-2</v>
      </c>
      <c r="T71" s="43">
        <f t="shared" si="3"/>
        <v>5.0015928639694167E-2</v>
      </c>
      <c r="U71" s="110"/>
    </row>
    <row r="72" spans="1:21" x14ac:dyDescent="0.25">
      <c r="A72" s="2">
        <v>43963</v>
      </c>
      <c r="B72" s="188">
        <v>285</v>
      </c>
      <c r="C72" s="188">
        <v>6563</v>
      </c>
      <c r="D72" s="188">
        <v>5</v>
      </c>
      <c r="E72" s="188">
        <v>319</v>
      </c>
      <c r="F72" s="190">
        <f t="shared" si="5"/>
        <v>404</v>
      </c>
      <c r="G72" s="213">
        <v>2266</v>
      </c>
      <c r="H72" s="188">
        <v>147</v>
      </c>
      <c r="I72" s="188">
        <v>2927</v>
      </c>
      <c r="J72" s="1">
        <v>90474</v>
      </c>
      <c r="K72" s="15">
        <v>689</v>
      </c>
      <c r="L72" s="15">
        <v>68237</v>
      </c>
      <c r="M72" s="1">
        <v>68926</v>
      </c>
      <c r="N72" s="1">
        <v>932</v>
      </c>
      <c r="O72" s="1">
        <v>2973</v>
      </c>
      <c r="P72" s="1">
        <v>1923</v>
      </c>
      <c r="Q72" s="13">
        <f t="shared" si="4"/>
        <v>735</v>
      </c>
      <c r="R72" s="21">
        <f t="shared" si="6"/>
        <v>404</v>
      </c>
      <c r="S72" s="53">
        <f t="shared" si="2"/>
        <v>3.6953242835595777E-2</v>
      </c>
      <c r="T72" s="43">
        <f t="shared" si="3"/>
        <v>4.8605820508913607E-2</v>
      </c>
      <c r="U72" s="110"/>
    </row>
    <row r="73" spans="1:21" x14ac:dyDescent="0.25">
      <c r="A73" s="2">
        <v>43964</v>
      </c>
      <c r="B73" s="188">
        <v>316</v>
      </c>
      <c r="C73" s="188">
        <v>6879</v>
      </c>
      <c r="D73" s="188">
        <v>10</v>
      </c>
      <c r="E73" s="188">
        <v>329</v>
      </c>
      <c r="F73" s="190">
        <f t="shared" si="5"/>
        <v>119</v>
      </c>
      <c r="G73" s="213">
        <v>2385</v>
      </c>
      <c r="H73" s="188">
        <v>147</v>
      </c>
      <c r="I73" s="188">
        <v>3199</v>
      </c>
      <c r="J73" s="1">
        <v>93673</v>
      </c>
      <c r="K73" s="15">
        <v>712</v>
      </c>
      <c r="L73" s="15">
        <v>70497</v>
      </c>
      <c r="M73" s="1">
        <v>71209</v>
      </c>
      <c r="N73" s="1">
        <v>936</v>
      </c>
      <c r="O73" s="1">
        <v>3109</v>
      </c>
      <c r="P73" s="1">
        <v>2036</v>
      </c>
      <c r="Q73" s="13">
        <f t="shared" si="4"/>
        <v>798</v>
      </c>
      <c r="R73" s="21">
        <f t="shared" si="6"/>
        <v>119</v>
      </c>
      <c r="S73" s="53">
        <f t="shared" si="2"/>
        <v>3.5294117647058823E-2</v>
      </c>
      <c r="T73" s="43">
        <f t="shared" si="3"/>
        <v>4.7826718999854627E-2</v>
      </c>
      <c r="U73" s="110"/>
    </row>
    <row r="74" spans="1:21" x14ac:dyDescent="0.25">
      <c r="A74" s="2">
        <v>43965</v>
      </c>
      <c r="B74" s="188">
        <v>255</v>
      </c>
      <c r="C74" s="188">
        <v>7134</v>
      </c>
      <c r="D74" s="188">
        <v>24</v>
      </c>
      <c r="E74" s="188">
        <v>353</v>
      </c>
      <c r="F74" s="190">
        <f t="shared" si="5"/>
        <v>112</v>
      </c>
      <c r="G74" s="213">
        <v>2497</v>
      </c>
      <c r="H74" s="188">
        <v>149</v>
      </c>
      <c r="I74" s="188">
        <v>3220</v>
      </c>
      <c r="J74" s="1">
        <v>96893</v>
      </c>
      <c r="K74" s="15">
        <v>737</v>
      </c>
      <c r="L74" s="15">
        <v>72972</v>
      </c>
      <c r="M74" s="1">
        <v>73709</v>
      </c>
      <c r="N74" s="1">
        <v>935</v>
      </c>
      <c r="O74" s="1">
        <v>3225</v>
      </c>
      <c r="P74" s="1">
        <v>2169</v>
      </c>
      <c r="Q74" s="13">
        <f t="shared" si="4"/>
        <v>805</v>
      </c>
      <c r="R74" s="21">
        <f t="shared" si="6"/>
        <v>112</v>
      </c>
      <c r="S74" s="53">
        <f t="shared" si="2"/>
        <v>3.4780578898225958E-2</v>
      </c>
      <c r="T74" s="43">
        <f t="shared" si="3"/>
        <v>4.9481356882534341E-2</v>
      </c>
      <c r="U74" s="110"/>
    </row>
    <row r="75" spans="1:21" x14ac:dyDescent="0.25">
      <c r="A75" s="2">
        <v>43966</v>
      </c>
      <c r="B75" s="188">
        <v>345</v>
      </c>
      <c r="C75" s="188">
        <v>7479</v>
      </c>
      <c r="D75" s="188">
        <v>3</v>
      </c>
      <c r="E75" s="188">
        <v>356</v>
      </c>
      <c r="F75" s="190">
        <f t="shared" si="5"/>
        <v>37</v>
      </c>
      <c r="G75" s="213">
        <v>2534</v>
      </c>
      <c r="H75" s="188">
        <v>151</v>
      </c>
      <c r="I75" s="188">
        <v>3469</v>
      </c>
      <c r="J75" s="1">
        <v>100362</v>
      </c>
      <c r="K75" s="15">
        <v>610</v>
      </c>
      <c r="L75" s="15">
        <v>75647</v>
      </c>
      <c r="M75" s="1">
        <v>76257</v>
      </c>
      <c r="N75" s="1">
        <v>937</v>
      </c>
      <c r="O75" s="1">
        <v>3367</v>
      </c>
      <c r="P75" s="1">
        <v>2272</v>
      </c>
      <c r="Q75" s="13">
        <f t="shared" si="4"/>
        <v>903</v>
      </c>
      <c r="R75" s="21">
        <f t="shared" si="6"/>
        <v>37</v>
      </c>
      <c r="S75" s="53">
        <f t="shared" si="2"/>
        <v>3.2904772281542823E-2</v>
      </c>
      <c r="T75" s="43">
        <f t="shared" si="3"/>
        <v>4.7599946516914023E-2</v>
      </c>
      <c r="U75" s="110"/>
    </row>
    <row r="76" spans="1:21" x14ac:dyDescent="0.25">
      <c r="A76" s="2">
        <v>43967</v>
      </c>
      <c r="B76" s="188">
        <v>327</v>
      </c>
      <c r="C76" s="188">
        <v>7805</v>
      </c>
      <c r="D76" s="188">
        <v>7</v>
      </c>
      <c r="E76" s="188">
        <v>363</v>
      </c>
      <c r="F76" s="190">
        <f t="shared" si="5"/>
        <v>35</v>
      </c>
      <c r="G76" s="213">
        <v>2569</v>
      </c>
      <c r="H76" s="188">
        <v>154</v>
      </c>
      <c r="I76" s="188">
        <v>2858</v>
      </c>
      <c r="J76" s="1">
        <v>103220</v>
      </c>
      <c r="K76" s="15">
        <v>626</v>
      </c>
      <c r="L76" s="15">
        <v>77581</v>
      </c>
      <c r="M76" s="1">
        <v>78207</v>
      </c>
      <c r="N76" s="1">
        <v>987</v>
      </c>
      <c r="O76" s="1">
        <v>3482</v>
      </c>
      <c r="P76" s="1">
        <v>2372</v>
      </c>
      <c r="Q76" s="13">
        <f t="shared" si="4"/>
        <v>964</v>
      </c>
      <c r="R76" s="21">
        <f t="shared" si="6"/>
        <v>35</v>
      </c>
      <c r="S76" s="53">
        <f t="shared" si="2"/>
        <v>3.160270880361174E-2</v>
      </c>
      <c r="T76" s="43">
        <f t="shared" si="3"/>
        <v>4.6508648302370274E-2</v>
      </c>
      <c r="U76" s="110"/>
    </row>
    <row r="77" spans="1:21" x14ac:dyDescent="0.25">
      <c r="A77" s="2">
        <v>43968</v>
      </c>
      <c r="B77" s="188">
        <v>263</v>
      </c>
      <c r="C77" s="188">
        <v>8086</v>
      </c>
      <c r="D77" s="188">
        <v>10</v>
      </c>
      <c r="E77" s="188">
        <v>373</v>
      </c>
      <c r="F77" s="190">
        <f t="shared" si="5"/>
        <v>56</v>
      </c>
      <c r="G77" s="213">
        <v>2625</v>
      </c>
      <c r="H77" s="188">
        <v>159</v>
      </c>
      <c r="I77" s="188">
        <v>2609</v>
      </c>
      <c r="J77" s="1">
        <v>105829</v>
      </c>
      <c r="K77" s="15">
        <v>640</v>
      </c>
      <c r="L77" s="15">
        <v>79462</v>
      </c>
      <c r="M77" s="1">
        <v>80102</v>
      </c>
      <c r="N77" s="1">
        <v>939</v>
      </c>
      <c r="O77" s="1">
        <v>3561</v>
      </c>
      <c r="P77" s="1">
        <v>2468</v>
      </c>
      <c r="Q77" s="13">
        <f t="shared" si="4"/>
        <v>1118</v>
      </c>
      <c r="R77" s="21">
        <f t="shared" si="6"/>
        <v>56</v>
      </c>
      <c r="S77" s="53">
        <f t="shared" si="2"/>
        <v>3.125E-2</v>
      </c>
      <c r="T77" s="43">
        <f t="shared" si="3"/>
        <v>4.6129112045510762E-2</v>
      </c>
      <c r="U77" s="110"/>
    </row>
    <row r="78" spans="1:21" x14ac:dyDescent="0.25">
      <c r="A78" s="2">
        <v>43969</v>
      </c>
      <c r="B78" s="188">
        <v>303</v>
      </c>
      <c r="C78" s="188">
        <v>8371</v>
      </c>
      <c r="D78" s="188">
        <v>9</v>
      </c>
      <c r="E78" s="188">
        <v>382</v>
      </c>
      <c r="F78" s="190">
        <f t="shared" si="5"/>
        <v>247</v>
      </c>
      <c r="G78" s="213">
        <v>2872</v>
      </c>
      <c r="H78" s="188">
        <v>156</v>
      </c>
      <c r="I78" s="188">
        <v>2805</v>
      </c>
      <c r="J78" s="1">
        <v>108634</v>
      </c>
      <c r="K78" s="15">
        <v>657</v>
      </c>
      <c r="L78" s="15">
        <v>81466</v>
      </c>
      <c r="M78" s="1">
        <v>82123</v>
      </c>
      <c r="N78" s="1">
        <v>939</v>
      </c>
      <c r="O78" s="1">
        <v>3718</v>
      </c>
      <c r="P78" s="1">
        <v>2607</v>
      </c>
      <c r="Q78" s="13">
        <f t="shared" si="4"/>
        <v>1107</v>
      </c>
      <c r="R78" s="21">
        <f t="shared" si="6"/>
        <v>247</v>
      </c>
      <c r="S78" s="53">
        <f t="shared" ref="S78:S141" si="7">H78/(C78-E78-G78)</f>
        <v>3.0486613249951142E-2</v>
      </c>
      <c r="T78" s="43">
        <f t="shared" si="3"/>
        <v>4.5633735515470078E-2</v>
      </c>
      <c r="U78" s="110"/>
    </row>
    <row r="79" spans="1:21" x14ac:dyDescent="0.25">
      <c r="A79" s="2">
        <v>43970</v>
      </c>
      <c r="B79" s="188">
        <v>438</v>
      </c>
      <c r="C79" s="188">
        <v>8809</v>
      </c>
      <c r="D79" s="188">
        <v>11</v>
      </c>
      <c r="E79" s="188">
        <v>393</v>
      </c>
      <c r="F79" s="190">
        <f t="shared" si="5"/>
        <v>61</v>
      </c>
      <c r="G79" s="213">
        <v>2933</v>
      </c>
      <c r="H79" s="188">
        <v>161</v>
      </c>
      <c r="I79" s="188">
        <v>3736</v>
      </c>
      <c r="J79" s="1">
        <v>112370</v>
      </c>
      <c r="K79" s="15">
        <v>681</v>
      </c>
      <c r="L79" s="15">
        <v>84449</v>
      </c>
      <c r="M79" s="1">
        <v>85130</v>
      </c>
      <c r="N79" s="1">
        <v>940</v>
      </c>
      <c r="O79" s="1">
        <v>3879</v>
      </c>
      <c r="P79" s="1">
        <v>2758</v>
      </c>
      <c r="Q79" s="13">
        <f t="shared" si="4"/>
        <v>1232</v>
      </c>
      <c r="R79" s="21">
        <f t="shared" si="6"/>
        <v>61</v>
      </c>
      <c r="S79" s="53">
        <f t="shared" si="7"/>
        <v>2.9363487142075505E-2</v>
      </c>
      <c r="T79" s="43">
        <f t="shared" ref="T79:T142" si="8">E79/C79</f>
        <v>4.4613463503235327E-2</v>
      </c>
      <c r="U79" s="110"/>
    </row>
    <row r="80" spans="1:21" x14ac:dyDescent="0.25">
      <c r="A80" s="2">
        <v>43971</v>
      </c>
      <c r="B80" s="188">
        <v>474</v>
      </c>
      <c r="C80" s="188">
        <v>9283</v>
      </c>
      <c r="D80" s="188">
        <v>10</v>
      </c>
      <c r="E80" s="188">
        <v>403</v>
      </c>
      <c r="F80" s="190">
        <f t="shared" si="5"/>
        <v>99</v>
      </c>
      <c r="G80" s="213">
        <v>3032</v>
      </c>
      <c r="H80" s="188">
        <v>171</v>
      </c>
      <c r="I80" s="188">
        <v>4319</v>
      </c>
      <c r="J80" s="1">
        <v>116689</v>
      </c>
      <c r="K80" s="15">
        <v>705</v>
      </c>
      <c r="L80" s="15">
        <v>87447</v>
      </c>
      <c r="M80" s="1">
        <v>88152</v>
      </c>
      <c r="N80" s="1">
        <v>945</v>
      </c>
      <c r="O80" s="1">
        <v>4068</v>
      </c>
      <c r="P80" s="1">
        <v>2919</v>
      </c>
      <c r="Q80" s="13">
        <f t="shared" si="4"/>
        <v>1351</v>
      </c>
      <c r="R80" s="21">
        <f t="shared" si="6"/>
        <v>99</v>
      </c>
      <c r="S80" s="53">
        <f t="shared" si="7"/>
        <v>2.924076607387141E-2</v>
      </c>
      <c r="T80" s="43">
        <f t="shared" si="8"/>
        <v>4.341268986319078E-2</v>
      </c>
      <c r="U80" s="110"/>
    </row>
    <row r="81" spans="1:21" x14ac:dyDescent="0.25">
      <c r="A81" s="2">
        <v>43972</v>
      </c>
      <c r="B81" s="188">
        <v>648</v>
      </c>
      <c r="C81" s="188">
        <v>9931</v>
      </c>
      <c r="D81" s="188">
        <v>13</v>
      </c>
      <c r="E81" s="188">
        <v>416</v>
      </c>
      <c r="F81" s="190">
        <f t="shared" si="5"/>
        <v>30</v>
      </c>
      <c r="G81" s="213">
        <v>3062</v>
      </c>
      <c r="H81" s="188">
        <v>172</v>
      </c>
      <c r="I81" s="188">
        <v>4589</v>
      </c>
      <c r="J81" s="1">
        <v>121278</v>
      </c>
      <c r="K81" s="15">
        <v>731</v>
      </c>
      <c r="L81" s="15">
        <v>90667</v>
      </c>
      <c r="M81" s="1">
        <v>91398</v>
      </c>
      <c r="N81" s="1">
        <v>947</v>
      </c>
      <c r="O81" s="1">
        <v>4334</v>
      </c>
      <c r="P81" s="1">
        <v>3154</v>
      </c>
      <c r="Q81" s="13">
        <f t="shared" ref="Q81:Q89" si="9">C81-P81-O81-N81</f>
        <v>1496</v>
      </c>
      <c r="R81" s="21">
        <f t="shared" si="6"/>
        <v>30</v>
      </c>
      <c r="S81" s="53">
        <f t="shared" si="7"/>
        <v>2.66542693320936E-2</v>
      </c>
      <c r="T81" s="43">
        <f t="shared" si="8"/>
        <v>4.1889034336924778E-2</v>
      </c>
      <c r="U81" s="110"/>
    </row>
    <row r="82" spans="1:21" x14ac:dyDescent="0.25">
      <c r="A82" s="2">
        <v>43973</v>
      </c>
      <c r="B82" s="188">
        <v>718</v>
      </c>
      <c r="C82" s="188">
        <v>10649</v>
      </c>
      <c r="D82" s="188">
        <v>18</v>
      </c>
      <c r="E82" s="188">
        <v>433</v>
      </c>
      <c r="F82" s="190">
        <f t="shared" si="5"/>
        <v>468</v>
      </c>
      <c r="G82" s="213">
        <v>3530</v>
      </c>
      <c r="H82" s="188">
        <v>173</v>
      </c>
      <c r="I82" s="188">
        <v>4615</v>
      </c>
      <c r="J82" s="1">
        <v>125893</v>
      </c>
      <c r="K82" s="15">
        <v>754</v>
      </c>
      <c r="L82" s="15">
        <v>93528</v>
      </c>
      <c r="M82" s="1">
        <v>94282</v>
      </c>
      <c r="N82" s="1">
        <v>948</v>
      </c>
      <c r="O82" s="1">
        <v>4648</v>
      </c>
      <c r="P82" s="1">
        <v>3314</v>
      </c>
      <c r="Q82" s="13">
        <f t="shared" si="9"/>
        <v>1739</v>
      </c>
      <c r="R82" s="21">
        <f t="shared" si="6"/>
        <v>468</v>
      </c>
      <c r="S82" s="53">
        <f t="shared" si="7"/>
        <v>2.5874962608435536E-2</v>
      </c>
      <c r="T82" s="43">
        <f t="shared" si="8"/>
        <v>4.0661094938491876E-2</v>
      </c>
      <c r="U82" s="110"/>
    </row>
    <row r="83" spans="1:21" x14ac:dyDescent="0.25">
      <c r="A83" s="2">
        <v>43974</v>
      </c>
      <c r="B83" s="188">
        <v>704</v>
      </c>
      <c r="C83" s="188">
        <v>11353</v>
      </c>
      <c r="D83" s="188">
        <v>12</v>
      </c>
      <c r="E83" s="188">
        <v>445</v>
      </c>
      <c r="F83" s="190">
        <f t="shared" si="5"/>
        <v>202</v>
      </c>
      <c r="G83" s="213">
        <v>3732</v>
      </c>
      <c r="H83" s="188">
        <v>181</v>
      </c>
      <c r="I83" s="188">
        <v>3525</v>
      </c>
      <c r="J83" s="1">
        <v>129418</v>
      </c>
      <c r="K83" s="15">
        <v>773</v>
      </c>
      <c r="L83" s="15">
        <v>95859</v>
      </c>
      <c r="M83" s="1">
        <v>96632</v>
      </c>
      <c r="N83" s="1">
        <v>951</v>
      </c>
      <c r="O83" s="1">
        <v>4955</v>
      </c>
      <c r="P83" s="1">
        <v>3540</v>
      </c>
      <c r="Q83" s="13">
        <f t="shared" si="9"/>
        <v>1907</v>
      </c>
      <c r="R83" s="21">
        <f t="shared" si="6"/>
        <v>202</v>
      </c>
      <c r="S83" s="53">
        <f t="shared" si="7"/>
        <v>2.5222965440356744E-2</v>
      </c>
      <c r="T83" s="43">
        <f t="shared" si="8"/>
        <v>3.9196688100061661E-2</v>
      </c>
      <c r="U83" s="110"/>
    </row>
    <row r="84" spans="1:21" x14ac:dyDescent="0.25">
      <c r="A84" s="2">
        <v>43975</v>
      </c>
      <c r="B84" s="188">
        <v>723</v>
      </c>
      <c r="C84" s="188">
        <v>12076</v>
      </c>
      <c r="D84" s="188">
        <v>8</v>
      </c>
      <c r="E84" s="188">
        <v>452</v>
      </c>
      <c r="F84" s="190">
        <f t="shared" si="5"/>
        <v>267</v>
      </c>
      <c r="G84" s="213">
        <v>3999</v>
      </c>
      <c r="H84" s="188">
        <v>181</v>
      </c>
      <c r="I84" s="188">
        <v>4050</v>
      </c>
      <c r="J84" s="1">
        <v>133468</v>
      </c>
      <c r="K84" s="15">
        <v>793</v>
      </c>
      <c r="L84" s="15">
        <v>98352</v>
      </c>
      <c r="M84" s="1">
        <v>99145</v>
      </c>
      <c r="N84" s="1">
        <v>955</v>
      </c>
      <c r="O84" s="1">
        <v>5302</v>
      </c>
      <c r="P84" s="1">
        <v>3766</v>
      </c>
      <c r="Q84" s="13">
        <f t="shared" si="9"/>
        <v>2053</v>
      </c>
      <c r="R84" s="21">
        <f t="shared" si="6"/>
        <v>267</v>
      </c>
      <c r="S84" s="53">
        <f t="shared" si="7"/>
        <v>2.3737704918032787E-2</v>
      </c>
      <c r="T84" s="43">
        <f t="shared" si="8"/>
        <v>3.742961245445512E-2</v>
      </c>
      <c r="U84" s="110"/>
    </row>
    <row r="85" spans="1:21" x14ac:dyDescent="0.25">
      <c r="A85" s="2">
        <v>43976</v>
      </c>
      <c r="B85" s="188">
        <v>552</v>
      </c>
      <c r="C85" s="188">
        <v>12628</v>
      </c>
      <c r="D85" s="188">
        <v>15</v>
      </c>
      <c r="E85" s="188">
        <v>467</v>
      </c>
      <c r="F85" s="190">
        <f t="shared" si="5"/>
        <v>168</v>
      </c>
      <c r="G85" s="213">
        <v>4167</v>
      </c>
      <c r="H85" s="188">
        <v>203</v>
      </c>
      <c r="I85" s="188">
        <v>3194</v>
      </c>
      <c r="J85" s="1">
        <v>136662</v>
      </c>
      <c r="K85" s="15">
        <v>709</v>
      </c>
      <c r="L85" s="15">
        <v>100639</v>
      </c>
      <c r="M85" s="1">
        <v>101348</v>
      </c>
      <c r="N85" s="1">
        <v>956</v>
      </c>
      <c r="O85" s="1">
        <v>5563</v>
      </c>
      <c r="P85" s="1">
        <v>4057</v>
      </c>
      <c r="Q85" s="13">
        <f t="shared" si="9"/>
        <v>2052</v>
      </c>
      <c r="R85" s="21">
        <f t="shared" si="6"/>
        <v>168</v>
      </c>
      <c r="S85" s="53">
        <f t="shared" si="7"/>
        <v>2.5394045534150613E-2</v>
      </c>
      <c r="T85" s="43">
        <f t="shared" si="8"/>
        <v>3.6981311371555275E-2</v>
      </c>
      <c r="U85" s="110"/>
    </row>
    <row r="86" spans="1:21" x14ac:dyDescent="0.25">
      <c r="A86" s="2">
        <v>43977</v>
      </c>
      <c r="B86" s="188">
        <v>600</v>
      </c>
      <c r="C86" s="188">
        <v>13228</v>
      </c>
      <c r="D86" s="188">
        <v>23</v>
      </c>
      <c r="E86" s="188">
        <v>490</v>
      </c>
      <c r="F86" s="190">
        <f t="shared" si="5"/>
        <v>182</v>
      </c>
      <c r="G86" s="213">
        <v>4349</v>
      </c>
      <c r="H86" s="188">
        <v>250</v>
      </c>
      <c r="I86" s="188">
        <v>3556</v>
      </c>
      <c r="J86" s="1">
        <v>140218</v>
      </c>
      <c r="K86" s="15">
        <v>727</v>
      </c>
      <c r="L86" s="15">
        <v>103173</v>
      </c>
      <c r="M86" s="1">
        <v>103900</v>
      </c>
      <c r="N86" s="3">
        <v>959</v>
      </c>
      <c r="O86" s="3">
        <v>5813</v>
      </c>
      <c r="P86" s="3">
        <v>4354</v>
      </c>
      <c r="Q86" s="13">
        <f t="shared" si="9"/>
        <v>2102</v>
      </c>
      <c r="R86" s="21">
        <f t="shared" si="6"/>
        <v>182</v>
      </c>
      <c r="S86" s="53">
        <f t="shared" si="7"/>
        <v>2.9800929789009417E-2</v>
      </c>
      <c r="T86" s="43">
        <f t="shared" si="8"/>
        <v>3.704263683096462E-2</v>
      </c>
      <c r="U86" s="110"/>
    </row>
    <row r="87" spans="1:21" x14ac:dyDescent="0.25">
      <c r="A87" s="2">
        <v>43978</v>
      </c>
      <c r="B87" s="188">
        <v>706</v>
      </c>
      <c r="C87" s="188">
        <v>13933</v>
      </c>
      <c r="D87" s="188">
        <v>10</v>
      </c>
      <c r="E87" s="188">
        <v>500</v>
      </c>
      <c r="F87" s="190">
        <f t="shared" si="5"/>
        <v>268</v>
      </c>
      <c r="G87" s="213">
        <v>4617</v>
      </c>
      <c r="H87" s="188">
        <v>254</v>
      </c>
      <c r="I87" s="188">
        <v>4863</v>
      </c>
      <c r="J87" s="1">
        <v>145081</v>
      </c>
      <c r="K87" s="15">
        <v>642</v>
      </c>
      <c r="L87" s="15">
        <v>106456</v>
      </c>
      <c r="M87" s="1">
        <v>107098</v>
      </c>
      <c r="N87" s="1">
        <v>961</v>
      </c>
      <c r="O87" s="1">
        <v>6091</v>
      </c>
      <c r="P87" s="1">
        <v>4694</v>
      </c>
      <c r="Q87" s="13">
        <f t="shared" si="9"/>
        <v>2187</v>
      </c>
      <c r="R87" s="21">
        <f t="shared" si="6"/>
        <v>268</v>
      </c>
      <c r="S87" s="53">
        <f t="shared" si="7"/>
        <v>2.8811252268602542E-2</v>
      </c>
      <c r="T87" s="43">
        <f t="shared" si="8"/>
        <v>3.5886025981482814E-2</v>
      </c>
      <c r="U87" s="110"/>
    </row>
    <row r="88" spans="1:21" x14ac:dyDescent="0.25">
      <c r="A88" s="2">
        <v>43979</v>
      </c>
      <c r="B88" s="188">
        <v>769</v>
      </c>
      <c r="C88" s="188">
        <v>14702</v>
      </c>
      <c r="D88" s="188">
        <v>8</v>
      </c>
      <c r="E88" s="188">
        <v>508</v>
      </c>
      <c r="F88" s="190">
        <f t="shared" si="5"/>
        <v>171</v>
      </c>
      <c r="G88" s="213">
        <v>4788</v>
      </c>
      <c r="H88" s="188">
        <v>259</v>
      </c>
      <c r="I88" s="188">
        <v>5405</v>
      </c>
      <c r="J88" s="1">
        <v>150486</v>
      </c>
      <c r="K88" s="15">
        <v>664</v>
      </c>
      <c r="L88" s="15">
        <v>110132</v>
      </c>
      <c r="M88" s="4">
        <v>110796</v>
      </c>
      <c r="N88" s="1">
        <v>967</v>
      </c>
      <c r="O88" s="1">
        <v>6450</v>
      </c>
      <c r="P88" s="1">
        <v>5051</v>
      </c>
      <c r="Q88" s="13">
        <f t="shared" si="9"/>
        <v>2234</v>
      </c>
      <c r="R88" s="21">
        <f t="shared" si="6"/>
        <v>171</v>
      </c>
      <c r="S88" s="53">
        <f t="shared" si="7"/>
        <v>2.7535615564533277E-2</v>
      </c>
      <c r="T88" s="43">
        <f t="shared" si="8"/>
        <v>3.4553122024214393E-2</v>
      </c>
      <c r="U88" s="110"/>
    </row>
    <row r="89" spans="1:21" x14ac:dyDescent="0.25">
      <c r="A89" s="2">
        <v>43980</v>
      </c>
      <c r="B89" s="190">
        <v>717</v>
      </c>
      <c r="C89" s="190">
        <v>15419</v>
      </c>
      <c r="D89" s="190">
        <v>12</v>
      </c>
      <c r="E89" s="188">
        <v>520</v>
      </c>
      <c r="F89" s="190">
        <f t="shared" si="5"/>
        <v>312</v>
      </c>
      <c r="G89" s="213">
        <v>5100</v>
      </c>
      <c r="H89" s="188">
        <v>244</v>
      </c>
      <c r="I89" s="190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3">
        <f t="shared" si="9"/>
        <v>2316</v>
      </c>
      <c r="R89" s="21">
        <f t="shared" si="6"/>
        <v>312</v>
      </c>
      <c r="S89" s="53">
        <f t="shared" si="7"/>
        <v>2.4900500051025613E-2</v>
      </c>
      <c r="T89" s="43">
        <f t="shared" si="8"/>
        <v>3.3724625462092227E-2</v>
      </c>
      <c r="U89" s="110"/>
    </row>
    <row r="90" spans="1:21" x14ac:dyDescent="0.25">
      <c r="A90" s="2">
        <v>43981</v>
      </c>
      <c r="B90" s="188">
        <v>795</v>
      </c>
      <c r="C90" s="188">
        <v>16214</v>
      </c>
      <c r="D90" s="188">
        <v>8</v>
      </c>
      <c r="E90" s="188">
        <v>528</v>
      </c>
      <c r="F90" s="190">
        <f t="shared" si="5"/>
        <v>236</v>
      </c>
      <c r="G90" s="213">
        <v>5336</v>
      </c>
      <c r="H90" s="188">
        <v>256</v>
      </c>
      <c r="I90" s="190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3">
        <f t="shared" ref="Q90:Q95" si="10">C90-P90-O90-N90</f>
        <v>2491</v>
      </c>
      <c r="R90" s="21">
        <f t="shared" si="6"/>
        <v>236</v>
      </c>
      <c r="S90" s="53">
        <f t="shared" si="7"/>
        <v>2.4734299516908212E-2</v>
      </c>
      <c r="T90" s="43">
        <f t="shared" si="8"/>
        <v>3.2564450474898234E-2</v>
      </c>
      <c r="U90" s="110"/>
    </row>
    <row r="91" spans="1:21" x14ac:dyDescent="0.25">
      <c r="A91" s="2">
        <v>43982</v>
      </c>
      <c r="B91" s="188">
        <v>637</v>
      </c>
      <c r="C91" s="188">
        <v>16851</v>
      </c>
      <c r="D91" s="188">
        <v>11</v>
      </c>
      <c r="E91" s="188">
        <v>539</v>
      </c>
      <c r="F91" s="190">
        <f t="shared" si="5"/>
        <v>185</v>
      </c>
      <c r="G91" s="213">
        <v>5521</v>
      </c>
      <c r="H91" s="188">
        <v>272</v>
      </c>
      <c r="I91" s="190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3">
        <f t="shared" si="10"/>
        <v>2598</v>
      </c>
      <c r="R91" s="21">
        <f t="shared" si="6"/>
        <v>185</v>
      </c>
      <c r="S91" s="53">
        <f t="shared" si="7"/>
        <v>2.5206190343805022E-2</v>
      </c>
      <c r="T91" s="43">
        <f t="shared" si="8"/>
        <v>3.1986232271081834E-2</v>
      </c>
      <c r="U91" s="110"/>
    </row>
    <row r="92" spans="1:21" x14ac:dyDescent="0.25">
      <c r="A92" s="2">
        <v>43983</v>
      </c>
      <c r="B92" s="188">
        <v>564</v>
      </c>
      <c r="C92" s="188">
        <v>17415</v>
      </c>
      <c r="D92" s="188">
        <v>17</v>
      </c>
      <c r="E92" s="188">
        <v>556</v>
      </c>
      <c r="F92" s="190">
        <f t="shared" si="5"/>
        <v>188</v>
      </c>
      <c r="G92" s="213">
        <v>5709</v>
      </c>
      <c r="H92" s="188">
        <v>271</v>
      </c>
      <c r="I92" s="190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3">
        <f t="shared" si="10"/>
        <v>2646</v>
      </c>
      <c r="R92" s="21">
        <f t="shared" si="6"/>
        <v>188</v>
      </c>
      <c r="S92" s="53">
        <f t="shared" si="7"/>
        <v>2.430493273542601E-2</v>
      </c>
      <c r="T92" s="43">
        <f t="shared" si="8"/>
        <v>3.1926500143554408E-2</v>
      </c>
      <c r="U92" s="110"/>
    </row>
    <row r="93" spans="1:21" x14ac:dyDescent="0.25">
      <c r="A93" s="2">
        <v>43984</v>
      </c>
      <c r="B93" s="188">
        <v>904</v>
      </c>
      <c r="C93" s="188">
        <v>18319</v>
      </c>
      <c r="D93" s="188">
        <v>13</v>
      </c>
      <c r="E93" s="188">
        <v>569</v>
      </c>
      <c r="F93" s="190">
        <f t="shared" si="5"/>
        <v>187</v>
      </c>
      <c r="G93" s="213">
        <v>5896</v>
      </c>
      <c r="H93" s="188">
        <v>288</v>
      </c>
      <c r="I93" s="190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3">
        <f t="shared" si="10"/>
        <v>2895</v>
      </c>
      <c r="R93" s="21">
        <f t="shared" si="6"/>
        <v>187</v>
      </c>
      <c r="S93" s="53">
        <f t="shared" si="7"/>
        <v>2.4295596423148304E-2</v>
      </c>
      <c r="T93" s="43">
        <f t="shared" si="8"/>
        <v>3.1060647415251923E-2</v>
      </c>
      <c r="U93" s="110"/>
    </row>
    <row r="94" spans="1:21" x14ac:dyDescent="0.25">
      <c r="A94" s="2">
        <v>43985</v>
      </c>
      <c r="B94" s="188">
        <v>949</v>
      </c>
      <c r="C94" s="188">
        <v>19268</v>
      </c>
      <c r="D94" s="190">
        <v>14</v>
      </c>
      <c r="E94" s="190">
        <v>583</v>
      </c>
      <c r="F94" s="190">
        <f t="shared" si="5"/>
        <v>97</v>
      </c>
      <c r="G94" s="213">
        <v>5993</v>
      </c>
      <c r="H94" s="188">
        <v>293</v>
      </c>
      <c r="I94" s="190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3">
        <f t="shared" si="10"/>
        <v>3133</v>
      </c>
      <c r="R94" s="21">
        <f t="shared" si="6"/>
        <v>97</v>
      </c>
      <c r="S94" s="53">
        <f t="shared" si="7"/>
        <v>2.3085408131106207E-2</v>
      </c>
      <c r="T94" s="43">
        <f t="shared" si="8"/>
        <v>3.0257421631720988E-2</v>
      </c>
      <c r="U94" s="110"/>
    </row>
    <row r="95" spans="1:21" x14ac:dyDescent="0.25">
      <c r="A95" s="2">
        <v>43986</v>
      </c>
      <c r="B95" s="188">
        <v>929</v>
      </c>
      <c r="C95" s="190">
        <v>20197</v>
      </c>
      <c r="D95" s="190">
        <v>25</v>
      </c>
      <c r="E95" s="190">
        <v>608</v>
      </c>
      <c r="F95" s="190">
        <f t="shared" si="5"/>
        <v>95</v>
      </c>
      <c r="G95" s="213">
        <v>6088</v>
      </c>
      <c r="H95" s="188">
        <v>248</v>
      </c>
      <c r="I95" s="190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3">
        <f t="shared" si="10"/>
        <v>3329</v>
      </c>
      <c r="R95" s="21">
        <f t="shared" si="6"/>
        <v>95</v>
      </c>
      <c r="S95" s="53">
        <f t="shared" si="7"/>
        <v>1.8369009702984964E-2</v>
      </c>
      <c r="T95" s="43">
        <f t="shared" si="8"/>
        <v>3.0103480714957668E-2</v>
      </c>
      <c r="U95" s="110"/>
    </row>
    <row r="96" spans="1:21" x14ac:dyDescent="0.25">
      <c r="A96" s="2">
        <v>43987</v>
      </c>
      <c r="B96" s="188">
        <v>840</v>
      </c>
      <c r="C96" s="188">
        <v>21037</v>
      </c>
      <c r="D96" s="188">
        <v>24</v>
      </c>
      <c r="E96" s="190">
        <v>632</v>
      </c>
      <c r="F96" s="190">
        <f t="shared" si="5"/>
        <v>92</v>
      </c>
      <c r="G96" s="213">
        <v>6180</v>
      </c>
      <c r="H96" s="188">
        <v>249</v>
      </c>
      <c r="I96" s="190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3">
        <f>C96-P96-O96-N96</f>
        <v>3404</v>
      </c>
      <c r="R96" s="21">
        <f t="shared" si="6"/>
        <v>92</v>
      </c>
      <c r="S96" s="53">
        <f t="shared" si="7"/>
        <v>1.750439367311072E-2</v>
      </c>
      <c r="T96" s="43">
        <f t="shared" si="8"/>
        <v>3.004230641251129E-2</v>
      </c>
      <c r="U96" s="110"/>
    </row>
    <row r="97" spans="1:21" x14ac:dyDescent="0.25">
      <c r="A97" s="2">
        <v>43988</v>
      </c>
      <c r="B97" s="188">
        <v>983</v>
      </c>
      <c r="C97" s="188">
        <v>22020</v>
      </c>
      <c r="D97" s="190">
        <v>16</v>
      </c>
      <c r="E97" s="190">
        <v>648</v>
      </c>
      <c r="F97" s="190">
        <f t="shared" si="5"/>
        <v>729</v>
      </c>
      <c r="G97" s="213">
        <v>6909</v>
      </c>
      <c r="H97" s="188">
        <v>247</v>
      </c>
      <c r="I97" s="190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3">
        <f>C97-P97-O97-N97</f>
        <v>3677</v>
      </c>
      <c r="R97" s="21">
        <f t="shared" si="6"/>
        <v>729</v>
      </c>
      <c r="S97" s="53">
        <f t="shared" si="7"/>
        <v>1.7078061259766301E-2</v>
      </c>
      <c r="T97" s="43">
        <f t="shared" si="8"/>
        <v>2.9427792915531336E-2</v>
      </c>
      <c r="U97" s="110"/>
    </row>
    <row r="98" spans="1:21" x14ac:dyDescent="0.25">
      <c r="A98" s="2">
        <v>43989</v>
      </c>
      <c r="B98" s="188">
        <v>774</v>
      </c>
      <c r="C98" s="188">
        <v>22794</v>
      </c>
      <c r="D98" s="190">
        <v>15</v>
      </c>
      <c r="E98" s="190">
        <v>664</v>
      </c>
      <c r="F98" s="190">
        <f t="shared" si="5"/>
        <v>396</v>
      </c>
      <c r="G98" s="213">
        <v>7305</v>
      </c>
      <c r="H98" s="188">
        <v>235</v>
      </c>
      <c r="I98" s="190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3">
        <f>C98-P98-O98-N98</f>
        <v>3892</v>
      </c>
      <c r="R98" s="21">
        <f t="shared" si="6"/>
        <v>396</v>
      </c>
      <c r="S98" s="53">
        <f t="shared" si="7"/>
        <v>1.5851602023608771E-2</v>
      </c>
      <c r="T98" s="43">
        <f t="shared" si="8"/>
        <v>2.9130472931473195E-2</v>
      </c>
      <c r="U98" s="110"/>
    </row>
    <row r="99" spans="1:21" x14ac:dyDescent="0.25">
      <c r="A99" s="2">
        <v>43990</v>
      </c>
      <c r="B99" s="191">
        <v>826</v>
      </c>
      <c r="C99" s="191">
        <v>23620</v>
      </c>
      <c r="D99" s="190">
        <v>29</v>
      </c>
      <c r="E99" s="190">
        <v>693</v>
      </c>
      <c r="F99" s="190">
        <f t="shared" si="5"/>
        <v>263</v>
      </c>
      <c r="G99" s="213">
        <v>7568</v>
      </c>
      <c r="H99" s="188">
        <v>265</v>
      </c>
      <c r="I99" s="190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3">
        <f>C99-P99-O99-N99</f>
        <v>3893</v>
      </c>
      <c r="R99" s="21">
        <f t="shared" si="6"/>
        <v>263</v>
      </c>
      <c r="S99" s="53">
        <f t="shared" si="7"/>
        <v>1.7253727456214597E-2</v>
      </c>
      <c r="T99" s="43">
        <f t="shared" si="8"/>
        <v>2.9339542760372567E-2</v>
      </c>
      <c r="U99" s="110"/>
    </row>
    <row r="100" spans="1:21" x14ac:dyDescent="0.25">
      <c r="A100" s="2">
        <v>43991</v>
      </c>
      <c r="B100" s="191">
        <v>1141</v>
      </c>
      <c r="C100" s="191">
        <v>24761</v>
      </c>
      <c r="D100" s="190">
        <v>24</v>
      </c>
      <c r="E100" s="193">
        <v>717</v>
      </c>
      <c r="F100" s="190">
        <f t="shared" si="5"/>
        <v>423</v>
      </c>
      <c r="G100" s="213">
        <v>7991</v>
      </c>
      <c r="H100" s="188">
        <v>263</v>
      </c>
      <c r="I100" s="190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3">
        <f>C100-P100-O100-N100</f>
        <v>4103</v>
      </c>
      <c r="R100" s="21">
        <f t="shared" si="6"/>
        <v>423</v>
      </c>
      <c r="S100" s="53">
        <f t="shared" si="7"/>
        <v>1.6383230548807078E-2</v>
      </c>
      <c r="T100" s="43">
        <f t="shared" si="8"/>
        <v>2.8956827268688663E-2</v>
      </c>
      <c r="U100" s="110"/>
    </row>
    <row r="101" spans="1:21" x14ac:dyDescent="0.25">
      <c r="A101" s="2">
        <v>43992</v>
      </c>
      <c r="B101" s="191">
        <v>1226</v>
      </c>
      <c r="C101" s="190">
        <v>25987</v>
      </c>
      <c r="D101" s="190">
        <v>18</v>
      </c>
      <c r="E101" s="193">
        <v>735</v>
      </c>
      <c r="F101" s="190">
        <f t="shared" si="5"/>
        <v>341</v>
      </c>
      <c r="G101" s="213">
        <v>8332</v>
      </c>
      <c r="H101" s="188">
        <v>325</v>
      </c>
      <c r="I101" s="190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3">
        <f t="shared" ref="Q101:Q124" si="11">C101-P101-O101-N101</f>
        <v>4386</v>
      </c>
      <c r="R101" s="21">
        <f t="shared" si="6"/>
        <v>341</v>
      </c>
      <c r="S101" s="53">
        <f t="shared" si="7"/>
        <v>1.9208037825059102E-2</v>
      </c>
      <c r="T101" s="43">
        <f t="shared" si="8"/>
        <v>2.8283372455458498E-2</v>
      </c>
      <c r="U101" s="110"/>
    </row>
    <row r="102" spans="1:21" x14ac:dyDescent="0.25">
      <c r="A102" s="2">
        <v>43993</v>
      </c>
      <c r="B102" s="191">
        <v>1386</v>
      </c>
      <c r="C102" s="190">
        <v>27373</v>
      </c>
      <c r="D102" s="190">
        <v>30</v>
      </c>
      <c r="E102" s="193">
        <v>765</v>
      </c>
      <c r="F102" s="190">
        <f t="shared" si="5"/>
        <v>411</v>
      </c>
      <c r="G102" s="213">
        <v>8743</v>
      </c>
      <c r="H102" s="188">
        <v>295</v>
      </c>
      <c r="I102" s="190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3">
        <f t="shared" si="11"/>
        <v>4741</v>
      </c>
      <c r="R102" s="21">
        <f t="shared" si="6"/>
        <v>411</v>
      </c>
      <c r="S102" s="53">
        <f t="shared" si="7"/>
        <v>1.6512734396865379E-2</v>
      </c>
      <c r="T102" s="43">
        <f t="shared" si="8"/>
        <v>2.7947247287473057E-2</v>
      </c>
      <c r="U102" s="110"/>
    </row>
    <row r="103" spans="1:21" x14ac:dyDescent="0.25">
      <c r="A103" s="2">
        <v>43994</v>
      </c>
      <c r="B103" s="191">
        <v>1391</v>
      </c>
      <c r="C103" s="190">
        <v>28764</v>
      </c>
      <c r="D103" s="190">
        <v>20</v>
      </c>
      <c r="E103" s="193">
        <v>785</v>
      </c>
      <c r="F103" s="190">
        <f t="shared" si="5"/>
        <v>340</v>
      </c>
      <c r="G103" s="213">
        <v>9083</v>
      </c>
      <c r="H103" s="188">
        <v>280</v>
      </c>
      <c r="I103" s="190">
        <v>7019</v>
      </c>
      <c r="J103" s="4">
        <v>228324</v>
      </c>
      <c r="K103" s="7">
        <v>797</v>
      </c>
      <c r="L103" s="25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3">
        <f t="shared" si="11"/>
        <v>5069</v>
      </c>
      <c r="R103" s="21">
        <f t="shared" si="6"/>
        <v>340</v>
      </c>
      <c r="S103" s="53">
        <f t="shared" si="7"/>
        <v>1.4817950889077053E-2</v>
      </c>
      <c r="T103" s="43">
        <f t="shared" si="8"/>
        <v>2.7291058267278543E-2</v>
      </c>
      <c r="U103" s="110"/>
    </row>
    <row r="104" spans="1:21" x14ac:dyDescent="0.25">
      <c r="A104" s="2">
        <v>43995</v>
      </c>
      <c r="B104" s="192">
        <v>1531</v>
      </c>
      <c r="C104" s="190">
        <v>30295</v>
      </c>
      <c r="D104" s="190">
        <v>30</v>
      </c>
      <c r="E104" s="190">
        <v>815</v>
      </c>
      <c r="F104" s="190">
        <f t="shared" si="5"/>
        <v>481</v>
      </c>
      <c r="G104" s="214">
        <v>9564</v>
      </c>
      <c r="H104" s="215">
        <v>293</v>
      </c>
      <c r="I104" s="190">
        <v>6046</v>
      </c>
      <c r="J104" s="4">
        <v>234370</v>
      </c>
      <c r="K104" s="7">
        <v>815</v>
      </c>
      <c r="L104" s="25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3">
        <f t="shared" si="11"/>
        <v>5627</v>
      </c>
      <c r="R104" s="21">
        <f t="shared" si="6"/>
        <v>481</v>
      </c>
      <c r="S104" s="53">
        <f t="shared" si="7"/>
        <v>1.4711789515967062E-2</v>
      </c>
      <c r="T104" s="43">
        <f t="shared" si="8"/>
        <v>2.6902129064202012E-2</v>
      </c>
      <c r="U104" s="110"/>
    </row>
    <row r="105" spans="1:21" x14ac:dyDescent="0.25">
      <c r="A105" s="2">
        <v>43996</v>
      </c>
      <c r="B105" s="191">
        <v>1282</v>
      </c>
      <c r="C105" s="190">
        <v>31577</v>
      </c>
      <c r="D105" s="190">
        <v>18</v>
      </c>
      <c r="E105" s="190">
        <v>833</v>
      </c>
      <c r="F105" s="190">
        <f t="shared" si="5"/>
        <v>327</v>
      </c>
      <c r="G105" s="214">
        <v>9891</v>
      </c>
      <c r="H105" s="216">
        <v>316</v>
      </c>
      <c r="I105" s="190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3">
        <f t="shared" si="11"/>
        <v>6002</v>
      </c>
      <c r="R105" s="21">
        <f t="shared" si="6"/>
        <v>327</v>
      </c>
      <c r="S105" s="53">
        <f t="shared" si="7"/>
        <v>1.5153694912003069E-2</v>
      </c>
      <c r="T105" s="43">
        <f t="shared" si="8"/>
        <v>2.6379960097539349E-2</v>
      </c>
      <c r="U105" s="110"/>
    </row>
    <row r="106" spans="1:21" x14ac:dyDescent="0.25">
      <c r="A106" s="2">
        <v>43997</v>
      </c>
      <c r="B106" s="191">
        <v>1208</v>
      </c>
      <c r="C106" s="190">
        <v>32785</v>
      </c>
      <c r="D106" s="190">
        <v>21</v>
      </c>
      <c r="E106" s="190">
        <v>854</v>
      </c>
      <c r="F106" s="190">
        <f t="shared" si="5"/>
        <v>273</v>
      </c>
      <c r="G106" s="214">
        <v>10164</v>
      </c>
      <c r="H106" s="217">
        <v>324</v>
      </c>
      <c r="I106" s="190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3">
        <f t="shared" si="11"/>
        <v>6094</v>
      </c>
      <c r="R106" s="21">
        <f t="shared" si="6"/>
        <v>273</v>
      </c>
      <c r="S106" s="53">
        <f t="shared" si="7"/>
        <v>1.4884917535719208E-2</v>
      </c>
      <c r="T106" s="43">
        <f t="shared" si="8"/>
        <v>2.6048497788622844E-2</v>
      </c>
      <c r="U106" s="110"/>
    </row>
    <row r="107" spans="1:21" x14ac:dyDescent="0.25">
      <c r="A107" s="2">
        <v>43998</v>
      </c>
      <c r="B107" s="191">
        <v>1374</v>
      </c>
      <c r="C107" s="190">
        <v>34159</v>
      </c>
      <c r="D107" s="190">
        <v>24</v>
      </c>
      <c r="E107" s="193">
        <v>878</v>
      </c>
      <c r="F107" s="190">
        <f t="shared" si="5"/>
        <v>348</v>
      </c>
      <c r="G107" s="214">
        <v>10512</v>
      </c>
      <c r="H107" s="217">
        <v>345</v>
      </c>
      <c r="I107" s="193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3">
        <f t="shared" si="11"/>
        <v>6187</v>
      </c>
      <c r="R107" s="21">
        <f t="shared" si="6"/>
        <v>348</v>
      </c>
      <c r="S107" s="53">
        <f t="shared" si="7"/>
        <v>1.5152180596424964E-2</v>
      </c>
      <c r="T107" s="43">
        <f t="shared" si="8"/>
        <v>2.5703328551772594E-2</v>
      </c>
      <c r="U107" s="110"/>
    </row>
    <row r="108" spans="1:21" x14ac:dyDescent="0.25">
      <c r="A108" s="2">
        <v>43999</v>
      </c>
      <c r="B108" s="190">
        <v>1393</v>
      </c>
      <c r="C108" s="190">
        <v>35552</v>
      </c>
      <c r="D108" s="190">
        <v>35</v>
      </c>
      <c r="E108" s="193">
        <v>913</v>
      </c>
      <c r="F108" s="190">
        <f t="shared" si="5"/>
        <v>209</v>
      </c>
      <c r="G108" s="214">
        <v>10721</v>
      </c>
      <c r="H108" s="217">
        <v>353</v>
      </c>
      <c r="I108" s="190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3">
        <f t="shared" si="11"/>
        <v>6278</v>
      </c>
      <c r="R108" s="21">
        <f t="shared" si="6"/>
        <v>209</v>
      </c>
      <c r="S108" s="53">
        <f t="shared" si="7"/>
        <v>1.4758759093569697E-2</v>
      </c>
      <c r="T108" s="43">
        <f t="shared" si="8"/>
        <v>2.5680693069306929E-2</v>
      </c>
      <c r="U108" s="110"/>
    </row>
    <row r="109" spans="1:21" x14ac:dyDescent="0.25">
      <c r="A109" s="2">
        <v>44000</v>
      </c>
      <c r="B109" s="191">
        <v>1958</v>
      </c>
      <c r="C109" s="190">
        <v>37510</v>
      </c>
      <c r="D109" s="190">
        <v>35</v>
      </c>
      <c r="E109" s="193">
        <v>948</v>
      </c>
      <c r="F109" s="190">
        <f t="shared" si="5"/>
        <v>1130</v>
      </c>
      <c r="G109" s="214">
        <v>11851</v>
      </c>
      <c r="H109" s="190">
        <v>364</v>
      </c>
      <c r="I109" s="190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3">
        <f t="shared" si="11"/>
        <v>6694</v>
      </c>
      <c r="R109" s="21">
        <f t="shared" si="6"/>
        <v>1130</v>
      </c>
      <c r="S109" s="53">
        <f t="shared" si="7"/>
        <v>1.4730282060620777E-2</v>
      </c>
      <c r="T109" s="43">
        <f t="shared" si="8"/>
        <v>2.5273260463876301E-2</v>
      </c>
      <c r="U109" s="110"/>
    </row>
    <row r="110" spans="1:21" x14ac:dyDescent="0.25">
      <c r="A110" s="2">
        <v>44001</v>
      </c>
      <c r="B110" s="191">
        <v>2060</v>
      </c>
      <c r="C110" s="190">
        <v>39570</v>
      </c>
      <c r="D110" s="190">
        <v>31</v>
      </c>
      <c r="E110" s="193">
        <v>979</v>
      </c>
      <c r="F110" s="190">
        <f t="shared" si="5"/>
        <v>355</v>
      </c>
      <c r="G110" s="214">
        <v>12206</v>
      </c>
      <c r="H110" s="190">
        <v>364</v>
      </c>
      <c r="I110" s="190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3">
        <f t="shared" si="11"/>
        <v>7140</v>
      </c>
      <c r="R110" s="21">
        <f t="shared" si="6"/>
        <v>355</v>
      </c>
      <c r="S110" s="53">
        <f t="shared" si="7"/>
        <v>1.3795717263596741E-2</v>
      </c>
      <c r="T110" s="43">
        <f t="shared" si="8"/>
        <v>2.4740965377811473E-2</v>
      </c>
      <c r="U110" s="110"/>
    </row>
    <row r="111" spans="1:21" x14ac:dyDescent="0.25">
      <c r="A111" s="2">
        <v>44002</v>
      </c>
      <c r="B111" s="191">
        <v>1634</v>
      </c>
      <c r="C111" s="193">
        <v>41204</v>
      </c>
      <c r="D111" s="193">
        <v>12</v>
      </c>
      <c r="E111" s="193">
        <v>991</v>
      </c>
      <c r="F111" s="190">
        <f t="shared" si="5"/>
        <v>522</v>
      </c>
      <c r="G111" s="214">
        <v>12728</v>
      </c>
      <c r="H111" s="190">
        <v>381</v>
      </c>
      <c r="I111" s="190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3">
        <f t="shared" si="11"/>
        <v>7535</v>
      </c>
      <c r="R111" s="21">
        <f t="shared" si="6"/>
        <v>522</v>
      </c>
      <c r="S111" s="53">
        <f t="shared" si="7"/>
        <v>1.3862106603601964E-2</v>
      </c>
      <c r="T111" s="43">
        <f t="shared" si="8"/>
        <v>2.4051063003591885E-2</v>
      </c>
      <c r="U111" s="110"/>
    </row>
    <row r="112" spans="1:21" x14ac:dyDescent="0.25">
      <c r="A112" s="2">
        <v>44003</v>
      </c>
      <c r="B112" s="191">
        <v>1581</v>
      </c>
      <c r="C112" s="190">
        <v>42785</v>
      </c>
      <c r="D112" s="193">
        <v>19</v>
      </c>
      <c r="E112" s="190">
        <v>1011</v>
      </c>
      <c r="F112" s="190">
        <f t="shared" si="5"/>
        <v>425</v>
      </c>
      <c r="G112" s="218">
        <v>13153</v>
      </c>
      <c r="H112" s="190">
        <v>397</v>
      </c>
      <c r="I112" s="190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3">
        <f t="shared" si="11"/>
        <v>7887</v>
      </c>
      <c r="R112" s="21">
        <f t="shared" si="6"/>
        <v>425</v>
      </c>
      <c r="S112" s="53">
        <f t="shared" si="7"/>
        <v>1.3870933929632089E-2</v>
      </c>
      <c r="T112" s="43">
        <f t="shared" si="8"/>
        <v>2.3629776790931402E-2</v>
      </c>
      <c r="U112" s="110"/>
    </row>
    <row r="113" spans="1:22" x14ac:dyDescent="0.25">
      <c r="A113" s="2">
        <v>44004</v>
      </c>
      <c r="B113" s="191">
        <v>2146</v>
      </c>
      <c r="C113" s="193">
        <v>44931</v>
      </c>
      <c r="D113" s="190">
        <v>32</v>
      </c>
      <c r="E113" s="190">
        <f>E112+D113</f>
        <v>1043</v>
      </c>
      <c r="F113" s="190">
        <f t="shared" si="5"/>
        <v>423</v>
      </c>
      <c r="G113" s="218">
        <v>13576</v>
      </c>
      <c r="H113" s="190">
        <v>414</v>
      </c>
      <c r="I113" s="190">
        <v>7120</v>
      </c>
      <c r="J113" s="7">
        <v>292511</v>
      </c>
      <c r="K113" s="15">
        <v>790</v>
      </c>
      <c r="L113" s="15">
        <v>196839</v>
      </c>
      <c r="M113" s="4">
        <v>197629</v>
      </c>
      <c r="N113" s="13">
        <v>1050</v>
      </c>
      <c r="O113" s="13">
        <v>16924</v>
      </c>
      <c r="P113" s="13">
        <v>18537</v>
      </c>
      <c r="Q113" s="13">
        <f t="shared" si="11"/>
        <v>8420</v>
      </c>
      <c r="R113" s="21">
        <f t="shared" si="6"/>
        <v>423</v>
      </c>
      <c r="S113" s="53">
        <f t="shared" si="7"/>
        <v>1.3657957244655582E-2</v>
      </c>
      <c r="T113" s="43">
        <f t="shared" si="8"/>
        <v>2.3213371614252964E-2</v>
      </c>
      <c r="U113" s="110"/>
    </row>
    <row r="114" spans="1:22" x14ac:dyDescent="0.25">
      <c r="A114" s="2">
        <v>44005</v>
      </c>
      <c r="B114" s="190">
        <v>2285</v>
      </c>
      <c r="C114" s="190">
        <f>C113+B114</f>
        <v>47216</v>
      </c>
      <c r="D114" s="190">
        <v>35</v>
      </c>
      <c r="E114" s="190">
        <f>E113+D114</f>
        <v>1078</v>
      </c>
      <c r="F114" s="190">
        <f t="shared" si="5"/>
        <v>240</v>
      </c>
      <c r="G114" s="218">
        <v>13816</v>
      </c>
      <c r="H114" s="190">
        <v>433</v>
      </c>
      <c r="I114" s="190">
        <v>7832</v>
      </c>
      <c r="J114" s="13">
        <v>300343</v>
      </c>
      <c r="K114" s="15">
        <v>812</v>
      </c>
      <c r="L114" s="48">
        <v>202380</v>
      </c>
      <c r="M114" s="13">
        <v>203192</v>
      </c>
      <c r="N114" s="11">
        <v>1052</v>
      </c>
      <c r="O114" s="13">
        <v>17655</v>
      </c>
      <c r="P114" s="13">
        <v>19603</v>
      </c>
      <c r="Q114" s="13">
        <f t="shared" si="11"/>
        <v>8906</v>
      </c>
      <c r="R114" s="21">
        <f t="shared" si="6"/>
        <v>240</v>
      </c>
      <c r="S114" s="53">
        <f t="shared" si="7"/>
        <v>1.3396448239589135E-2</v>
      </c>
      <c r="T114" s="43">
        <f t="shared" si="8"/>
        <v>2.2831243646221619E-2</v>
      </c>
      <c r="U114" s="110"/>
    </row>
    <row r="115" spans="1:22" x14ac:dyDescent="0.25">
      <c r="A115" s="2">
        <v>44006</v>
      </c>
      <c r="B115" s="191">
        <v>2635</v>
      </c>
      <c r="C115" s="190">
        <v>49851</v>
      </c>
      <c r="D115" s="190">
        <v>38</v>
      </c>
      <c r="E115" s="190">
        <v>1116</v>
      </c>
      <c r="F115" s="190">
        <f t="shared" si="5"/>
        <v>972</v>
      </c>
      <c r="G115" s="218">
        <v>14788</v>
      </c>
      <c r="H115" s="190">
        <v>457</v>
      </c>
      <c r="I115" s="190">
        <v>9258</v>
      </c>
      <c r="J115" s="4">
        <v>309601</v>
      </c>
      <c r="K115" s="15">
        <v>832.92800000001444</v>
      </c>
      <c r="L115" s="15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3">
        <f t="shared" si="11"/>
        <v>9515</v>
      </c>
      <c r="R115" s="21">
        <f t="shared" si="6"/>
        <v>972</v>
      </c>
      <c r="S115" s="53">
        <f t="shared" si="7"/>
        <v>1.3462161604854627E-2</v>
      </c>
      <c r="T115" s="43">
        <f t="shared" si="8"/>
        <v>2.2386712402960824E-2</v>
      </c>
      <c r="U115" s="110"/>
    </row>
    <row r="116" spans="1:22" x14ac:dyDescent="0.25">
      <c r="A116" s="2">
        <v>44007</v>
      </c>
      <c r="B116" s="190">
        <v>2606</v>
      </c>
      <c r="C116" s="193">
        <v>52457</v>
      </c>
      <c r="D116" s="190">
        <v>34</v>
      </c>
      <c r="E116" s="190">
        <v>1150</v>
      </c>
      <c r="F116" s="190">
        <f t="shared" si="5"/>
        <v>3628</v>
      </c>
      <c r="G116" s="218">
        <v>18416</v>
      </c>
      <c r="H116" s="190">
        <v>472</v>
      </c>
      <c r="I116" s="190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3">
        <f t="shared" si="11"/>
        <v>10116</v>
      </c>
      <c r="R116" s="21">
        <f t="shared" si="6"/>
        <v>3628</v>
      </c>
      <c r="S116" s="53">
        <f t="shared" si="7"/>
        <v>1.4350430208871728E-2</v>
      </c>
      <c r="T116" s="43">
        <f t="shared" si="8"/>
        <v>2.1922717654459842E-2</v>
      </c>
      <c r="U116" s="110"/>
    </row>
    <row r="117" spans="1:22" x14ac:dyDescent="0.25">
      <c r="A117" s="2">
        <v>44008</v>
      </c>
      <c r="B117" s="191">
        <v>2886</v>
      </c>
      <c r="C117" s="190">
        <v>55343</v>
      </c>
      <c r="D117" s="193">
        <v>34</v>
      </c>
      <c r="E117" s="193">
        <v>1184</v>
      </c>
      <c r="F117" s="190">
        <f t="shared" si="5"/>
        <v>727</v>
      </c>
      <c r="G117" s="218">
        <v>19143</v>
      </c>
      <c r="H117" s="190">
        <v>507</v>
      </c>
      <c r="I117" s="190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3">
        <f t="shared" si="11"/>
        <v>10723</v>
      </c>
      <c r="R117" s="21">
        <f t="shared" si="6"/>
        <v>727</v>
      </c>
      <c r="S117" s="53">
        <f t="shared" si="7"/>
        <v>1.4479095270733379E-2</v>
      </c>
      <c r="T117" s="43">
        <f t="shared" si="8"/>
        <v>2.1393852881123176E-2</v>
      </c>
      <c r="U117" s="110"/>
    </row>
    <row r="118" spans="1:22" x14ac:dyDescent="0.25">
      <c r="A118" s="2">
        <v>44009</v>
      </c>
      <c r="B118" s="193">
        <v>2401</v>
      </c>
      <c r="C118" s="190">
        <v>57744</v>
      </c>
      <c r="D118" s="190">
        <v>23</v>
      </c>
      <c r="E118" s="193">
        <v>1207</v>
      </c>
      <c r="F118" s="190">
        <f t="shared" si="5"/>
        <v>991</v>
      </c>
      <c r="G118" s="218">
        <v>20134</v>
      </c>
      <c r="H118" s="190">
        <v>542</v>
      </c>
      <c r="I118" s="190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3">
        <f t="shared" si="11"/>
        <v>11132</v>
      </c>
      <c r="R118" s="21">
        <f t="shared" si="6"/>
        <v>991</v>
      </c>
      <c r="S118" s="53">
        <f t="shared" si="7"/>
        <v>1.4888882784385903E-2</v>
      </c>
      <c r="T118" s="43">
        <f t="shared" si="8"/>
        <v>2.090260459961208E-2</v>
      </c>
      <c r="U118" s="110"/>
    </row>
    <row r="119" spans="1:22" x14ac:dyDescent="0.25">
      <c r="A119" s="2">
        <v>44010</v>
      </c>
      <c r="B119" s="191">
        <v>2189</v>
      </c>
      <c r="C119" s="190">
        <f>C118+B119</f>
        <v>59933</v>
      </c>
      <c r="D119" s="190">
        <v>26</v>
      </c>
      <c r="E119" s="190">
        <f>E118+D119</f>
        <v>1233</v>
      </c>
      <c r="F119" s="190">
        <f t="shared" si="5"/>
        <v>1004</v>
      </c>
      <c r="G119" s="218">
        <v>21138</v>
      </c>
      <c r="H119" s="190">
        <v>535</v>
      </c>
      <c r="I119" s="190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3">
        <f t="shared" si="11"/>
        <v>11671</v>
      </c>
      <c r="R119" s="21">
        <f t="shared" si="6"/>
        <v>1004</v>
      </c>
      <c r="S119" s="53">
        <f t="shared" si="7"/>
        <v>1.4243118044832543E-2</v>
      </c>
      <c r="T119" s="43">
        <f t="shared" si="8"/>
        <v>2.057297315335458E-2</v>
      </c>
      <c r="U119" s="110"/>
      <c r="V119" s="302"/>
    </row>
    <row r="120" spans="1:22" x14ac:dyDescent="0.25">
      <c r="A120" s="54">
        <v>44011</v>
      </c>
      <c r="B120" s="193">
        <v>2335</v>
      </c>
      <c r="C120" s="190">
        <f>C119+B120</f>
        <v>62268</v>
      </c>
      <c r="D120" s="190">
        <v>48</v>
      </c>
      <c r="E120" s="190">
        <f>E119+D120</f>
        <v>1281</v>
      </c>
      <c r="F120" s="190">
        <f t="shared" si="5"/>
        <v>890</v>
      </c>
      <c r="G120" s="218">
        <v>22028</v>
      </c>
      <c r="H120" s="190">
        <v>555</v>
      </c>
      <c r="I120" s="190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3">
        <f t="shared" si="11"/>
        <v>11587</v>
      </c>
      <c r="R120" s="21">
        <f t="shared" si="6"/>
        <v>890</v>
      </c>
      <c r="S120" s="53">
        <f t="shared" si="7"/>
        <v>1.4245745527349264E-2</v>
      </c>
      <c r="T120" s="43">
        <f t="shared" si="8"/>
        <v>2.0572364617460013E-2</v>
      </c>
      <c r="U120" s="110"/>
      <c r="V120" s="302"/>
    </row>
    <row r="121" spans="1:22" x14ac:dyDescent="0.25">
      <c r="A121" s="2">
        <v>44012</v>
      </c>
      <c r="B121" s="190">
        <v>2262</v>
      </c>
      <c r="C121" s="190">
        <v>64530</v>
      </c>
      <c r="D121" s="190">
        <v>27</v>
      </c>
      <c r="E121" s="190">
        <v>1307</v>
      </c>
      <c r="F121" s="190">
        <f t="shared" si="5"/>
        <v>1012</v>
      </c>
      <c r="G121" s="218">
        <v>23040</v>
      </c>
      <c r="H121" s="190">
        <v>576</v>
      </c>
      <c r="I121" s="190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3">
        <v>1065</v>
      </c>
      <c r="O121" s="4">
        <v>23565</v>
      </c>
      <c r="P121" s="13">
        <v>28732</v>
      </c>
      <c r="Q121" s="13">
        <f t="shared" si="11"/>
        <v>11168</v>
      </c>
      <c r="R121" s="21">
        <f t="shared" si="6"/>
        <v>1012</v>
      </c>
      <c r="S121" s="53">
        <f t="shared" si="7"/>
        <v>1.4334420028370206E-2</v>
      </c>
      <c r="T121" s="43">
        <f t="shared" si="8"/>
        <v>2.0254145358747869E-2</v>
      </c>
      <c r="U121" s="110"/>
      <c r="V121" s="302"/>
    </row>
    <row r="122" spans="1:22" x14ac:dyDescent="0.25">
      <c r="A122" s="2">
        <v>44013</v>
      </c>
      <c r="B122" s="193">
        <v>2667</v>
      </c>
      <c r="C122" s="190">
        <f>C121+B122</f>
        <v>67197</v>
      </c>
      <c r="D122" s="190">
        <v>44</v>
      </c>
      <c r="E122" s="190">
        <f>E121+D122</f>
        <v>1351</v>
      </c>
      <c r="F122" s="190">
        <f t="shared" si="5"/>
        <v>1146</v>
      </c>
      <c r="G122" s="218">
        <v>24186</v>
      </c>
      <c r="H122" s="190">
        <v>594</v>
      </c>
      <c r="I122" s="190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3">
        <f t="shared" si="11"/>
        <v>11514</v>
      </c>
      <c r="R122" s="21">
        <f t="shared" si="6"/>
        <v>1146</v>
      </c>
      <c r="S122" s="53">
        <f t="shared" si="7"/>
        <v>1.4258281325012001E-2</v>
      </c>
      <c r="T122" s="43">
        <f t="shared" si="8"/>
        <v>2.0105064214176228E-2</v>
      </c>
      <c r="U122" s="110"/>
      <c r="V122" s="302"/>
    </row>
    <row r="123" spans="1:22" x14ac:dyDescent="0.25">
      <c r="A123" s="2">
        <v>44014</v>
      </c>
      <c r="B123" s="193">
        <v>2744</v>
      </c>
      <c r="C123" s="190">
        <f>C122+B123</f>
        <v>69941</v>
      </c>
      <c r="D123" s="190">
        <v>34</v>
      </c>
      <c r="E123" s="190">
        <f>D123+E122</f>
        <v>1385</v>
      </c>
      <c r="F123" s="190">
        <f t="shared" si="5"/>
        <v>1038</v>
      </c>
      <c r="G123" s="218">
        <v>25224</v>
      </c>
      <c r="H123" s="190">
        <v>620</v>
      </c>
      <c r="I123" s="190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3">
        <f t="shared" si="11"/>
        <v>11761</v>
      </c>
      <c r="R123" s="21">
        <f t="shared" si="6"/>
        <v>1038</v>
      </c>
      <c r="S123" s="53">
        <f t="shared" si="7"/>
        <v>1.4308132557924859E-2</v>
      </c>
      <c r="T123" s="43">
        <f t="shared" si="8"/>
        <v>1.9802404884116612E-2</v>
      </c>
      <c r="U123" s="110"/>
      <c r="V123" s="302"/>
    </row>
    <row r="124" spans="1:22" ht="16.5" customHeight="1" x14ac:dyDescent="0.25">
      <c r="A124" s="2">
        <v>44015</v>
      </c>
      <c r="B124" s="191">
        <v>2845</v>
      </c>
      <c r="C124" s="188">
        <f>C123+B124</f>
        <v>72786</v>
      </c>
      <c r="D124" s="188">
        <v>52</v>
      </c>
      <c r="E124" s="188">
        <f>E123+D124</f>
        <v>1437</v>
      </c>
      <c r="F124" s="190">
        <f t="shared" si="5"/>
        <v>706</v>
      </c>
      <c r="G124" s="218">
        <v>25930</v>
      </c>
      <c r="H124" s="188">
        <v>637</v>
      </c>
      <c r="I124" s="190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3">
        <f t="shared" si="11"/>
        <v>12003</v>
      </c>
      <c r="R124" s="21">
        <f t="shared" si="6"/>
        <v>706</v>
      </c>
      <c r="S124" s="53">
        <f t="shared" si="7"/>
        <v>1.4024967524604241E-2</v>
      </c>
      <c r="T124" s="43">
        <f t="shared" si="8"/>
        <v>1.9742807682796144E-2</v>
      </c>
      <c r="U124" s="110"/>
      <c r="V124" s="302"/>
    </row>
    <row r="125" spans="1:22" x14ac:dyDescent="0.25">
      <c r="A125" s="2">
        <v>44016</v>
      </c>
      <c r="B125" s="191">
        <v>2590</v>
      </c>
      <c r="C125" s="188">
        <f>C124+B125</f>
        <v>75376</v>
      </c>
      <c r="D125" s="188">
        <v>44</v>
      </c>
      <c r="E125" s="188">
        <f>E124+D125</f>
        <v>1481</v>
      </c>
      <c r="F125" s="190">
        <f t="shared" si="5"/>
        <v>1667</v>
      </c>
      <c r="G125" s="218">
        <v>27597</v>
      </c>
      <c r="H125" s="188">
        <v>658</v>
      </c>
      <c r="I125" s="190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3">
        <f>C125-P125-O125-N125</f>
        <v>12573</v>
      </c>
      <c r="R125" s="21">
        <f t="shared" si="6"/>
        <v>1667</v>
      </c>
      <c r="S125" s="53">
        <f t="shared" si="7"/>
        <v>1.4212276988206833E-2</v>
      </c>
      <c r="T125" s="43">
        <f t="shared" si="8"/>
        <v>1.9648163871789429E-2</v>
      </c>
      <c r="U125" s="110"/>
      <c r="V125" s="302"/>
    </row>
    <row r="126" spans="1:22" x14ac:dyDescent="0.25">
      <c r="A126" s="2">
        <v>44017</v>
      </c>
      <c r="B126" s="193">
        <v>2439</v>
      </c>
      <c r="C126" s="190">
        <v>77815</v>
      </c>
      <c r="D126" s="190">
        <v>26</v>
      </c>
      <c r="E126" s="190">
        <f>E125+D126</f>
        <v>1507</v>
      </c>
      <c r="F126" s="190">
        <f t="shared" si="5"/>
        <v>934</v>
      </c>
      <c r="G126" s="218">
        <v>28531</v>
      </c>
      <c r="H126" s="188">
        <v>676</v>
      </c>
      <c r="I126" s="190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1">
        <f t="shared" si="6"/>
        <v>934</v>
      </c>
      <c r="S126" s="53">
        <f t="shared" si="7"/>
        <v>1.4149067542960001E-2</v>
      </c>
      <c r="T126" s="43">
        <f t="shared" si="8"/>
        <v>1.9366446057957978E-2</v>
      </c>
      <c r="U126" s="110"/>
      <c r="V126" s="302"/>
    </row>
    <row r="127" spans="1:22" x14ac:dyDescent="0.25">
      <c r="A127" s="54">
        <v>44018</v>
      </c>
      <c r="B127" s="190">
        <v>2632</v>
      </c>
      <c r="C127" s="190">
        <v>80447</v>
      </c>
      <c r="D127" s="190">
        <v>75</v>
      </c>
      <c r="E127" s="190">
        <v>1582</v>
      </c>
      <c r="F127" s="190">
        <f t="shared" si="5"/>
        <v>1564</v>
      </c>
      <c r="G127" s="218">
        <v>30095</v>
      </c>
      <c r="H127" s="188">
        <v>688</v>
      </c>
      <c r="I127" s="190">
        <v>8487</v>
      </c>
      <c r="J127" s="14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1">
        <f t="shared" si="6"/>
        <v>1564</v>
      </c>
      <c r="S127" s="53">
        <f t="shared" si="7"/>
        <v>1.41070330120976E-2</v>
      </c>
      <c r="T127" s="43">
        <f t="shared" si="8"/>
        <v>1.966512113565453E-2</v>
      </c>
      <c r="U127" s="110"/>
      <c r="V127" s="302"/>
    </row>
    <row r="128" spans="1:22" x14ac:dyDescent="0.25">
      <c r="A128" s="2">
        <v>44019</v>
      </c>
      <c r="B128" s="190">
        <v>2979</v>
      </c>
      <c r="C128" s="190">
        <v>83426</v>
      </c>
      <c r="D128" s="190">
        <v>62</v>
      </c>
      <c r="E128" s="193">
        <v>1644</v>
      </c>
      <c r="F128" s="190">
        <f t="shared" si="5"/>
        <v>6407</v>
      </c>
      <c r="G128" s="218">
        <v>36502</v>
      </c>
      <c r="H128" s="190">
        <v>646</v>
      </c>
      <c r="I128" s="190">
        <v>9805</v>
      </c>
      <c r="J128" s="14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1">
        <f t="shared" si="6"/>
        <v>6407</v>
      </c>
      <c r="S128" s="53">
        <f t="shared" si="7"/>
        <v>1.4266784452296819E-2</v>
      </c>
      <c r="T128" s="43">
        <f t="shared" si="8"/>
        <v>1.9706086831443436E-2</v>
      </c>
      <c r="U128" s="110"/>
      <c r="V128" s="302"/>
    </row>
    <row r="129" spans="1:22" x14ac:dyDescent="0.25">
      <c r="A129" s="2">
        <v>44020</v>
      </c>
      <c r="B129" s="190">
        <v>3604</v>
      </c>
      <c r="C129" s="193">
        <v>87030</v>
      </c>
      <c r="D129" s="190">
        <v>51</v>
      </c>
      <c r="E129" s="208">
        <v>1695</v>
      </c>
      <c r="F129" s="190">
        <f t="shared" si="5"/>
        <v>1811</v>
      </c>
      <c r="G129" s="218">
        <v>38313</v>
      </c>
      <c r="H129" s="190">
        <v>671</v>
      </c>
      <c r="I129" s="190">
        <v>10910</v>
      </c>
      <c r="J129" s="14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1">
        <f t="shared" si="6"/>
        <v>1811</v>
      </c>
      <c r="S129" s="53">
        <f t="shared" si="7"/>
        <v>1.4269916209433882E-2</v>
      </c>
      <c r="T129" s="43">
        <f t="shared" si="8"/>
        <v>1.9476042743881421E-2</v>
      </c>
      <c r="U129" s="110"/>
      <c r="V129" s="302"/>
    </row>
    <row r="130" spans="1:22" x14ac:dyDescent="0.25">
      <c r="A130" s="2">
        <v>44021</v>
      </c>
      <c r="B130" s="193">
        <v>3663</v>
      </c>
      <c r="C130" s="193">
        <v>90693</v>
      </c>
      <c r="D130" s="190">
        <v>26</v>
      </c>
      <c r="E130" s="193">
        <v>1721</v>
      </c>
      <c r="F130" s="190">
        <f t="shared" si="5"/>
        <v>671</v>
      </c>
      <c r="G130" s="218">
        <v>38984</v>
      </c>
      <c r="H130" s="190">
        <v>662</v>
      </c>
      <c r="I130" s="190">
        <v>11041</v>
      </c>
      <c r="J130" s="14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1">
        <f t="shared" si="6"/>
        <v>671</v>
      </c>
      <c r="S130" s="53">
        <f t="shared" si="7"/>
        <v>1.3243178362807074E-2</v>
      </c>
      <c r="T130" s="43">
        <f t="shared" si="8"/>
        <v>1.8976106204447972E-2</v>
      </c>
      <c r="U130" s="110"/>
      <c r="V130" s="302"/>
    </row>
    <row r="131" spans="1:22" x14ac:dyDescent="0.25">
      <c r="A131" s="2">
        <v>44022</v>
      </c>
      <c r="B131" s="193">
        <v>3367</v>
      </c>
      <c r="C131" s="190">
        <v>94060</v>
      </c>
      <c r="D131" s="190">
        <v>54</v>
      </c>
      <c r="E131" s="193">
        <v>1775</v>
      </c>
      <c r="F131" s="190">
        <f t="shared" ref="F131:F194" si="12">G131-G130</f>
        <v>2424</v>
      </c>
      <c r="G131" s="218">
        <v>41408</v>
      </c>
      <c r="H131" s="190">
        <v>686</v>
      </c>
      <c r="I131" s="190">
        <v>10309</v>
      </c>
      <c r="J131" s="14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1">
        <f t="shared" si="6"/>
        <v>2424</v>
      </c>
      <c r="S131" s="53">
        <f t="shared" si="7"/>
        <v>1.3483499420170214E-2</v>
      </c>
      <c r="T131" s="43">
        <f t="shared" si="8"/>
        <v>1.8870933446736127E-2</v>
      </c>
      <c r="U131" s="110"/>
      <c r="V131" s="302"/>
    </row>
    <row r="132" spans="1:22" x14ac:dyDescent="0.25">
      <c r="A132" s="2">
        <v>44023</v>
      </c>
      <c r="B132" s="193">
        <v>3449</v>
      </c>
      <c r="C132" s="193">
        <v>97509</v>
      </c>
      <c r="D132" s="190">
        <v>36</v>
      </c>
      <c r="E132" s="193">
        <v>1811</v>
      </c>
      <c r="F132" s="190">
        <f t="shared" si="12"/>
        <v>1286</v>
      </c>
      <c r="G132" s="218">
        <v>42694</v>
      </c>
      <c r="H132" s="190">
        <v>701</v>
      </c>
      <c r="I132" s="190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1">
        <f t="shared" si="6"/>
        <v>1286</v>
      </c>
      <c r="S132" s="53">
        <f t="shared" si="7"/>
        <v>1.3225416949664176E-2</v>
      </c>
      <c r="T132" s="43">
        <f t="shared" si="8"/>
        <v>1.8572644576398074E-2</v>
      </c>
      <c r="U132" s="110"/>
      <c r="V132" s="302"/>
    </row>
    <row r="133" spans="1:22" x14ac:dyDescent="0.25">
      <c r="A133" s="2">
        <v>44024</v>
      </c>
      <c r="B133" s="193">
        <v>2657</v>
      </c>
      <c r="C133" s="193">
        <v>100166</v>
      </c>
      <c r="D133" s="193">
        <v>34</v>
      </c>
      <c r="E133" s="193">
        <v>1845</v>
      </c>
      <c r="F133" s="190">
        <f t="shared" si="12"/>
        <v>1479</v>
      </c>
      <c r="G133" s="218">
        <v>44173</v>
      </c>
      <c r="H133" s="190">
        <v>735</v>
      </c>
      <c r="I133" s="190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1">
        <f t="shared" si="6"/>
        <v>1479</v>
      </c>
      <c r="S133" s="53">
        <f t="shared" si="7"/>
        <v>1.3573908546945408E-2</v>
      </c>
      <c r="T133" s="43">
        <f t="shared" si="8"/>
        <v>1.8419423756564104E-2</v>
      </c>
      <c r="U133" s="110"/>
      <c r="V133" s="302"/>
    </row>
    <row r="134" spans="1:22" x14ac:dyDescent="0.25">
      <c r="A134" s="54">
        <v>44025</v>
      </c>
      <c r="B134" s="190">
        <v>3099</v>
      </c>
      <c r="C134" s="190">
        <v>103265</v>
      </c>
      <c r="D134" s="190">
        <v>58</v>
      </c>
      <c r="E134" s="190">
        <v>1903</v>
      </c>
      <c r="F134" s="190">
        <f t="shared" si="12"/>
        <v>1294</v>
      </c>
      <c r="G134" s="218">
        <v>45467</v>
      </c>
      <c r="H134" s="190">
        <v>752</v>
      </c>
      <c r="I134" s="190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1">
        <f t="shared" ref="R134:R157" si="13">G134-G133</f>
        <v>1294</v>
      </c>
      <c r="S134" s="53">
        <f t="shared" si="7"/>
        <v>1.3453797298506128E-2</v>
      </c>
      <c r="T134" s="43">
        <f t="shared" si="8"/>
        <v>1.8428315498958989E-2</v>
      </c>
      <c r="U134" s="110"/>
      <c r="V134" s="302"/>
    </row>
    <row r="135" spans="1:22" x14ac:dyDescent="0.25">
      <c r="A135" s="2">
        <v>44026</v>
      </c>
      <c r="B135" s="190">
        <v>3645</v>
      </c>
      <c r="C135" s="193">
        <v>106910</v>
      </c>
      <c r="D135" s="190">
        <v>65</v>
      </c>
      <c r="E135" s="190">
        <v>1968</v>
      </c>
      <c r="F135" s="190">
        <f t="shared" si="12"/>
        <v>1831</v>
      </c>
      <c r="G135" s="218">
        <v>47298</v>
      </c>
      <c r="H135" s="190">
        <v>772</v>
      </c>
      <c r="I135" s="190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1">
        <f t="shared" si="13"/>
        <v>1831</v>
      </c>
      <c r="S135" s="53">
        <f t="shared" si="7"/>
        <v>1.3392547359655818E-2</v>
      </c>
      <c r="T135" s="43">
        <f t="shared" si="8"/>
        <v>1.840800673463661E-2</v>
      </c>
      <c r="U135" s="110"/>
      <c r="V135" s="302"/>
    </row>
    <row r="136" spans="1:22" x14ac:dyDescent="0.25">
      <c r="A136" s="2">
        <v>44027</v>
      </c>
      <c r="B136" s="193">
        <v>4250</v>
      </c>
      <c r="C136" s="190">
        <f>C135+B136</f>
        <v>111160</v>
      </c>
      <c r="D136" s="190">
        <v>82</v>
      </c>
      <c r="E136" s="190">
        <v>2050</v>
      </c>
      <c r="F136" s="190">
        <f t="shared" si="12"/>
        <v>1822</v>
      </c>
      <c r="G136" s="218">
        <v>49120</v>
      </c>
      <c r="H136" s="190">
        <v>783</v>
      </c>
      <c r="I136" s="190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1">
        <f t="shared" si="13"/>
        <v>1822</v>
      </c>
      <c r="S136" s="53">
        <f t="shared" si="7"/>
        <v>1.3052175362560427E-2</v>
      </c>
      <c r="T136" s="43">
        <f t="shared" si="8"/>
        <v>1.8441885570349047E-2</v>
      </c>
      <c r="U136" s="110"/>
      <c r="V136" s="302"/>
    </row>
    <row r="137" spans="1:22" s="24" customFormat="1" x14ac:dyDescent="0.25">
      <c r="A137" s="2">
        <v>44028</v>
      </c>
      <c r="B137" s="190">
        <v>3624</v>
      </c>
      <c r="C137" s="191">
        <v>114783</v>
      </c>
      <c r="D137" s="190">
        <v>62</v>
      </c>
      <c r="E137" s="190">
        <v>2112</v>
      </c>
      <c r="F137" s="190">
        <f t="shared" si="12"/>
        <v>660</v>
      </c>
      <c r="G137" s="218">
        <v>49780</v>
      </c>
      <c r="H137" s="190">
        <v>793</v>
      </c>
      <c r="I137" s="190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1">
        <f t="shared" si="13"/>
        <v>660</v>
      </c>
      <c r="S137" s="53">
        <f t="shared" si="7"/>
        <v>1.2609117361784675E-2</v>
      </c>
      <c r="T137" s="43">
        <f t="shared" si="8"/>
        <v>1.8399937272941116E-2</v>
      </c>
      <c r="U137" s="110"/>
      <c r="V137" s="302"/>
    </row>
    <row r="138" spans="1:22" x14ac:dyDescent="0.25">
      <c r="A138" s="2">
        <v>44029</v>
      </c>
      <c r="B138" s="193">
        <v>4518</v>
      </c>
      <c r="C138" s="190">
        <f>C137+B138</f>
        <v>119301</v>
      </c>
      <c r="D138" s="190">
        <v>66</v>
      </c>
      <c r="E138" s="190">
        <v>2178</v>
      </c>
      <c r="F138" s="190">
        <f t="shared" si="12"/>
        <v>0</v>
      </c>
      <c r="G138" s="218">
        <v>49780</v>
      </c>
      <c r="H138" s="190">
        <v>823</v>
      </c>
      <c r="I138" s="190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1">
        <f t="shared" si="13"/>
        <v>0</v>
      </c>
      <c r="S138" s="53">
        <f t="shared" si="7"/>
        <v>1.2221017774675913E-2</v>
      </c>
      <c r="T138" s="43">
        <f t="shared" si="8"/>
        <v>1.825634319913496E-2</v>
      </c>
      <c r="U138" s="110"/>
      <c r="V138" s="302"/>
    </row>
    <row r="139" spans="1:22" x14ac:dyDescent="0.25">
      <c r="A139" s="2">
        <v>44030</v>
      </c>
      <c r="B139" s="190">
        <f>3223+82</f>
        <v>3305</v>
      </c>
      <c r="C139" s="190">
        <f>C138+B139</f>
        <v>122606</v>
      </c>
      <c r="D139" s="190">
        <v>42</v>
      </c>
      <c r="E139" s="190">
        <v>2220</v>
      </c>
      <c r="F139" s="190">
        <f t="shared" si="12"/>
        <v>2827</v>
      </c>
      <c r="G139" s="218">
        <v>52607</v>
      </c>
      <c r="H139" s="190">
        <v>824</v>
      </c>
      <c r="I139" s="298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1">
        <f t="shared" si="13"/>
        <v>2827</v>
      </c>
      <c r="S139" s="53">
        <f t="shared" si="7"/>
        <v>1.2157157821744199E-2</v>
      </c>
      <c r="T139" s="43">
        <f t="shared" si="8"/>
        <v>1.8106781071073195E-2</v>
      </c>
      <c r="U139" s="110"/>
      <c r="V139" s="302"/>
    </row>
    <row r="140" spans="1:22" x14ac:dyDescent="0.25">
      <c r="A140" s="2">
        <v>44031</v>
      </c>
      <c r="B140" s="190">
        <v>4231</v>
      </c>
      <c r="C140" s="190">
        <f>C139+B140</f>
        <v>126837</v>
      </c>
      <c r="D140" s="190">
        <v>40</v>
      </c>
      <c r="E140" s="190">
        <v>2260</v>
      </c>
      <c r="F140" s="190">
        <f t="shared" si="12"/>
        <v>3306</v>
      </c>
      <c r="G140" s="218">
        <v>55913</v>
      </c>
      <c r="H140" s="190">
        <v>842</v>
      </c>
      <c r="I140" s="298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1">
        <f t="shared" si="13"/>
        <v>3306</v>
      </c>
      <c r="S140" s="53">
        <f t="shared" si="7"/>
        <v>1.2262612140277292E-2</v>
      </c>
      <c r="T140" s="43">
        <f t="shared" si="8"/>
        <v>1.7818144547726608E-2</v>
      </c>
      <c r="U140" s="110"/>
      <c r="V140" s="302"/>
    </row>
    <row r="141" spans="1:22" x14ac:dyDescent="0.25">
      <c r="A141" s="54">
        <v>44032</v>
      </c>
      <c r="B141" s="190">
        <v>3937</v>
      </c>
      <c r="C141" s="190">
        <v>130774</v>
      </c>
      <c r="D141" s="190">
        <v>113</v>
      </c>
      <c r="E141" s="190">
        <f t="shared" ref="E141:E146" si="14">E140+D141</f>
        <v>2373</v>
      </c>
      <c r="F141" s="190">
        <f t="shared" si="12"/>
        <v>2685</v>
      </c>
      <c r="G141" s="218">
        <v>58598</v>
      </c>
      <c r="H141" s="190">
        <v>853</v>
      </c>
      <c r="I141" s="190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1">
        <f t="shared" si="13"/>
        <v>2685</v>
      </c>
      <c r="S141" s="53">
        <f t="shared" si="7"/>
        <v>1.2220105153073649E-2</v>
      </c>
      <c r="T141" s="43">
        <f t="shared" si="8"/>
        <v>1.8145808799914356E-2</v>
      </c>
      <c r="U141" s="110"/>
      <c r="V141" s="302"/>
    </row>
    <row r="142" spans="1:22" x14ac:dyDescent="0.25">
      <c r="A142" s="2">
        <v>44033</v>
      </c>
      <c r="B142" s="190">
        <v>5344</v>
      </c>
      <c r="C142" s="190">
        <f t="shared" ref="C142:C154" si="15">C141+B142</f>
        <v>136118</v>
      </c>
      <c r="D142" s="190">
        <v>117</v>
      </c>
      <c r="E142" s="190">
        <f t="shared" si="14"/>
        <v>2490</v>
      </c>
      <c r="F142" s="190">
        <f t="shared" si="12"/>
        <v>1933</v>
      </c>
      <c r="G142" s="218">
        <v>60531</v>
      </c>
      <c r="H142" s="190">
        <v>890</v>
      </c>
      <c r="I142" s="190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1">
        <f t="shared" si="13"/>
        <v>1933</v>
      </c>
      <c r="S142" s="53">
        <f t="shared" ref="S142:S147" si="16">H142/(C142-E142-G142)</f>
        <v>1.2175602281899393E-2</v>
      </c>
      <c r="T142" s="43">
        <f t="shared" si="8"/>
        <v>1.8292951703668875E-2</v>
      </c>
      <c r="U142" s="110"/>
      <c r="V142" s="302"/>
    </row>
    <row r="143" spans="1:22" x14ac:dyDescent="0.25">
      <c r="A143" s="2">
        <v>44034</v>
      </c>
      <c r="B143" s="190">
        <v>5782</v>
      </c>
      <c r="C143" s="190">
        <f t="shared" si="15"/>
        <v>141900</v>
      </c>
      <c r="D143" s="190">
        <v>98</v>
      </c>
      <c r="E143" s="190">
        <f t="shared" si="14"/>
        <v>2588</v>
      </c>
      <c r="F143" s="190">
        <f t="shared" si="12"/>
        <v>2284</v>
      </c>
      <c r="G143" s="218">
        <v>62815</v>
      </c>
      <c r="H143" s="190">
        <v>902</v>
      </c>
      <c r="I143" s="190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1">
        <f t="shared" si="13"/>
        <v>2284</v>
      </c>
      <c r="S143" s="53">
        <f t="shared" si="16"/>
        <v>1.1791312077597814E-2</v>
      </c>
      <c r="T143" s="43">
        <f t="shared" ref="T143:T196" si="17">E143/C143</f>
        <v>1.8238195912614517E-2</v>
      </c>
      <c r="U143" s="110"/>
      <c r="V143" s="302"/>
    </row>
    <row r="144" spans="1:22" x14ac:dyDescent="0.25">
      <c r="A144" s="2">
        <v>44035</v>
      </c>
      <c r="B144" s="194">
        <v>6127</v>
      </c>
      <c r="C144" s="190">
        <f t="shared" si="15"/>
        <v>148027</v>
      </c>
      <c r="D144" s="190">
        <f>29+85</f>
        <v>114</v>
      </c>
      <c r="E144" s="190">
        <f t="shared" si="14"/>
        <v>2702</v>
      </c>
      <c r="F144" s="190">
        <f t="shared" si="12"/>
        <v>2632</v>
      </c>
      <c r="G144" s="218">
        <v>65447</v>
      </c>
      <c r="H144" s="190">
        <v>913</v>
      </c>
      <c r="I144" s="193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1">
        <f t="shared" si="13"/>
        <v>2632</v>
      </c>
      <c r="S144" s="53">
        <f t="shared" si="16"/>
        <v>1.1429930644232455E-2</v>
      </c>
      <c r="T144" s="43">
        <f t="shared" si="17"/>
        <v>1.8253426739716402E-2</v>
      </c>
      <c r="U144" s="110"/>
      <c r="V144" s="302"/>
    </row>
    <row r="145" spans="1:22" x14ac:dyDescent="0.25">
      <c r="A145" s="2">
        <v>44036</v>
      </c>
      <c r="B145" s="190">
        <v>5493</v>
      </c>
      <c r="C145" s="190">
        <f t="shared" si="15"/>
        <v>153520</v>
      </c>
      <c r="D145" s="190">
        <f>20+85</f>
        <v>105</v>
      </c>
      <c r="E145" s="190">
        <f t="shared" si="14"/>
        <v>2807</v>
      </c>
      <c r="F145" s="190">
        <f t="shared" si="12"/>
        <v>2575</v>
      </c>
      <c r="G145" s="218">
        <v>68022</v>
      </c>
      <c r="H145" s="190">
        <v>955</v>
      </c>
      <c r="I145" s="298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1">
        <f t="shared" si="13"/>
        <v>2575</v>
      </c>
      <c r="S145" s="53">
        <f t="shared" si="16"/>
        <v>1.1549019844964991E-2</v>
      </c>
      <c r="T145" s="43">
        <f t="shared" si="17"/>
        <v>1.8284262636789995E-2</v>
      </c>
      <c r="U145" s="110"/>
      <c r="V145" s="302"/>
    </row>
    <row r="146" spans="1:22" x14ac:dyDescent="0.25">
      <c r="A146" s="2">
        <v>44037</v>
      </c>
      <c r="B146" s="190">
        <v>4814</v>
      </c>
      <c r="C146" s="190">
        <f t="shared" si="15"/>
        <v>158334</v>
      </c>
      <c r="D146" s="190">
        <v>86</v>
      </c>
      <c r="E146" s="190">
        <f t="shared" si="14"/>
        <v>2893</v>
      </c>
      <c r="F146" s="190">
        <f t="shared" si="12"/>
        <v>2496</v>
      </c>
      <c r="G146" s="218">
        <v>70518</v>
      </c>
      <c r="H146" s="190">
        <v>980</v>
      </c>
      <c r="I146" s="190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1">
        <f t="shared" si="13"/>
        <v>2496</v>
      </c>
      <c r="S146" s="53">
        <f t="shared" si="16"/>
        <v>1.1539865525240512E-2</v>
      </c>
      <c r="T146" s="43">
        <f t="shared" si="17"/>
        <v>1.8271502014728359E-2</v>
      </c>
      <c r="U146" s="110"/>
      <c r="V146" s="302"/>
    </row>
    <row r="147" spans="1:22" x14ac:dyDescent="0.25">
      <c r="A147" s="2">
        <v>44038</v>
      </c>
      <c r="B147" s="190">
        <v>4192</v>
      </c>
      <c r="C147" s="190">
        <f t="shared" si="15"/>
        <v>162526</v>
      </c>
      <c r="D147" s="190">
        <v>45</v>
      </c>
      <c r="E147" s="190">
        <f>E146+D147</f>
        <v>2938</v>
      </c>
      <c r="F147" s="190">
        <f t="shared" si="12"/>
        <v>2057</v>
      </c>
      <c r="G147" s="218">
        <v>72575</v>
      </c>
      <c r="H147" s="190">
        <v>993</v>
      </c>
      <c r="I147" s="190">
        <v>10870</v>
      </c>
      <c r="J147" s="14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1">
        <f t="shared" si="13"/>
        <v>2057</v>
      </c>
      <c r="S147" s="53">
        <f t="shared" si="16"/>
        <v>1.1412087848942112E-2</v>
      </c>
      <c r="T147" s="43">
        <f t="shared" si="17"/>
        <v>1.8077107662773956E-2</v>
      </c>
      <c r="U147" s="110"/>
      <c r="V147" s="302"/>
    </row>
    <row r="148" spans="1:22" x14ac:dyDescent="0.25">
      <c r="A148" s="54">
        <v>44039</v>
      </c>
      <c r="B148" s="190">
        <v>4890</v>
      </c>
      <c r="C148" s="190">
        <f t="shared" si="15"/>
        <v>167416</v>
      </c>
      <c r="D148" s="190">
        <f>17+104</f>
        <v>121</v>
      </c>
      <c r="E148" s="190">
        <f>E147+D148</f>
        <v>3059</v>
      </c>
      <c r="F148" s="190">
        <f t="shared" si="12"/>
        <v>2508</v>
      </c>
      <c r="G148" s="218">
        <v>75083</v>
      </c>
      <c r="H148" s="190">
        <v>1002</v>
      </c>
      <c r="I148" s="190">
        <v>12398</v>
      </c>
      <c r="J148" s="14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1">
        <f t="shared" si="13"/>
        <v>2508</v>
      </c>
      <c r="S148" s="53">
        <f t="shared" ref="S148:S160" si="18">H148/(C148-E148-G148)</f>
        <v>1.1223872572081458E-2</v>
      </c>
      <c r="T148" s="43">
        <f t="shared" si="17"/>
        <v>1.8271849763463469E-2</v>
      </c>
      <c r="U148" s="110"/>
      <c r="V148" s="302"/>
    </row>
    <row r="149" spans="1:22" x14ac:dyDescent="0.25">
      <c r="A149" s="2">
        <v>44040</v>
      </c>
      <c r="B149" s="190">
        <v>5939</v>
      </c>
      <c r="C149" s="190">
        <f t="shared" si="15"/>
        <v>173355</v>
      </c>
      <c r="D149" s="190">
        <f>23+97</f>
        <v>120</v>
      </c>
      <c r="E149" s="190">
        <v>3178</v>
      </c>
      <c r="F149" s="190">
        <f t="shared" si="12"/>
        <v>2772</v>
      </c>
      <c r="G149" s="218">
        <v>77855</v>
      </c>
      <c r="H149" s="190">
        <v>1024</v>
      </c>
      <c r="I149" s="190">
        <v>14899</v>
      </c>
      <c r="J149" s="14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1">
        <f t="shared" si="13"/>
        <v>2772</v>
      </c>
      <c r="S149" s="53">
        <f t="shared" si="18"/>
        <v>1.1091614133142696E-2</v>
      </c>
      <c r="T149" s="43">
        <f t="shared" si="17"/>
        <v>1.8332323844134867E-2</v>
      </c>
      <c r="U149" s="110"/>
      <c r="V149" s="302"/>
    </row>
    <row r="150" spans="1:22" x14ac:dyDescent="0.25">
      <c r="A150" s="2">
        <v>44041</v>
      </c>
      <c r="B150" s="190">
        <v>5641</v>
      </c>
      <c r="C150" s="190">
        <f t="shared" si="15"/>
        <v>178996</v>
      </c>
      <c r="D150" s="190">
        <v>110</v>
      </c>
      <c r="E150" s="190">
        <f>E149+D150</f>
        <v>3288</v>
      </c>
      <c r="F150" s="190">
        <f t="shared" si="12"/>
        <v>2741</v>
      </c>
      <c r="G150" s="218">
        <v>80596</v>
      </c>
      <c r="H150" s="190">
        <v>1057</v>
      </c>
      <c r="I150" s="190">
        <v>15812</v>
      </c>
      <c r="J150" s="14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1">
        <f t="shared" si="13"/>
        <v>2741</v>
      </c>
      <c r="S150" s="53">
        <f t="shared" si="18"/>
        <v>1.1113213895197241E-2</v>
      </c>
      <c r="T150" s="43">
        <f t="shared" si="17"/>
        <v>1.8369125567051777E-2</v>
      </c>
      <c r="U150" s="110"/>
      <c r="V150" s="302"/>
    </row>
    <row r="151" spans="1:22" x14ac:dyDescent="0.25">
      <c r="A151" s="2">
        <v>44042</v>
      </c>
      <c r="B151" s="190">
        <v>6377</v>
      </c>
      <c r="C151" s="190">
        <f t="shared" si="15"/>
        <v>185373</v>
      </c>
      <c r="D151" s="190">
        <f>23+131</f>
        <v>154</v>
      </c>
      <c r="E151" s="190">
        <f>E150+D151</f>
        <v>3442</v>
      </c>
      <c r="F151" s="190">
        <f t="shared" si="12"/>
        <v>3184</v>
      </c>
      <c r="G151" s="218">
        <v>83780</v>
      </c>
      <c r="H151" s="190">
        <v>1076</v>
      </c>
      <c r="I151" s="190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1">
        <f t="shared" si="13"/>
        <v>3184</v>
      </c>
      <c r="S151" s="53">
        <f t="shared" si="18"/>
        <v>1.0962700329084777E-2</v>
      </c>
      <c r="T151" s="43">
        <f t="shared" si="17"/>
        <v>1.8567968366482713E-2</v>
      </c>
      <c r="U151" s="110"/>
      <c r="V151" s="302"/>
    </row>
    <row r="152" spans="1:22" x14ac:dyDescent="0.25">
      <c r="A152" s="2">
        <v>44043</v>
      </c>
      <c r="B152" s="190">
        <v>5929</v>
      </c>
      <c r="C152" s="190">
        <f t="shared" si="15"/>
        <v>191302</v>
      </c>
      <c r="D152" s="190">
        <f>25+77</f>
        <v>102</v>
      </c>
      <c r="E152" s="190">
        <f>E151+D152</f>
        <v>3544</v>
      </c>
      <c r="F152" s="190">
        <f t="shared" si="12"/>
        <v>2719</v>
      </c>
      <c r="G152" s="218">
        <v>86499</v>
      </c>
      <c r="H152" s="190">
        <v>1104</v>
      </c>
      <c r="I152" s="190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1">
        <f t="shared" si="13"/>
        <v>2719</v>
      </c>
      <c r="S152" s="53">
        <f t="shared" si="18"/>
        <v>1.0902734571741771E-2</v>
      </c>
      <c r="T152" s="43">
        <f t="shared" si="17"/>
        <v>1.852568190609612E-2</v>
      </c>
      <c r="U152" s="110"/>
      <c r="V152" s="302"/>
    </row>
    <row r="153" spans="1:22" x14ac:dyDescent="0.25">
      <c r="A153" s="2">
        <v>44044</v>
      </c>
      <c r="B153" s="190">
        <v>5241</v>
      </c>
      <c r="C153" s="190">
        <f t="shared" si="15"/>
        <v>196543</v>
      </c>
      <c r="D153" s="190">
        <f>15+38</f>
        <v>53</v>
      </c>
      <c r="E153" s="190">
        <v>3596</v>
      </c>
      <c r="F153" s="190">
        <f t="shared" si="12"/>
        <v>2527</v>
      </c>
      <c r="G153" s="218">
        <v>89026</v>
      </c>
      <c r="H153" s="190">
        <v>1128</v>
      </c>
      <c r="I153" s="190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1">
        <f t="shared" si="13"/>
        <v>2527</v>
      </c>
      <c r="S153" s="53">
        <f t="shared" si="18"/>
        <v>1.0854399014636118E-2</v>
      </c>
      <c r="T153" s="43">
        <f t="shared" si="17"/>
        <v>1.8296250693232523E-2</v>
      </c>
      <c r="U153" s="110"/>
      <c r="V153" s="302"/>
    </row>
    <row r="154" spans="1:22" x14ac:dyDescent="0.25">
      <c r="A154" s="2">
        <v>44045</v>
      </c>
      <c r="B154" s="190">
        <v>5376</v>
      </c>
      <c r="C154" s="190">
        <f t="shared" si="15"/>
        <v>201919</v>
      </c>
      <c r="D154" s="190">
        <f>15+36</f>
        <v>51</v>
      </c>
      <c r="E154" s="190">
        <f t="shared" ref="E154:E159" si="21">E153+D154</f>
        <v>3647</v>
      </c>
      <c r="F154" s="190">
        <f t="shared" si="12"/>
        <v>2276</v>
      </c>
      <c r="G154" s="218">
        <v>91302</v>
      </c>
      <c r="H154" s="190">
        <v>1112</v>
      </c>
      <c r="I154" s="190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1">
        <f t="shared" si="13"/>
        <v>2276</v>
      </c>
      <c r="S154" s="53">
        <f t="shared" si="18"/>
        <v>1.0395437973263533E-2</v>
      </c>
      <c r="T154" s="43">
        <f t="shared" si="17"/>
        <v>1.8061698007616915E-2</v>
      </c>
      <c r="U154" s="110"/>
      <c r="V154" s="302"/>
    </row>
    <row r="155" spans="1:22" x14ac:dyDescent="0.25">
      <c r="A155" s="54">
        <v>44046</v>
      </c>
      <c r="B155" s="193">
        <v>4824</v>
      </c>
      <c r="C155" s="190">
        <f>C154+B155</f>
        <v>206743</v>
      </c>
      <c r="D155" s="190">
        <v>164</v>
      </c>
      <c r="E155" s="190">
        <f t="shared" si="21"/>
        <v>3811</v>
      </c>
      <c r="F155" s="190">
        <f t="shared" si="12"/>
        <v>2827</v>
      </c>
      <c r="G155" s="218">
        <v>94129</v>
      </c>
      <c r="H155" s="190">
        <v>1150</v>
      </c>
      <c r="I155" s="190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1">
        <f t="shared" si="13"/>
        <v>2827</v>
      </c>
      <c r="S155" s="53">
        <f t="shared" si="18"/>
        <v>1.0569561501061552E-2</v>
      </c>
      <c r="T155" s="43">
        <f t="shared" si="17"/>
        <v>1.8433514073027867E-2</v>
      </c>
      <c r="U155" s="110"/>
      <c r="V155" s="302"/>
    </row>
    <row r="156" spans="1:22" x14ac:dyDescent="0.25">
      <c r="A156" s="2">
        <v>44047</v>
      </c>
      <c r="B156" s="193">
        <v>6792</v>
      </c>
      <c r="C156" s="190">
        <f>C155+B156</f>
        <v>213535</v>
      </c>
      <c r="D156" s="209">
        <f>116+52</f>
        <v>168</v>
      </c>
      <c r="E156" s="190">
        <f t="shared" si="21"/>
        <v>3979</v>
      </c>
      <c r="F156" s="190">
        <f t="shared" si="12"/>
        <v>2819</v>
      </c>
      <c r="G156" s="218">
        <v>96948</v>
      </c>
      <c r="H156" s="190">
        <v>1207</v>
      </c>
      <c r="I156" s="190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1">
        <f t="shared" si="13"/>
        <v>2819</v>
      </c>
      <c r="S156" s="53">
        <f t="shared" si="18"/>
        <v>1.0718599033816426E-2</v>
      </c>
      <c r="T156" s="43">
        <f t="shared" si="17"/>
        <v>1.8633947596412764E-2</v>
      </c>
      <c r="U156" s="110"/>
      <c r="V156" s="302"/>
    </row>
    <row r="157" spans="1:22" x14ac:dyDescent="0.25">
      <c r="A157" s="2">
        <v>44048</v>
      </c>
      <c r="B157" s="193">
        <v>7147</v>
      </c>
      <c r="C157" s="190">
        <f>C156+B157</f>
        <v>220682</v>
      </c>
      <c r="D157" s="190">
        <f>30+97</f>
        <v>127</v>
      </c>
      <c r="E157" s="190">
        <f t="shared" si="21"/>
        <v>4106</v>
      </c>
      <c r="F157" s="190">
        <f t="shared" si="12"/>
        <v>2904</v>
      </c>
      <c r="G157" s="218">
        <v>99852</v>
      </c>
      <c r="H157" s="190">
        <v>1219</v>
      </c>
      <c r="I157" s="190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1">
        <f t="shared" si="13"/>
        <v>2904</v>
      </c>
      <c r="S157" s="53">
        <f t="shared" si="18"/>
        <v>1.0443439224152702E-2</v>
      </c>
      <c r="T157" s="43">
        <f t="shared" si="17"/>
        <v>1.8605957894164454E-2</v>
      </c>
      <c r="U157" s="110"/>
      <c r="V157" s="302"/>
    </row>
    <row r="158" spans="1:22" x14ac:dyDescent="0.25">
      <c r="A158" s="2">
        <v>44049</v>
      </c>
      <c r="B158" s="193">
        <v>7513</v>
      </c>
      <c r="C158" s="190">
        <f>C157+B158</f>
        <v>228195</v>
      </c>
      <c r="D158" s="190">
        <v>145</v>
      </c>
      <c r="E158" s="190">
        <f t="shared" si="21"/>
        <v>4251</v>
      </c>
      <c r="F158" s="190">
        <f t="shared" si="12"/>
        <v>3445</v>
      </c>
      <c r="G158" s="218">
        <v>103297</v>
      </c>
      <c r="H158" s="190">
        <v>1245</v>
      </c>
      <c r="I158" s="190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56">
        <f t="shared" ref="R158:R221" si="22">C158-E158-G158</f>
        <v>120647</v>
      </c>
      <c r="S158" s="53">
        <f t="shared" si="18"/>
        <v>1.0319361442887101E-2</v>
      </c>
      <c r="T158" s="43">
        <f t="shared" si="17"/>
        <v>1.8628804312101493E-2</v>
      </c>
      <c r="U158" s="110"/>
      <c r="V158" s="302"/>
    </row>
    <row r="159" spans="1:22" x14ac:dyDescent="0.25">
      <c r="A159" s="2">
        <v>44050</v>
      </c>
      <c r="B159" s="193">
        <v>7482</v>
      </c>
      <c r="C159" s="190">
        <f>C158+B159</f>
        <v>235677</v>
      </c>
      <c r="D159" s="190">
        <v>160</v>
      </c>
      <c r="E159" s="190">
        <f t="shared" si="21"/>
        <v>4411</v>
      </c>
      <c r="F159" s="190">
        <f t="shared" si="12"/>
        <v>4945</v>
      </c>
      <c r="G159" s="218">
        <v>108242</v>
      </c>
      <c r="H159" s="190">
        <v>1293</v>
      </c>
      <c r="I159" s="190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56">
        <f t="shared" si="22"/>
        <v>123024</v>
      </c>
      <c r="S159" s="53">
        <f t="shared" si="18"/>
        <v>1.0510144362075693E-2</v>
      </c>
      <c r="T159" s="43">
        <f t="shared" si="17"/>
        <v>1.8716293910733758E-2</v>
      </c>
      <c r="U159" s="110"/>
      <c r="V159" s="302"/>
    </row>
    <row r="160" spans="1:22" x14ac:dyDescent="0.25">
      <c r="A160" s="2">
        <v>44051</v>
      </c>
      <c r="B160" s="193">
        <v>6134</v>
      </c>
      <c r="C160" s="190">
        <f>B160+C159</f>
        <v>241811</v>
      </c>
      <c r="D160" s="190">
        <v>112</v>
      </c>
      <c r="E160" s="190">
        <f t="shared" ref="E160:E165" si="23">E159+D160</f>
        <v>4523</v>
      </c>
      <c r="F160" s="190">
        <f t="shared" si="12"/>
        <v>61867</v>
      </c>
      <c r="G160" s="218">
        <v>170109</v>
      </c>
      <c r="H160" s="190">
        <v>1502</v>
      </c>
      <c r="I160" s="190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56">
        <f t="shared" si="22"/>
        <v>67179</v>
      </c>
      <c r="S160" s="53">
        <f t="shared" si="18"/>
        <v>2.2358177406630049E-2</v>
      </c>
      <c r="T160" s="43">
        <f t="shared" si="17"/>
        <v>1.870469085360054E-2</v>
      </c>
      <c r="U160" s="110"/>
      <c r="V160" s="302"/>
    </row>
    <row r="161" spans="1:22" x14ac:dyDescent="0.25">
      <c r="A161" s="2">
        <v>44052</v>
      </c>
      <c r="B161" s="193">
        <v>4688</v>
      </c>
      <c r="C161" s="190">
        <f t="shared" ref="C161:C169" si="24">C160+B161</f>
        <v>246499</v>
      </c>
      <c r="D161" s="190">
        <v>83</v>
      </c>
      <c r="E161" s="190">
        <f t="shared" si="23"/>
        <v>4606</v>
      </c>
      <c r="F161" s="190">
        <f t="shared" si="12"/>
        <v>4865</v>
      </c>
      <c r="G161" s="218">
        <v>174974</v>
      </c>
      <c r="H161" s="190">
        <v>1565</v>
      </c>
      <c r="I161" s="190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56">
        <f t="shared" si="22"/>
        <v>66919</v>
      </c>
      <c r="S161" s="53">
        <f>H161/(C161-E161-G161)</f>
        <v>2.3386482165005454E-2</v>
      </c>
      <c r="T161" s="43">
        <f t="shared" si="17"/>
        <v>1.8685674181233999E-2</v>
      </c>
      <c r="U161" s="110"/>
      <c r="V161" s="302"/>
    </row>
    <row r="162" spans="1:22" x14ac:dyDescent="0.25">
      <c r="A162" s="54">
        <v>44053</v>
      </c>
      <c r="B162" s="193">
        <v>7369</v>
      </c>
      <c r="C162" s="190">
        <f t="shared" si="24"/>
        <v>253868</v>
      </c>
      <c r="D162" s="190">
        <f>27+131</f>
        <v>158</v>
      </c>
      <c r="E162" s="190">
        <f t="shared" si="23"/>
        <v>4764</v>
      </c>
      <c r="F162" s="190">
        <f t="shared" si="12"/>
        <v>6424</v>
      </c>
      <c r="G162" s="218">
        <v>181398</v>
      </c>
      <c r="H162" s="190">
        <v>1569</v>
      </c>
      <c r="I162" s="190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56">
        <f t="shared" si="22"/>
        <v>67706</v>
      </c>
      <c r="S162" s="53">
        <f t="shared" ref="S162:S205" si="26">H162/(C162-E162-G162)</f>
        <v>2.3173721679024015E-2</v>
      </c>
      <c r="T162" s="43">
        <f t="shared" si="17"/>
        <v>1.8765657743394205E-2</v>
      </c>
      <c r="U162" s="110"/>
      <c r="V162" s="302"/>
    </row>
    <row r="163" spans="1:22" x14ac:dyDescent="0.25">
      <c r="A163" s="2">
        <v>44054</v>
      </c>
      <c r="B163" s="193">
        <v>7043</v>
      </c>
      <c r="C163" s="190">
        <f t="shared" si="24"/>
        <v>260911</v>
      </c>
      <c r="D163" s="190">
        <f>21+220</f>
        <v>241</v>
      </c>
      <c r="E163" s="190">
        <f t="shared" si="23"/>
        <v>5005</v>
      </c>
      <c r="F163" s="190">
        <f t="shared" si="12"/>
        <v>5885</v>
      </c>
      <c r="G163" s="218">
        <v>187283</v>
      </c>
      <c r="H163" s="190">
        <v>1585</v>
      </c>
      <c r="I163" s="190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56">
        <f t="shared" si="22"/>
        <v>68623</v>
      </c>
      <c r="S163" s="53">
        <f t="shared" si="26"/>
        <v>2.3097212304912348E-2</v>
      </c>
      <c r="T163" s="43">
        <f t="shared" si="17"/>
        <v>1.9182786467416092E-2</v>
      </c>
      <c r="U163" s="110"/>
      <c r="V163" s="302"/>
    </row>
    <row r="164" spans="1:22" x14ac:dyDescent="0.25">
      <c r="A164" s="2">
        <v>44055</v>
      </c>
      <c r="B164" s="193">
        <v>7663</v>
      </c>
      <c r="C164" s="190">
        <f t="shared" si="24"/>
        <v>268574</v>
      </c>
      <c r="D164" s="190">
        <f>84+125</f>
        <v>209</v>
      </c>
      <c r="E164" s="190">
        <f t="shared" si="23"/>
        <v>5214</v>
      </c>
      <c r="F164" s="190">
        <f t="shared" si="12"/>
        <v>5151</v>
      </c>
      <c r="G164" s="218">
        <v>192434</v>
      </c>
      <c r="H164" s="190">
        <v>1662</v>
      </c>
      <c r="I164" s="190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56">
        <f t="shared" si="22"/>
        <v>70926</v>
      </c>
      <c r="S164" s="53">
        <f t="shared" si="26"/>
        <v>2.3432873699348617E-2</v>
      </c>
      <c r="T164" s="43">
        <f t="shared" si="17"/>
        <v>1.9413643911919992E-2</v>
      </c>
      <c r="U164" s="110"/>
      <c r="V164" s="302"/>
    </row>
    <row r="165" spans="1:22" x14ac:dyDescent="0.25">
      <c r="A165" s="2">
        <v>44056</v>
      </c>
      <c r="B165" s="193">
        <v>7498</v>
      </c>
      <c r="C165" s="190">
        <f t="shared" si="24"/>
        <v>276072</v>
      </c>
      <c r="D165" s="190">
        <f>33+116</f>
        <v>149</v>
      </c>
      <c r="E165" s="190">
        <f t="shared" si="23"/>
        <v>5363</v>
      </c>
      <c r="F165" s="190">
        <f t="shared" si="12"/>
        <v>6571</v>
      </c>
      <c r="G165" s="218">
        <v>199005</v>
      </c>
      <c r="H165" s="190">
        <v>1682</v>
      </c>
      <c r="I165" s="190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56">
        <f t="shared" si="22"/>
        <v>71704</v>
      </c>
      <c r="S165" s="53">
        <f t="shared" si="26"/>
        <v>2.3457547696083901E-2</v>
      </c>
      <c r="T165" s="43">
        <f t="shared" si="17"/>
        <v>1.9426091744182677E-2</v>
      </c>
      <c r="U165" s="110"/>
      <c r="V165" s="302"/>
    </row>
    <row r="166" spans="1:22" x14ac:dyDescent="0.25">
      <c r="A166" s="2">
        <v>44057</v>
      </c>
      <c r="B166" s="193">
        <v>6365</v>
      </c>
      <c r="C166" s="190">
        <f t="shared" si="24"/>
        <v>282437</v>
      </c>
      <c r="D166" s="190">
        <f>66+99</f>
        <v>165</v>
      </c>
      <c r="E166" s="190">
        <f t="shared" ref="E166:E171" si="27">E165+D166</f>
        <v>5528</v>
      </c>
      <c r="F166" s="190">
        <f t="shared" si="12"/>
        <v>6692</v>
      </c>
      <c r="G166" s="218">
        <v>205697</v>
      </c>
      <c r="H166" s="190">
        <v>1718</v>
      </c>
      <c r="I166" s="190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56">
        <f t="shared" si="22"/>
        <v>71212</v>
      </c>
      <c r="S166" s="53">
        <f t="shared" si="26"/>
        <v>2.4125147447059483E-2</v>
      </c>
      <c r="T166" s="43">
        <f t="shared" si="17"/>
        <v>1.9572506435063395E-2</v>
      </c>
      <c r="U166" s="110"/>
      <c r="V166" s="302"/>
    </row>
    <row r="167" spans="1:22" x14ac:dyDescent="0.25">
      <c r="A167" s="46">
        <v>44058</v>
      </c>
      <c r="B167" s="190">
        <v>6663</v>
      </c>
      <c r="C167" s="190">
        <f t="shared" si="24"/>
        <v>289100</v>
      </c>
      <c r="D167" s="190">
        <f>38+72-1</f>
        <v>109</v>
      </c>
      <c r="E167" s="190">
        <f t="shared" si="27"/>
        <v>5637</v>
      </c>
      <c r="F167" s="190">
        <f t="shared" si="12"/>
        <v>6005</v>
      </c>
      <c r="G167" s="218">
        <v>211702</v>
      </c>
      <c r="H167" s="190">
        <v>1716</v>
      </c>
      <c r="I167" s="190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56">
        <f t="shared" si="22"/>
        <v>71761</v>
      </c>
      <c r="S167" s="53">
        <f t="shared" si="26"/>
        <v>2.3912710246512731E-2</v>
      </c>
      <c r="T167" s="43">
        <f t="shared" si="17"/>
        <v>1.9498443445174679E-2</v>
      </c>
      <c r="U167" s="110"/>
      <c r="V167" s="302"/>
    </row>
    <row r="168" spans="1:22" x14ac:dyDescent="0.25">
      <c r="A168" s="46">
        <v>44059</v>
      </c>
      <c r="B168" s="190">
        <v>5469</v>
      </c>
      <c r="C168" s="190">
        <f t="shared" si="24"/>
        <v>294569</v>
      </c>
      <c r="D168" s="190">
        <f>20+46</f>
        <v>66</v>
      </c>
      <c r="E168" s="190">
        <f t="shared" si="27"/>
        <v>5703</v>
      </c>
      <c r="F168" s="190">
        <f t="shared" si="12"/>
        <v>6148</v>
      </c>
      <c r="G168" s="218">
        <v>217850</v>
      </c>
      <c r="H168" s="190">
        <v>1708</v>
      </c>
      <c r="I168" s="190">
        <v>14533</v>
      </c>
      <c r="J168" s="330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56">
        <f t="shared" si="22"/>
        <v>71016</v>
      </c>
      <c r="S168" s="53">
        <f t="shared" si="26"/>
        <v>2.4050918102962712E-2</v>
      </c>
      <c r="T168" s="43">
        <f t="shared" si="17"/>
        <v>1.9360489392977537E-2</v>
      </c>
      <c r="U168" s="110"/>
      <c r="V168" s="302"/>
    </row>
    <row r="169" spans="1:22" x14ac:dyDescent="0.25">
      <c r="A169" s="54">
        <v>44060</v>
      </c>
      <c r="B169" s="190">
        <v>4557</v>
      </c>
      <c r="C169" s="190">
        <f t="shared" si="24"/>
        <v>299126</v>
      </c>
      <c r="D169" s="190">
        <f>47+64</f>
        <v>111</v>
      </c>
      <c r="E169" s="190">
        <f t="shared" si="27"/>
        <v>5814</v>
      </c>
      <c r="F169" s="190">
        <f t="shared" si="12"/>
        <v>5681</v>
      </c>
      <c r="G169" s="218">
        <v>223531</v>
      </c>
      <c r="H169" s="197">
        <v>1749</v>
      </c>
      <c r="I169" s="197">
        <v>13483</v>
      </c>
      <c r="J169" s="30">
        <f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56">
        <f t="shared" si="22"/>
        <v>69781</v>
      </c>
      <c r="S169" s="53">
        <f t="shared" si="26"/>
        <v>2.5064129204224645E-2</v>
      </c>
      <c r="T169" s="43">
        <f t="shared" si="17"/>
        <v>1.9436625368573778E-2</v>
      </c>
      <c r="U169" s="110"/>
      <c r="V169" s="302"/>
    </row>
    <row r="170" spans="1:22" x14ac:dyDescent="0.25">
      <c r="A170" s="2">
        <v>44061</v>
      </c>
      <c r="B170" s="190">
        <v>6840</v>
      </c>
      <c r="C170" s="190">
        <f t="shared" ref="C170:C177" si="28">C169+B170</f>
        <v>305966</v>
      </c>
      <c r="D170" s="190">
        <f>63+170</f>
        <v>233</v>
      </c>
      <c r="E170" s="190">
        <f t="shared" si="27"/>
        <v>6047</v>
      </c>
      <c r="F170" s="190">
        <f t="shared" si="12"/>
        <v>5194</v>
      </c>
      <c r="G170" s="218">
        <v>228725</v>
      </c>
      <c r="H170" s="190">
        <v>1799</v>
      </c>
      <c r="I170" s="190">
        <v>18037</v>
      </c>
      <c r="J170" s="4">
        <f t="shared" ref="J170:J233" si="29">J171-I171</f>
        <v>969683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56">
        <f t="shared" si="22"/>
        <v>71194</v>
      </c>
      <c r="S170" s="53">
        <f t="shared" si="26"/>
        <v>2.5268983341292805E-2</v>
      </c>
      <c r="T170" s="43">
        <f t="shared" si="17"/>
        <v>1.9763633867815378E-2</v>
      </c>
      <c r="U170" s="110"/>
      <c r="V170" s="302"/>
    </row>
    <row r="171" spans="1:22" x14ac:dyDescent="0.25">
      <c r="A171" s="2">
        <v>44062</v>
      </c>
      <c r="B171" s="190">
        <v>6693</v>
      </c>
      <c r="C171" s="190">
        <f t="shared" si="28"/>
        <v>312659</v>
      </c>
      <c r="D171" s="190">
        <f>217+66</f>
        <v>283</v>
      </c>
      <c r="E171" s="190">
        <f t="shared" si="27"/>
        <v>6330</v>
      </c>
      <c r="F171" s="190">
        <f t="shared" si="12"/>
        <v>4926</v>
      </c>
      <c r="G171" s="218">
        <v>233651</v>
      </c>
      <c r="H171" s="190">
        <v>1795</v>
      </c>
      <c r="I171" s="190">
        <v>18013</v>
      </c>
      <c r="J171" s="4">
        <f t="shared" si="29"/>
        <v>987696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56">
        <f t="shared" si="22"/>
        <v>72678</v>
      </c>
      <c r="S171" s="53">
        <f t="shared" si="26"/>
        <v>2.4697982883403507E-2</v>
      </c>
      <c r="T171" s="43">
        <f t="shared" si="17"/>
        <v>2.0245698988354724E-2</v>
      </c>
      <c r="U171" s="110"/>
      <c r="V171" s="302"/>
    </row>
    <row r="172" spans="1:22" x14ac:dyDescent="0.25">
      <c r="A172" s="2">
        <v>44063</v>
      </c>
      <c r="B172" s="195">
        <v>8225</v>
      </c>
      <c r="C172" s="190">
        <f t="shared" si="28"/>
        <v>320884</v>
      </c>
      <c r="D172" s="190">
        <f>111+75</f>
        <v>186</v>
      </c>
      <c r="E172" s="190">
        <f>E171+D172</f>
        <v>6516</v>
      </c>
      <c r="F172" s="190">
        <f t="shared" si="12"/>
        <v>6155</v>
      </c>
      <c r="G172" s="218">
        <v>239806</v>
      </c>
      <c r="H172" s="190">
        <v>1832</v>
      </c>
      <c r="I172" s="190">
        <v>21695</v>
      </c>
      <c r="J172" s="4">
        <f t="shared" si="29"/>
        <v>1009391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56">
        <f t="shared" si="22"/>
        <v>74562</v>
      </c>
      <c r="S172" s="53">
        <f t="shared" si="26"/>
        <v>2.4570156379925431E-2</v>
      </c>
      <c r="T172" s="43">
        <f t="shared" si="17"/>
        <v>2.0306403560165043E-2</v>
      </c>
      <c r="U172" s="110"/>
      <c r="V172" s="302"/>
    </row>
    <row r="173" spans="1:22" x14ac:dyDescent="0.25">
      <c r="A173" s="2">
        <v>44064</v>
      </c>
      <c r="B173" s="190">
        <v>8159</v>
      </c>
      <c r="C173" s="190">
        <f t="shared" si="28"/>
        <v>329043</v>
      </c>
      <c r="D173" s="190">
        <f>50+164</f>
        <v>214</v>
      </c>
      <c r="E173" s="190">
        <f>E172+D173</f>
        <v>6730</v>
      </c>
      <c r="F173" s="190">
        <f t="shared" si="12"/>
        <v>5975</v>
      </c>
      <c r="G173" s="218">
        <v>245781</v>
      </c>
      <c r="H173" s="197">
        <v>1853</v>
      </c>
      <c r="I173" s="197">
        <v>21032</v>
      </c>
      <c r="J173" s="4">
        <f t="shared" si="29"/>
        <v>1030423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56">
        <f t="shared" si="22"/>
        <v>76532</v>
      </c>
      <c r="S173" s="53">
        <f t="shared" si="26"/>
        <v>2.4212094287356923E-2</v>
      </c>
      <c r="T173" s="43">
        <f t="shared" si="17"/>
        <v>2.0453253830046529E-2</v>
      </c>
      <c r="U173" s="110"/>
      <c r="V173" s="302"/>
    </row>
    <row r="174" spans="1:22" x14ac:dyDescent="0.25">
      <c r="A174" s="2">
        <v>44065</v>
      </c>
      <c r="B174" s="190">
        <v>7759</v>
      </c>
      <c r="C174" s="190">
        <f t="shared" si="28"/>
        <v>336802</v>
      </c>
      <c r="D174" s="190">
        <v>118</v>
      </c>
      <c r="E174" s="190">
        <f>E173+D174</f>
        <v>6848</v>
      </c>
      <c r="F174" s="190">
        <f t="shared" si="12"/>
        <v>5619</v>
      </c>
      <c r="G174" s="218">
        <v>251400</v>
      </c>
      <c r="H174" s="197">
        <v>1907</v>
      </c>
      <c r="I174" s="197">
        <v>18837</v>
      </c>
      <c r="J174" s="4">
        <f t="shared" si="29"/>
        <v>1049260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56">
        <f t="shared" si="22"/>
        <v>78554</v>
      </c>
      <c r="S174" s="53">
        <f t="shared" si="26"/>
        <v>2.4276294014308628E-2</v>
      </c>
      <c r="T174" s="43">
        <f t="shared" si="17"/>
        <v>2.0332420828854936E-2</v>
      </c>
      <c r="U174" s="110"/>
      <c r="V174" s="302"/>
    </row>
    <row r="175" spans="1:22" x14ac:dyDescent="0.25">
      <c r="A175" s="2">
        <v>44066</v>
      </c>
      <c r="B175" s="190">
        <v>5352</v>
      </c>
      <c r="C175" s="190">
        <f t="shared" si="28"/>
        <v>342154</v>
      </c>
      <c r="D175" s="190">
        <f>99+37</f>
        <v>136</v>
      </c>
      <c r="E175" s="190">
        <f>E174+D175</f>
        <v>6984</v>
      </c>
      <c r="F175" s="190">
        <f t="shared" si="12"/>
        <v>5389</v>
      </c>
      <c r="G175" s="218">
        <v>256789</v>
      </c>
      <c r="H175" s="190">
        <v>1922</v>
      </c>
      <c r="I175" s="190">
        <v>13322</v>
      </c>
      <c r="J175" s="4">
        <f t="shared" si="29"/>
        <v>1062582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56">
        <f t="shared" si="22"/>
        <v>78381</v>
      </c>
      <c r="S175" s="53">
        <f t="shared" si="26"/>
        <v>2.4521248772023833E-2</v>
      </c>
      <c r="T175" s="43">
        <f t="shared" si="17"/>
        <v>2.041186132560192E-2</v>
      </c>
      <c r="U175" s="110"/>
      <c r="V175" s="302"/>
    </row>
    <row r="176" spans="1:22" x14ac:dyDescent="0.25">
      <c r="A176" s="54">
        <v>44067</v>
      </c>
      <c r="B176" s="190">
        <v>8713</v>
      </c>
      <c r="C176" s="190">
        <f t="shared" si="28"/>
        <v>350867</v>
      </c>
      <c r="D176" s="190">
        <f>95+286</f>
        <v>381</v>
      </c>
      <c r="E176" s="190">
        <f>D176+E175</f>
        <v>7365</v>
      </c>
      <c r="F176" s="190">
        <f t="shared" si="12"/>
        <v>6413</v>
      </c>
      <c r="G176" s="218">
        <v>263202</v>
      </c>
      <c r="H176" s="190">
        <v>1960</v>
      </c>
      <c r="I176" s="190">
        <v>21220</v>
      </c>
      <c r="J176" s="4">
        <f t="shared" si="29"/>
        <v>1083802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56">
        <f t="shared" si="22"/>
        <v>80300</v>
      </c>
      <c r="S176" s="53">
        <f t="shared" si="26"/>
        <v>2.4408468244084682E-2</v>
      </c>
      <c r="T176" s="43">
        <f t="shared" si="17"/>
        <v>2.0990859784476738E-2</v>
      </c>
      <c r="U176" s="110"/>
      <c r="V176" s="302"/>
    </row>
    <row r="177" spans="1:22" s="49" customFormat="1" x14ac:dyDescent="0.25">
      <c r="A177" s="2">
        <v>44068</v>
      </c>
      <c r="B177" s="190">
        <v>8771</v>
      </c>
      <c r="C177" s="190">
        <f t="shared" si="28"/>
        <v>359638</v>
      </c>
      <c r="D177" s="190">
        <f>36+162</f>
        <v>198</v>
      </c>
      <c r="E177" s="190">
        <f t="shared" ref="E177:E192" si="31">E176+D177</f>
        <v>7563</v>
      </c>
      <c r="F177" s="190">
        <f t="shared" si="12"/>
        <v>5599</v>
      </c>
      <c r="G177" s="218">
        <v>268801</v>
      </c>
      <c r="H177" s="190">
        <v>1990</v>
      </c>
      <c r="I177" s="190">
        <v>21476</v>
      </c>
      <c r="J177" s="4">
        <f t="shared" si="29"/>
        <v>1105278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56">
        <f t="shared" si="22"/>
        <v>83274</v>
      </c>
      <c r="S177" s="53">
        <f t="shared" si="26"/>
        <v>2.3897014674448207E-2</v>
      </c>
      <c r="T177" s="43">
        <f t="shared" si="17"/>
        <v>2.1029479643419217E-2</v>
      </c>
      <c r="U177" s="110"/>
      <c r="V177" s="302"/>
    </row>
    <row r="178" spans="1:22" x14ac:dyDescent="0.25">
      <c r="A178" s="2">
        <v>44069</v>
      </c>
      <c r="B178" s="190">
        <v>10550</v>
      </c>
      <c r="C178" s="190">
        <f t="shared" ref="C178:C192" si="32">C177+B178</f>
        <v>370188</v>
      </c>
      <c r="D178" s="190">
        <f>98+178</f>
        <v>276</v>
      </c>
      <c r="E178" s="190">
        <f t="shared" si="31"/>
        <v>7839</v>
      </c>
      <c r="F178" s="190">
        <f t="shared" si="12"/>
        <v>5657</v>
      </c>
      <c r="G178" s="218">
        <v>274458</v>
      </c>
      <c r="H178" s="190">
        <v>2022</v>
      </c>
      <c r="I178" s="190">
        <v>24237</v>
      </c>
      <c r="J178" s="4">
        <f t="shared" si="29"/>
        <v>1129515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56">
        <f t="shared" si="22"/>
        <v>87891</v>
      </c>
      <c r="S178" s="53">
        <f t="shared" si="26"/>
        <v>2.300576850872103E-2</v>
      </c>
      <c r="T178" s="43">
        <f t="shared" si="17"/>
        <v>2.1175726927939318E-2</v>
      </c>
      <c r="U178" s="110"/>
      <c r="V178" s="302"/>
    </row>
    <row r="179" spans="1:22" x14ac:dyDescent="0.25">
      <c r="A179" s="2">
        <v>44070</v>
      </c>
      <c r="B179" s="190">
        <v>10104</v>
      </c>
      <c r="C179" s="190">
        <f t="shared" si="32"/>
        <v>380292</v>
      </c>
      <c r="D179" s="190">
        <f>105+106</f>
        <v>211</v>
      </c>
      <c r="E179" s="190">
        <f t="shared" si="31"/>
        <v>8050</v>
      </c>
      <c r="F179" s="190">
        <f t="shared" si="12"/>
        <v>0</v>
      </c>
      <c r="G179" s="218">
        <v>274458</v>
      </c>
      <c r="H179" s="190">
        <v>2075</v>
      </c>
      <c r="I179" s="190">
        <v>24067</v>
      </c>
      <c r="J179" s="4">
        <f t="shared" si="29"/>
        <v>1153582</v>
      </c>
      <c r="K179" s="7">
        <f t="shared" si="19"/>
        <v>1061.1663999999873</v>
      </c>
      <c r="L179" s="7">
        <f t="shared" ref="L179:L190" si="3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56">
        <f t="shared" si="22"/>
        <v>97784</v>
      </c>
      <c r="S179" s="53">
        <f t="shared" si="26"/>
        <v>2.1220240530148083E-2</v>
      </c>
      <c r="T179" s="43">
        <f t="shared" si="17"/>
        <v>2.1167944632019604E-2</v>
      </c>
      <c r="U179" s="110"/>
      <c r="V179" s="302"/>
    </row>
    <row r="180" spans="1:22" x14ac:dyDescent="0.25">
      <c r="A180" s="2">
        <v>44071</v>
      </c>
      <c r="B180" s="196">
        <v>11717</v>
      </c>
      <c r="C180" s="197">
        <f t="shared" si="32"/>
        <v>392009</v>
      </c>
      <c r="D180" s="197">
        <f>80+142</f>
        <v>222</v>
      </c>
      <c r="E180" s="197">
        <f t="shared" si="31"/>
        <v>8272</v>
      </c>
      <c r="F180" s="190">
        <f t="shared" si="12"/>
        <v>12762</v>
      </c>
      <c r="G180" s="218">
        <v>287220</v>
      </c>
      <c r="H180" s="197">
        <v>2114</v>
      </c>
      <c r="I180" s="197">
        <v>25481</v>
      </c>
      <c r="J180" s="4">
        <f t="shared" si="29"/>
        <v>1179063</v>
      </c>
      <c r="K180" s="7">
        <f t="shared" si="19"/>
        <v>1081.8352000000887</v>
      </c>
      <c r="L180" s="7">
        <f t="shared" si="3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56">
        <f t="shared" si="22"/>
        <v>96517</v>
      </c>
      <c r="S180" s="53">
        <f t="shared" si="26"/>
        <v>2.1902877213340655E-2</v>
      </c>
      <c r="T180" s="43">
        <f t="shared" si="17"/>
        <v>2.1101556341818681E-2</v>
      </c>
      <c r="U180" s="110"/>
      <c r="V180" s="302"/>
    </row>
    <row r="181" spans="1:22" x14ac:dyDescent="0.25">
      <c r="A181" s="52">
        <v>44072</v>
      </c>
      <c r="B181" s="197">
        <v>9230</v>
      </c>
      <c r="C181" s="197">
        <f t="shared" si="32"/>
        <v>401239</v>
      </c>
      <c r="D181" s="197">
        <f>34+47</f>
        <v>81</v>
      </c>
      <c r="E181" s="197">
        <f t="shared" si="31"/>
        <v>8353</v>
      </c>
      <c r="F181" s="190">
        <f t="shared" si="12"/>
        <v>6787</v>
      </c>
      <c r="G181" s="218">
        <v>294007</v>
      </c>
      <c r="H181" s="197">
        <v>2192</v>
      </c>
      <c r="I181" s="197">
        <v>19910</v>
      </c>
      <c r="J181" s="4">
        <f t="shared" si="29"/>
        <v>1198973</v>
      </c>
      <c r="K181" s="7">
        <f t="shared" ref="K181:K193" si="34">M181-L181</f>
        <v>1097.3584000000264</v>
      </c>
      <c r="L181" s="7">
        <f t="shared" si="3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56">
        <f t="shared" si="22"/>
        <v>98879</v>
      </c>
      <c r="S181" s="53">
        <f t="shared" si="26"/>
        <v>2.2168508985730032E-2</v>
      </c>
      <c r="T181" s="43">
        <f t="shared" si="17"/>
        <v>2.0818016194836492E-2</v>
      </c>
      <c r="U181" s="110"/>
      <c r="V181" s="302"/>
    </row>
    <row r="182" spans="1:22" x14ac:dyDescent="0.25">
      <c r="A182" s="2">
        <v>44073</v>
      </c>
      <c r="B182" s="190">
        <v>7187</v>
      </c>
      <c r="C182" s="190">
        <f t="shared" si="32"/>
        <v>408426</v>
      </c>
      <c r="D182" s="190">
        <f>48+55</f>
        <v>103</v>
      </c>
      <c r="E182" s="190">
        <f t="shared" si="31"/>
        <v>8456</v>
      </c>
      <c r="F182" s="190">
        <f t="shared" si="12"/>
        <v>6188</v>
      </c>
      <c r="G182" s="218">
        <v>300195</v>
      </c>
      <c r="H182" s="190">
        <v>2232</v>
      </c>
      <c r="I182" s="190">
        <v>15637</v>
      </c>
      <c r="J182" s="4">
        <f t="shared" si="29"/>
        <v>1214610</v>
      </c>
      <c r="K182" s="7">
        <f t="shared" si="34"/>
        <v>1109.0415999999968</v>
      </c>
      <c r="L182" s="7">
        <f t="shared" si="3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56">
        <f t="shared" si="22"/>
        <v>99775</v>
      </c>
      <c r="S182" s="53">
        <f t="shared" si="26"/>
        <v>2.2370333249812076E-2</v>
      </c>
      <c r="T182" s="43">
        <f t="shared" si="17"/>
        <v>2.0703872917003326E-2</v>
      </c>
      <c r="U182" s="110"/>
      <c r="V182" s="302"/>
    </row>
    <row r="183" spans="1:22" x14ac:dyDescent="0.25">
      <c r="A183" s="54">
        <v>44074</v>
      </c>
      <c r="B183" s="197">
        <v>9309</v>
      </c>
      <c r="C183" s="197">
        <f t="shared" si="32"/>
        <v>417735</v>
      </c>
      <c r="D183" s="197">
        <f>41+162</f>
        <v>203</v>
      </c>
      <c r="E183" s="197">
        <f t="shared" si="31"/>
        <v>8659</v>
      </c>
      <c r="F183" s="190">
        <f t="shared" si="12"/>
        <v>8181</v>
      </c>
      <c r="G183" s="218">
        <v>308376</v>
      </c>
      <c r="H183" s="197">
        <v>2273</v>
      </c>
      <c r="I183" s="197">
        <v>19845</v>
      </c>
      <c r="J183" s="4">
        <f t="shared" si="29"/>
        <v>1234455</v>
      </c>
      <c r="K183" s="7">
        <f t="shared" si="34"/>
        <v>1125.2863999999827</v>
      </c>
      <c r="L183" s="7">
        <f t="shared" si="3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56">
        <f t="shared" si="22"/>
        <v>100700</v>
      </c>
      <c r="S183" s="53">
        <f t="shared" si="26"/>
        <v>2.2571996027805363E-2</v>
      </c>
      <c r="T183" s="43">
        <f t="shared" si="17"/>
        <v>2.0728452248435014E-2</v>
      </c>
      <c r="U183" s="110"/>
      <c r="V183" s="302"/>
    </row>
    <row r="184" spans="1:22" x14ac:dyDescent="0.25">
      <c r="A184" s="56">
        <v>44075</v>
      </c>
      <c r="B184" s="190">
        <v>10504</v>
      </c>
      <c r="C184" s="190">
        <f t="shared" si="32"/>
        <v>428239</v>
      </c>
      <c r="D184" s="190">
        <f>70+189</f>
        <v>259</v>
      </c>
      <c r="E184" s="190">
        <f t="shared" si="31"/>
        <v>8918</v>
      </c>
      <c r="F184" s="190">
        <f t="shared" si="12"/>
        <v>7154</v>
      </c>
      <c r="G184" s="218">
        <v>315530</v>
      </c>
      <c r="H184" s="190">
        <v>2314</v>
      </c>
      <c r="I184" s="190">
        <v>23115</v>
      </c>
      <c r="J184" s="4">
        <f t="shared" si="29"/>
        <v>1257570</v>
      </c>
      <c r="K184" s="7">
        <f t="shared" si="34"/>
        <v>1148.1040000000503</v>
      </c>
      <c r="L184" s="7">
        <f t="shared" si="3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56">
        <f t="shared" si="22"/>
        <v>103791</v>
      </c>
      <c r="S184" s="53">
        <f t="shared" si="26"/>
        <v>2.2294803981077357E-2</v>
      </c>
      <c r="T184" s="43">
        <f t="shared" si="17"/>
        <v>2.0824819785213396E-2</v>
      </c>
      <c r="U184" s="110"/>
      <c r="V184" s="302"/>
    </row>
    <row r="185" spans="1:22" x14ac:dyDescent="0.25">
      <c r="A185" s="56">
        <v>44076</v>
      </c>
      <c r="B185" s="190">
        <v>10933</v>
      </c>
      <c r="C185" s="190">
        <f t="shared" si="32"/>
        <v>439172</v>
      </c>
      <c r="D185" s="190">
        <f>52+146</f>
        <v>198</v>
      </c>
      <c r="E185" s="190">
        <f t="shared" si="31"/>
        <v>9116</v>
      </c>
      <c r="F185" s="190">
        <f t="shared" si="12"/>
        <v>6931</v>
      </c>
      <c r="G185" s="218">
        <v>322461</v>
      </c>
      <c r="H185" s="190">
        <v>2359</v>
      </c>
      <c r="I185" s="190">
        <v>23821</v>
      </c>
      <c r="J185" s="4">
        <f t="shared" si="29"/>
        <v>1281391</v>
      </c>
      <c r="K185" s="7">
        <f t="shared" si="34"/>
        <v>1166.611200000043</v>
      </c>
      <c r="L185" s="7">
        <f t="shared" si="3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56">
        <f t="shared" si="22"/>
        <v>107595</v>
      </c>
      <c r="S185" s="53">
        <f t="shared" si="26"/>
        <v>2.1924810632464334E-2</v>
      </c>
      <c r="T185" s="43">
        <f t="shared" si="17"/>
        <v>2.075724317579445E-2</v>
      </c>
      <c r="U185" s="110"/>
      <c r="V185" s="302"/>
    </row>
    <row r="186" spans="1:22" x14ac:dyDescent="0.25">
      <c r="A186" s="56">
        <v>44077</v>
      </c>
      <c r="B186" s="198">
        <v>12026</v>
      </c>
      <c r="C186" s="190">
        <f t="shared" si="32"/>
        <v>451198</v>
      </c>
      <c r="D186" s="190">
        <f>38+206</f>
        <v>244</v>
      </c>
      <c r="E186" s="190">
        <f t="shared" si="31"/>
        <v>9360</v>
      </c>
      <c r="F186" s="190">
        <f t="shared" si="12"/>
        <v>9160</v>
      </c>
      <c r="G186" s="218">
        <v>331621</v>
      </c>
      <c r="H186" s="190">
        <v>2394</v>
      </c>
      <c r="I186" s="190">
        <v>25351</v>
      </c>
      <c r="J186" s="4">
        <f t="shared" si="29"/>
        <v>1306742</v>
      </c>
      <c r="K186" s="7">
        <f t="shared" si="34"/>
        <v>1185.8656000000192</v>
      </c>
      <c r="L186" s="7">
        <f t="shared" si="3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56">
        <f t="shared" si="22"/>
        <v>110217</v>
      </c>
      <c r="S186" s="53">
        <f t="shared" si="26"/>
        <v>2.1720787174392336E-2</v>
      </c>
      <c r="T186" s="43">
        <f t="shared" si="17"/>
        <v>2.0744772804843992E-2</v>
      </c>
      <c r="U186" s="110"/>
      <c r="V186" s="302"/>
    </row>
    <row r="187" spans="1:22" x14ac:dyDescent="0.25">
      <c r="A187" s="56">
        <v>44078</v>
      </c>
      <c r="B187" s="190">
        <v>10684</v>
      </c>
      <c r="C187" s="190">
        <f t="shared" si="32"/>
        <v>461882</v>
      </c>
      <c r="D187" s="190">
        <f>107+155</f>
        <v>262</v>
      </c>
      <c r="E187" s="190">
        <f t="shared" si="31"/>
        <v>9622</v>
      </c>
      <c r="F187" s="190">
        <f t="shared" si="12"/>
        <v>8760</v>
      </c>
      <c r="G187" s="218">
        <v>340381</v>
      </c>
      <c r="H187" s="190">
        <v>2425</v>
      </c>
      <c r="I187" s="190">
        <v>24486</v>
      </c>
      <c r="J187" s="4">
        <f t="shared" si="29"/>
        <v>1331228</v>
      </c>
      <c r="K187" s="7">
        <f t="shared" si="34"/>
        <v>1205.8336000000127</v>
      </c>
      <c r="L187" s="7">
        <f t="shared" si="3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56">
        <f t="shared" si="22"/>
        <v>111879</v>
      </c>
      <c r="S187" s="53">
        <f t="shared" si="26"/>
        <v>2.167520267431779E-2</v>
      </c>
      <c r="T187" s="43">
        <f t="shared" si="17"/>
        <v>2.0832160595130357E-2</v>
      </c>
      <c r="U187" s="110"/>
      <c r="V187" s="302"/>
    </row>
    <row r="188" spans="1:22" x14ac:dyDescent="0.25">
      <c r="A188" s="56">
        <v>44079</v>
      </c>
      <c r="B188" s="197">
        <v>9924</v>
      </c>
      <c r="C188" s="197">
        <f t="shared" si="32"/>
        <v>471806</v>
      </c>
      <c r="D188" s="197">
        <f>62+55</f>
        <v>117</v>
      </c>
      <c r="E188" s="197">
        <f t="shared" si="31"/>
        <v>9739</v>
      </c>
      <c r="F188" s="190">
        <f t="shared" si="12"/>
        <v>8751</v>
      </c>
      <c r="G188" s="218">
        <v>349132</v>
      </c>
      <c r="H188" s="197">
        <v>2456</v>
      </c>
      <c r="I188" s="197">
        <v>22363</v>
      </c>
      <c r="J188" s="4">
        <f t="shared" si="29"/>
        <v>1353591</v>
      </c>
      <c r="K188" s="7">
        <f t="shared" si="34"/>
        <v>1223.704000000027</v>
      </c>
      <c r="L188" s="7">
        <f t="shared" si="3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56">
        <f t="shared" si="22"/>
        <v>112935</v>
      </c>
      <c r="S188" s="53">
        <f t="shared" si="26"/>
        <v>2.1747022623633063E-2</v>
      </c>
      <c r="T188" s="43">
        <f t="shared" si="17"/>
        <v>2.0641958771189853E-2</v>
      </c>
      <c r="U188" s="110"/>
      <c r="V188" s="302"/>
    </row>
    <row r="189" spans="1:22" x14ac:dyDescent="0.25">
      <c r="A189" s="56">
        <v>44080</v>
      </c>
      <c r="B189" s="190">
        <v>6986</v>
      </c>
      <c r="C189" s="190">
        <f t="shared" si="32"/>
        <v>478792</v>
      </c>
      <c r="D189" s="190">
        <f>67+51+1</f>
        <v>119</v>
      </c>
      <c r="E189" s="190">
        <f t="shared" si="31"/>
        <v>9858</v>
      </c>
      <c r="F189" s="190">
        <f t="shared" si="12"/>
        <v>8256</v>
      </c>
      <c r="G189" s="218">
        <v>357388</v>
      </c>
      <c r="H189" s="190">
        <v>2512</v>
      </c>
      <c r="I189" s="190">
        <v>15262</v>
      </c>
      <c r="J189" s="4">
        <f t="shared" si="29"/>
        <v>1368853</v>
      </c>
      <c r="K189" s="7">
        <f t="shared" si="34"/>
        <v>1235.9904000000097</v>
      </c>
      <c r="L189" s="7">
        <f t="shared" si="3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56">
        <f t="shared" si="22"/>
        <v>111546</v>
      </c>
      <c r="S189" s="53">
        <f t="shared" si="26"/>
        <v>2.2519857278611513E-2</v>
      </c>
      <c r="T189" s="43">
        <f t="shared" si="17"/>
        <v>2.0589316446390081E-2</v>
      </c>
      <c r="U189" s="110"/>
      <c r="V189" s="302"/>
    </row>
    <row r="190" spans="1:22" x14ac:dyDescent="0.25">
      <c r="A190" s="61">
        <v>44081</v>
      </c>
      <c r="B190" s="197">
        <v>9215</v>
      </c>
      <c r="C190" s="197">
        <f t="shared" si="32"/>
        <v>488007</v>
      </c>
      <c r="D190" s="197">
        <f>53+215</f>
        <v>268</v>
      </c>
      <c r="E190" s="197">
        <f t="shared" si="31"/>
        <v>10126</v>
      </c>
      <c r="F190" s="190">
        <f t="shared" si="12"/>
        <v>9202</v>
      </c>
      <c r="G190" s="218">
        <v>366590</v>
      </c>
      <c r="H190" s="197">
        <v>2698</v>
      </c>
      <c r="I190" s="197">
        <v>20475</v>
      </c>
      <c r="J190" s="4">
        <f t="shared" si="29"/>
        <v>1389328</v>
      </c>
      <c r="K190" s="7">
        <f t="shared" si="34"/>
        <v>1252.6800000000512</v>
      </c>
      <c r="L190" s="7">
        <f t="shared" si="3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56">
        <f t="shared" si="22"/>
        <v>111291</v>
      </c>
      <c r="S190" s="53">
        <f t="shared" si="26"/>
        <v>2.4242750986153416E-2</v>
      </c>
      <c r="T190" s="43">
        <f t="shared" si="17"/>
        <v>2.074970236082679E-2</v>
      </c>
      <c r="U190" s="110"/>
      <c r="V190" s="302"/>
    </row>
    <row r="191" spans="1:22" x14ac:dyDescent="0.25">
      <c r="A191" s="56">
        <v>44082</v>
      </c>
      <c r="B191" s="190">
        <v>12027</v>
      </c>
      <c r="C191" s="190">
        <f t="shared" si="32"/>
        <v>500034</v>
      </c>
      <c r="D191" s="190">
        <f>50+227</f>
        <v>277</v>
      </c>
      <c r="E191" s="190">
        <f t="shared" si="31"/>
        <v>10403</v>
      </c>
      <c r="F191" s="190">
        <f t="shared" si="12"/>
        <v>15900</v>
      </c>
      <c r="G191" s="218">
        <v>382490</v>
      </c>
      <c r="H191" s="190">
        <v>2719</v>
      </c>
      <c r="I191" s="190">
        <v>25995</v>
      </c>
      <c r="J191" s="4">
        <f t="shared" si="29"/>
        <v>1415323</v>
      </c>
      <c r="K191" s="7">
        <f t="shared" si="34"/>
        <v>1273.516799999983</v>
      </c>
      <c r="L191" s="7">
        <f t="shared" ref="L191:L202" si="35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56">
        <f t="shared" si="22"/>
        <v>107141</v>
      </c>
      <c r="S191" s="53">
        <f t="shared" si="26"/>
        <v>2.5377773214735722E-2</v>
      </c>
      <c r="T191" s="43">
        <f t="shared" si="17"/>
        <v>2.0804585288200401E-2</v>
      </c>
      <c r="U191" s="110"/>
      <c r="V191" s="302"/>
    </row>
    <row r="192" spans="1:22" x14ac:dyDescent="0.25">
      <c r="A192" s="56">
        <v>44083</v>
      </c>
      <c r="B192" s="190">
        <v>12259</v>
      </c>
      <c r="C192" s="190">
        <f t="shared" si="32"/>
        <v>512293</v>
      </c>
      <c r="D192" s="190">
        <f>52+202</f>
        <v>254</v>
      </c>
      <c r="E192" s="190">
        <f t="shared" si="31"/>
        <v>10657</v>
      </c>
      <c r="F192" s="190">
        <f t="shared" si="12"/>
        <v>7608</v>
      </c>
      <c r="G192" s="218">
        <v>390098</v>
      </c>
      <c r="H192" s="190">
        <v>2829</v>
      </c>
      <c r="I192" s="190">
        <v>27171</v>
      </c>
      <c r="J192" s="4">
        <f t="shared" si="29"/>
        <v>1442494</v>
      </c>
      <c r="K192" s="7">
        <f t="shared" si="34"/>
        <v>1293.7232000000076</v>
      </c>
      <c r="L192" s="7">
        <f t="shared" si="35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56">
        <f t="shared" si="22"/>
        <v>111538</v>
      </c>
      <c r="S192" s="53">
        <f t="shared" si="26"/>
        <v>2.5363553228496118E-2</v>
      </c>
      <c r="T192" s="43">
        <f t="shared" si="17"/>
        <v>2.0802548541557272E-2</v>
      </c>
      <c r="U192" s="110"/>
      <c r="V192" s="302"/>
    </row>
    <row r="193" spans="1:22" x14ac:dyDescent="0.25">
      <c r="A193" s="56">
        <v>44084</v>
      </c>
      <c r="B193" s="190">
        <v>11905</v>
      </c>
      <c r="C193" s="190">
        <f t="shared" ref="C193:C207" si="36">C192+B193</f>
        <v>524198</v>
      </c>
      <c r="D193" s="190">
        <f>55+195</f>
        <v>250</v>
      </c>
      <c r="E193" s="190">
        <f t="shared" ref="E193:E206" si="37">E192+D193</f>
        <v>10907</v>
      </c>
      <c r="F193" s="190">
        <f t="shared" si="12"/>
        <v>10023</v>
      </c>
      <c r="G193" s="218">
        <v>400121</v>
      </c>
      <c r="H193" s="190">
        <v>2880</v>
      </c>
      <c r="I193" s="190">
        <v>28057</v>
      </c>
      <c r="J193" s="4">
        <f t="shared" si="29"/>
        <v>1470551</v>
      </c>
      <c r="K193" s="7">
        <f t="shared" si="34"/>
        <v>1315.7488000000594</v>
      </c>
      <c r="L193" s="7">
        <f t="shared" si="35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56">
        <f t="shared" si="22"/>
        <v>113170</v>
      </c>
      <c r="S193" s="53">
        <f t="shared" si="26"/>
        <v>2.5448440399399135E-2</v>
      </c>
      <c r="T193" s="43">
        <f t="shared" si="17"/>
        <v>2.0807023300355974E-2</v>
      </c>
      <c r="U193" s="110"/>
      <c r="V193" s="302"/>
    </row>
    <row r="194" spans="1:22" s="63" customFormat="1" x14ac:dyDescent="0.25">
      <c r="A194" s="61">
        <v>44085</v>
      </c>
      <c r="B194" s="188">
        <v>11507</v>
      </c>
      <c r="C194" s="188">
        <f t="shared" si="36"/>
        <v>535705</v>
      </c>
      <c r="D194" s="188">
        <f>87+154</f>
        <v>241</v>
      </c>
      <c r="E194" s="188">
        <f t="shared" si="37"/>
        <v>11148</v>
      </c>
      <c r="F194" s="190">
        <f t="shared" si="12"/>
        <v>9650</v>
      </c>
      <c r="G194" s="218">
        <v>409771</v>
      </c>
      <c r="H194" s="188">
        <v>3093</v>
      </c>
      <c r="I194" s="190">
        <v>26254</v>
      </c>
      <c r="J194" s="4">
        <f t="shared" si="29"/>
        <v>1496805</v>
      </c>
      <c r="K194" s="7">
        <f t="shared" ref="K194:K202" si="38">M194-L194</f>
        <v>1338.017600000021</v>
      </c>
      <c r="L194" s="7">
        <f t="shared" si="35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56">
        <f t="shared" si="22"/>
        <v>114786</v>
      </c>
      <c r="S194" s="53">
        <f t="shared" si="26"/>
        <v>2.6945794783335947E-2</v>
      </c>
      <c r="T194" s="43">
        <f t="shared" si="17"/>
        <v>2.0809960705985571E-2</v>
      </c>
      <c r="U194" s="110"/>
      <c r="V194" s="302"/>
    </row>
    <row r="195" spans="1:22" x14ac:dyDescent="0.25">
      <c r="A195" s="56">
        <v>44086</v>
      </c>
      <c r="B195" s="188">
        <v>10776</v>
      </c>
      <c r="C195" s="188">
        <f t="shared" si="36"/>
        <v>546481</v>
      </c>
      <c r="D195" s="188">
        <f>57+58</f>
        <v>115</v>
      </c>
      <c r="E195" s="188">
        <f t="shared" si="37"/>
        <v>11263</v>
      </c>
      <c r="F195" s="190">
        <f t="shared" ref="F195:F258" si="39">G195-G194</f>
        <v>9742</v>
      </c>
      <c r="G195" s="218">
        <v>419513</v>
      </c>
      <c r="H195" s="188">
        <v>2962</v>
      </c>
      <c r="I195" s="190">
        <v>23140</v>
      </c>
      <c r="J195" s="4">
        <f t="shared" si="29"/>
        <v>1519945</v>
      </c>
      <c r="K195" s="7">
        <f t="shared" si="38"/>
        <v>1355.5903999999864</v>
      </c>
      <c r="L195" s="7">
        <f t="shared" si="35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56">
        <f t="shared" si="22"/>
        <v>115705</v>
      </c>
      <c r="S195" s="53">
        <f t="shared" si="26"/>
        <v>2.5599585151894904E-2</v>
      </c>
      <c r="T195" s="43">
        <f t="shared" si="17"/>
        <v>2.0610048656769402E-2</v>
      </c>
      <c r="U195" s="110"/>
      <c r="V195" s="302"/>
    </row>
    <row r="196" spans="1:22" ht="16.5" x14ac:dyDescent="0.25">
      <c r="A196" s="56">
        <v>44087</v>
      </c>
      <c r="B196" s="188">
        <v>9056</v>
      </c>
      <c r="C196" s="210">
        <f t="shared" si="36"/>
        <v>555537</v>
      </c>
      <c r="D196" s="188">
        <f>44+45</f>
        <v>89</v>
      </c>
      <c r="E196" s="188">
        <f t="shared" si="37"/>
        <v>11352</v>
      </c>
      <c r="F196" s="190">
        <f t="shared" si="39"/>
        <v>9440</v>
      </c>
      <c r="G196" s="218">
        <v>428953</v>
      </c>
      <c r="H196" s="188">
        <v>2984</v>
      </c>
      <c r="I196" s="190">
        <v>17955</v>
      </c>
      <c r="J196" s="4">
        <f t="shared" si="29"/>
        <v>1537900</v>
      </c>
      <c r="K196" s="7">
        <f t="shared" si="38"/>
        <v>1368.1983999999939</v>
      </c>
      <c r="L196" s="7">
        <f t="shared" si="35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56">
        <f t="shared" si="22"/>
        <v>115232</v>
      </c>
      <c r="S196" s="53">
        <f t="shared" si="26"/>
        <v>2.5895584559844486E-2</v>
      </c>
      <c r="T196" s="43">
        <f t="shared" si="17"/>
        <v>2.0434282505035668E-2</v>
      </c>
      <c r="U196" s="110"/>
      <c r="V196" s="302"/>
    </row>
    <row r="197" spans="1:22" ht="16.5" x14ac:dyDescent="0.25">
      <c r="A197" s="61">
        <v>44088</v>
      </c>
      <c r="B197" s="190">
        <v>9909</v>
      </c>
      <c r="C197" s="210">
        <f t="shared" si="36"/>
        <v>565446</v>
      </c>
      <c r="D197" s="190">
        <f>60+254</f>
        <v>314</v>
      </c>
      <c r="E197" s="190">
        <f t="shared" si="37"/>
        <v>11666</v>
      </c>
      <c r="F197" s="190">
        <f t="shared" si="39"/>
        <v>9930</v>
      </c>
      <c r="G197" s="218">
        <v>438883</v>
      </c>
      <c r="H197" s="190">
        <v>2992</v>
      </c>
      <c r="I197" s="190">
        <v>21207</v>
      </c>
      <c r="J197" s="4">
        <f t="shared" si="29"/>
        <v>1559107</v>
      </c>
      <c r="K197" s="7">
        <f t="shared" si="38"/>
        <v>1385.3168000000296</v>
      </c>
      <c r="L197" s="7">
        <f t="shared" si="35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56">
        <f t="shared" si="22"/>
        <v>114897</v>
      </c>
      <c r="S197" s="53">
        <f t="shared" si="26"/>
        <v>2.6040714727103405E-2</v>
      </c>
      <c r="T197" s="43">
        <f t="shared" ref="T197:T210" si="40">E197/C187</f>
        <v>2.525753330937339E-2</v>
      </c>
      <c r="U197" s="110"/>
      <c r="V197" s="302"/>
    </row>
    <row r="198" spans="1:22" ht="16.5" x14ac:dyDescent="0.25">
      <c r="A198" s="56">
        <v>44089</v>
      </c>
      <c r="B198" s="190">
        <v>11892</v>
      </c>
      <c r="C198" s="210">
        <f t="shared" si="36"/>
        <v>577338</v>
      </c>
      <c r="D198" s="190">
        <f>43+142</f>
        <v>185</v>
      </c>
      <c r="E198" s="190">
        <f t="shared" si="37"/>
        <v>11851</v>
      </c>
      <c r="F198" s="190">
        <f t="shared" si="39"/>
        <v>9380</v>
      </c>
      <c r="G198" s="218">
        <v>448263</v>
      </c>
      <c r="H198" s="190">
        <v>3049</v>
      </c>
      <c r="I198" s="190">
        <v>25791</v>
      </c>
      <c r="J198" s="4">
        <f t="shared" si="29"/>
        <v>1584898</v>
      </c>
      <c r="K198" s="7">
        <f t="shared" si="38"/>
        <v>1407.344000000041</v>
      </c>
      <c r="L198" s="7">
        <f t="shared" si="35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56">
        <f t="shared" si="22"/>
        <v>117224</v>
      </c>
      <c r="S198" s="53">
        <f t="shared" si="26"/>
        <v>2.6010032075342932E-2</v>
      </c>
      <c r="T198" s="43">
        <f t="shared" si="40"/>
        <v>2.5118374925287089E-2</v>
      </c>
      <c r="U198" s="110"/>
      <c r="V198" s="302"/>
    </row>
    <row r="199" spans="1:22" ht="16.5" x14ac:dyDescent="0.25">
      <c r="A199" s="56">
        <v>44090</v>
      </c>
      <c r="B199" s="190">
        <v>11674</v>
      </c>
      <c r="C199" s="210">
        <f t="shared" si="36"/>
        <v>589012</v>
      </c>
      <c r="D199" s="190">
        <f>58+206</f>
        <v>264</v>
      </c>
      <c r="E199" s="190">
        <f t="shared" si="37"/>
        <v>12115</v>
      </c>
      <c r="F199" s="190">
        <f t="shared" si="39"/>
        <v>8084</v>
      </c>
      <c r="G199" s="218">
        <v>456347</v>
      </c>
      <c r="H199" s="190">
        <v>3118</v>
      </c>
      <c r="I199" s="190">
        <v>25422</v>
      </c>
      <c r="J199" s="4">
        <f t="shared" si="29"/>
        <v>1610320</v>
      </c>
      <c r="K199" s="7">
        <f t="shared" si="38"/>
        <v>1429.5023999999976</v>
      </c>
      <c r="L199" s="7">
        <f t="shared" si="35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56">
        <f t="shared" si="22"/>
        <v>120550</v>
      </c>
      <c r="S199" s="53">
        <f t="shared" si="26"/>
        <v>2.5864786395686436E-2</v>
      </c>
      <c r="T199" s="43">
        <f t="shared" si="40"/>
        <v>2.530326321241792E-2</v>
      </c>
      <c r="U199" s="110"/>
      <c r="V199" s="302"/>
    </row>
    <row r="200" spans="1:22" ht="16.5" x14ac:dyDescent="0.25">
      <c r="A200" s="56">
        <v>44091</v>
      </c>
      <c r="B200" s="190">
        <v>12701</v>
      </c>
      <c r="C200" s="210">
        <f t="shared" si="36"/>
        <v>601713</v>
      </c>
      <c r="D200" s="190">
        <v>345</v>
      </c>
      <c r="E200" s="190">
        <f t="shared" si="37"/>
        <v>12460</v>
      </c>
      <c r="F200" s="190">
        <f t="shared" si="39"/>
        <v>10939</v>
      </c>
      <c r="G200" s="218">
        <v>467286</v>
      </c>
      <c r="H200" s="190">
        <v>3108</v>
      </c>
      <c r="I200" s="190">
        <v>28633</v>
      </c>
      <c r="J200" s="4">
        <f t="shared" si="29"/>
        <v>1638953</v>
      </c>
      <c r="K200" s="7">
        <f t="shared" si="38"/>
        <v>1451.9024000000209</v>
      </c>
      <c r="L200" s="7">
        <f t="shared" si="35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56">
        <f t="shared" si="22"/>
        <v>121967</v>
      </c>
      <c r="S200" s="53">
        <f t="shared" si="26"/>
        <v>2.5482302590044848E-2</v>
      </c>
      <c r="T200" s="43">
        <f t="shared" si="40"/>
        <v>2.5532420641507191E-2</v>
      </c>
      <c r="U200" s="110"/>
      <c r="V200" s="302"/>
    </row>
    <row r="201" spans="1:22" ht="16.5" x14ac:dyDescent="0.25">
      <c r="A201" s="56">
        <v>44092</v>
      </c>
      <c r="B201" s="190">
        <v>11945</v>
      </c>
      <c r="C201" s="210">
        <f t="shared" si="36"/>
        <v>613658</v>
      </c>
      <c r="D201" s="190">
        <f>31+166</f>
        <v>197</v>
      </c>
      <c r="E201" s="190">
        <f t="shared" si="37"/>
        <v>12657</v>
      </c>
      <c r="F201" s="190">
        <f t="shared" si="39"/>
        <v>10791</v>
      </c>
      <c r="G201" s="218">
        <v>478077</v>
      </c>
      <c r="H201" s="190">
        <v>3225</v>
      </c>
      <c r="I201" s="190">
        <v>25698</v>
      </c>
      <c r="J201" s="4">
        <f t="shared" si="29"/>
        <v>1664651</v>
      </c>
      <c r="K201" s="7">
        <f t="shared" si="38"/>
        <v>1474.3456000000006</v>
      </c>
      <c r="L201" s="7">
        <f t="shared" si="35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56">
        <f t="shared" si="22"/>
        <v>122924</v>
      </c>
      <c r="S201" s="53">
        <f t="shared" si="26"/>
        <v>2.6235722885685465E-2</v>
      </c>
      <c r="T201" s="43">
        <f t="shared" si="40"/>
        <v>2.5312278765043977E-2</v>
      </c>
      <c r="U201" s="110"/>
      <c r="V201" s="302"/>
    </row>
    <row r="202" spans="1:22" x14ac:dyDescent="0.25">
      <c r="A202" s="56">
        <v>44093</v>
      </c>
      <c r="B202" s="190">
        <v>9276</v>
      </c>
      <c r="C202" s="190">
        <f t="shared" si="36"/>
        <v>622934</v>
      </c>
      <c r="D202" s="190">
        <f>49+94</f>
        <v>143</v>
      </c>
      <c r="E202" s="190">
        <f t="shared" si="37"/>
        <v>12800</v>
      </c>
      <c r="F202" s="190">
        <f t="shared" si="39"/>
        <v>10154</v>
      </c>
      <c r="G202" s="218">
        <v>488231</v>
      </c>
      <c r="H202" s="190">
        <v>3213</v>
      </c>
      <c r="I202" s="190">
        <v>21093</v>
      </c>
      <c r="J202" s="4">
        <f t="shared" si="29"/>
        <v>1685744</v>
      </c>
      <c r="K202" s="7">
        <f t="shared" si="38"/>
        <v>1492.0336000000825</v>
      </c>
      <c r="L202" s="7">
        <f t="shared" si="35"/>
        <v>931028.96639999992</v>
      </c>
      <c r="M202" s="4">
        <v>932521</v>
      </c>
      <c r="N202" s="30">
        <v>1261</v>
      </c>
      <c r="O202" s="30">
        <v>133793</v>
      </c>
      <c r="P202" s="30">
        <v>406757</v>
      </c>
      <c r="Q202" s="30">
        <f>C202-P202-O202-N202</f>
        <v>81123</v>
      </c>
      <c r="R202" s="156">
        <f t="shared" si="22"/>
        <v>121903</v>
      </c>
      <c r="S202" s="113">
        <f t="shared" si="26"/>
        <v>2.6357021566327327E-2</v>
      </c>
      <c r="T202" s="114">
        <f t="shared" si="40"/>
        <v>2.4985701541891066E-2</v>
      </c>
      <c r="U202" s="110"/>
      <c r="V202" s="302"/>
    </row>
    <row r="203" spans="1:22" x14ac:dyDescent="0.25">
      <c r="A203" s="56">
        <v>44094</v>
      </c>
      <c r="B203" s="190">
        <v>8431</v>
      </c>
      <c r="C203" s="190">
        <f t="shared" si="36"/>
        <v>631365</v>
      </c>
      <c r="D203" s="190">
        <f>110+143</f>
        <v>253</v>
      </c>
      <c r="E203" s="190">
        <f t="shared" si="37"/>
        <v>13053</v>
      </c>
      <c r="F203" s="190">
        <f t="shared" si="39"/>
        <v>10148</v>
      </c>
      <c r="G203" s="218">
        <v>498379</v>
      </c>
      <c r="H203" s="190">
        <v>3261</v>
      </c>
      <c r="I203" s="190">
        <v>15454</v>
      </c>
      <c r="J203" s="4">
        <f t="shared" si="29"/>
        <v>1701198</v>
      </c>
      <c r="K203" s="7">
        <v>1348</v>
      </c>
      <c r="L203" s="7">
        <v>939868</v>
      </c>
      <c r="M203" s="112">
        <f t="shared" ref="M203:M213" si="41">L203+K203</f>
        <v>941216</v>
      </c>
      <c r="N203" s="121">
        <v>1262</v>
      </c>
      <c r="O203" s="121">
        <v>134820</v>
      </c>
      <c r="P203" s="121">
        <v>412203</v>
      </c>
      <c r="Q203" s="121">
        <f>C203-P203-O203-N203</f>
        <v>83080</v>
      </c>
      <c r="R203" s="156">
        <f t="shared" si="22"/>
        <v>119933</v>
      </c>
      <c r="S203" s="138">
        <f t="shared" si="26"/>
        <v>2.7190181184494677E-2</v>
      </c>
      <c r="T203" s="139">
        <f t="shared" si="40"/>
        <v>2.4900896226235127E-2</v>
      </c>
      <c r="U203" s="110"/>
      <c r="V203" s="302"/>
    </row>
    <row r="204" spans="1:22" x14ac:dyDescent="0.25">
      <c r="A204" s="56">
        <v>44095</v>
      </c>
      <c r="B204" s="190">
        <v>8782</v>
      </c>
      <c r="C204" s="190">
        <f t="shared" si="36"/>
        <v>640147</v>
      </c>
      <c r="D204" s="190">
        <v>427</v>
      </c>
      <c r="E204" s="190">
        <f t="shared" si="37"/>
        <v>13480</v>
      </c>
      <c r="F204" s="190">
        <f t="shared" si="39"/>
        <v>10184</v>
      </c>
      <c r="G204" s="218">
        <v>508563</v>
      </c>
      <c r="H204" s="190">
        <v>3387</v>
      </c>
      <c r="I204" s="190">
        <v>18575</v>
      </c>
      <c r="J204" s="4">
        <f t="shared" si="29"/>
        <v>1719773</v>
      </c>
      <c r="K204" s="7">
        <v>1383</v>
      </c>
      <c r="L204" s="7">
        <v>949102</v>
      </c>
      <c r="M204" s="112">
        <f t="shared" si="41"/>
        <v>950485</v>
      </c>
      <c r="N204" s="140">
        <v>6401</v>
      </c>
      <c r="O204" s="140">
        <v>138272</v>
      </c>
      <c r="P204" s="154">
        <v>417376</v>
      </c>
      <c r="Q204" s="121">
        <f t="shared" ref="Q204:Q231" si="42">C204-P204-O204-N204</f>
        <v>78098</v>
      </c>
      <c r="R204" s="156">
        <f t="shared" si="22"/>
        <v>118104</v>
      </c>
      <c r="S204" s="138">
        <f t="shared" si="26"/>
        <v>2.8678114204429995E-2</v>
      </c>
      <c r="T204" s="139">
        <f t="shared" si="40"/>
        <v>2.5163102827115671E-2</v>
      </c>
      <c r="U204" s="110"/>
      <c r="V204" s="302"/>
    </row>
    <row r="205" spans="1:22" x14ac:dyDescent="0.25">
      <c r="A205" s="56">
        <v>44096</v>
      </c>
      <c r="B205" s="190">
        <v>12027</v>
      </c>
      <c r="C205" s="190">
        <f t="shared" si="36"/>
        <v>652174</v>
      </c>
      <c r="D205" s="190">
        <v>469</v>
      </c>
      <c r="E205" s="190">
        <f t="shared" si="37"/>
        <v>13949</v>
      </c>
      <c r="F205" s="190">
        <f t="shared" si="39"/>
        <v>8665</v>
      </c>
      <c r="G205" s="218">
        <v>517228</v>
      </c>
      <c r="H205" s="190">
        <v>3362</v>
      </c>
      <c r="I205" s="190">
        <v>25766</v>
      </c>
      <c r="J205" s="4">
        <f t="shared" si="29"/>
        <v>1745539</v>
      </c>
      <c r="K205" s="7">
        <v>1448</v>
      </c>
      <c r="L205" s="7">
        <v>961776</v>
      </c>
      <c r="M205" s="112">
        <f t="shared" si="41"/>
        <v>963224</v>
      </c>
      <c r="N205" s="141">
        <v>6521</v>
      </c>
      <c r="O205" s="141">
        <v>140870</v>
      </c>
      <c r="P205" s="141">
        <v>425218</v>
      </c>
      <c r="Q205" s="121">
        <f t="shared" si="42"/>
        <v>79565</v>
      </c>
      <c r="R205" s="156">
        <f t="shared" si="22"/>
        <v>120997</v>
      </c>
      <c r="S205" s="138">
        <f t="shared" si="26"/>
        <v>2.7785812871393506E-2</v>
      </c>
      <c r="T205" s="139">
        <f t="shared" si="40"/>
        <v>2.5525132621262221E-2</v>
      </c>
      <c r="U205" s="110"/>
      <c r="V205" s="302"/>
    </row>
    <row r="206" spans="1:22" x14ac:dyDescent="0.25">
      <c r="A206" s="56">
        <v>44097</v>
      </c>
      <c r="B206" s="190">
        <v>12625</v>
      </c>
      <c r="C206" s="190">
        <f t="shared" si="36"/>
        <v>664799</v>
      </c>
      <c r="D206" s="190">
        <v>423</v>
      </c>
      <c r="E206" s="190">
        <f t="shared" si="37"/>
        <v>14372</v>
      </c>
      <c r="F206" s="190">
        <f t="shared" si="39"/>
        <v>8258</v>
      </c>
      <c r="G206" s="218">
        <v>525486</v>
      </c>
      <c r="H206" s="190">
        <v>3511</v>
      </c>
      <c r="I206" s="190">
        <v>24903</v>
      </c>
      <c r="J206" s="4">
        <f t="shared" si="29"/>
        <v>1770442</v>
      </c>
      <c r="K206" s="7">
        <v>1456</v>
      </c>
      <c r="L206" s="7">
        <v>974788</v>
      </c>
      <c r="M206" s="112">
        <f t="shared" si="41"/>
        <v>976244</v>
      </c>
      <c r="N206" s="141">
        <v>6647</v>
      </c>
      <c r="O206" s="141">
        <v>143597</v>
      </c>
      <c r="P206" s="141">
        <v>433450</v>
      </c>
      <c r="Q206" s="121">
        <f t="shared" si="42"/>
        <v>81105</v>
      </c>
      <c r="R206" s="156">
        <f t="shared" si="22"/>
        <v>124941</v>
      </c>
      <c r="S206" s="138">
        <f t="shared" ref="S206:S211" si="43">H206/(C206-E206-G206)</f>
        <v>2.8101263796511955E-2</v>
      </c>
      <c r="T206" s="139">
        <f t="shared" si="40"/>
        <v>2.5870464073500056E-2</v>
      </c>
      <c r="U206" s="110"/>
      <c r="V206" s="302"/>
    </row>
    <row r="207" spans="1:22" x14ac:dyDescent="0.25">
      <c r="A207" s="56">
        <v>44098</v>
      </c>
      <c r="B207" s="199">
        <v>13467</v>
      </c>
      <c r="C207" s="200">
        <f t="shared" si="36"/>
        <v>678266</v>
      </c>
      <c r="D207" s="190">
        <v>391</v>
      </c>
      <c r="E207" s="190">
        <f t="shared" ref="E207:E230" si="44">E206+D207</f>
        <v>14763</v>
      </c>
      <c r="F207" s="190">
        <f t="shared" si="39"/>
        <v>11103</v>
      </c>
      <c r="G207" s="218">
        <v>536589</v>
      </c>
      <c r="H207" s="190">
        <v>3527</v>
      </c>
      <c r="I207" s="190">
        <v>27253</v>
      </c>
      <c r="J207" s="4">
        <f t="shared" si="29"/>
        <v>1797695</v>
      </c>
      <c r="K207" s="7">
        <v>1488</v>
      </c>
      <c r="L207" s="7">
        <v>988976</v>
      </c>
      <c r="M207" s="27">
        <f t="shared" si="41"/>
        <v>990464</v>
      </c>
      <c r="N207" s="141">
        <v>6740</v>
      </c>
      <c r="O207" s="141">
        <v>143045</v>
      </c>
      <c r="P207" s="141">
        <v>449054</v>
      </c>
      <c r="Q207" s="121">
        <f t="shared" si="42"/>
        <v>79427</v>
      </c>
      <c r="R207" s="156">
        <f t="shared" si="22"/>
        <v>126914</v>
      </c>
      <c r="S207" s="138">
        <f t="shared" si="43"/>
        <v>2.7790472288321225E-2</v>
      </c>
      <c r="T207" s="139">
        <f t="shared" si="40"/>
        <v>2.6108593924088243E-2</v>
      </c>
      <c r="U207" s="110"/>
      <c r="V207" s="302"/>
    </row>
    <row r="208" spans="1:22" x14ac:dyDescent="0.25">
      <c r="A208" s="56">
        <v>44099</v>
      </c>
      <c r="B208" s="190">
        <v>12969</v>
      </c>
      <c r="C208" s="190">
        <f t="shared" ref="C208:C230" si="45">C207+B208</f>
        <v>691235</v>
      </c>
      <c r="D208" s="190">
        <v>442</v>
      </c>
      <c r="E208" s="190">
        <f t="shared" si="44"/>
        <v>15205</v>
      </c>
      <c r="F208" s="190">
        <f t="shared" si="39"/>
        <v>10335</v>
      </c>
      <c r="G208" s="218">
        <v>546924</v>
      </c>
      <c r="H208" s="190">
        <v>3595</v>
      </c>
      <c r="I208" s="190">
        <v>25098</v>
      </c>
      <c r="J208" s="4">
        <f t="shared" si="29"/>
        <v>1822793</v>
      </c>
      <c r="K208" s="7">
        <v>1500</v>
      </c>
      <c r="L208" s="7">
        <v>1001959</v>
      </c>
      <c r="M208" s="27">
        <f t="shared" si="41"/>
        <v>1003459</v>
      </c>
      <c r="N208" s="141">
        <v>6798</v>
      </c>
      <c r="O208" s="141">
        <v>145075</v>
      </c>
      <c r="P208" s="141">
        <v>458440</v>
      </c>
      <c r="Q208" s="121">
        <f t="shared" si="42"/>
        <v>80922</v>
      </c>
      <c r="R208" s="156">
        <f t="shared" si="22"/>
        <v>129106</v>
      </c>
      <c r="S208" s="138">
        <f t="shared" si="43"/>
        <v>2.7845336390252971E-2</v>
      </c>
      <c r="T208" s="139">
        <f t="shared" si="40"/>
        <v>2.633639220006305E-2</v>
      </c>
      <c r="U208" s="110"/>
      <c r="V208" s="302"/>
    </row>
    <row r="209" spans="1:22" x14ac:dyDescent="0.25">
      <c r="A209" s="56">
        <v>44100</v>
      </c>
      <c r="B209" s="190">
        <v>11249</v>
      </c>
      <c r="C209" s="190">
        <f t="shared" si="45"/>
        <v>702484</v>
      </c>
      <c r="D209" s="190">
        <v>337</v>
      </c>
      <c r="E209" s="190">
        <f t="shared" si="44"/>
        <v>15542</v>
      </c>
      <c r="F209" s="190">
        <f t="shared" si="39"/>
        <v>9565</v>
      </c>
      <c r="G209" s="218">
        <v>556489</v>
      </c>
      <c r="H209" s="190">
        <v>3633</v>
      </c>
      <c r="I209" s="190">
        <v>22101</v>
      </c>
      <c r="J209" s="4">
        <f t="shared" si="29"/>
        <v>1844894</v>
      </c>
      <c r="K209" s="7">
        <v>1537</v>
      </c>
      <c r="L209" s="7">
        <v>1014163</v>
      </c>
      <c r="M209" s="27">
        <f t="shared" si="41"/>
        <v>1015700</v>
      </c>
      <c r="N209" s="141">
        <v>6835</v>
      </c>
      <c r="O209" s="141">
        <v>146416</v>
      </c>
      <c r="P209" s="141">
        <v>464913</v>
      </c>
      <c r="Q209" s="121">
        <f t="shared" si="42"/>
        <v>84320</v>
      </c>
      <c r="R209" s="156">
        <f t="shared" si="22"/>
        <v>130453</v>
      </c>
      <c r="S209" s="138">
        <f t="shared" si="43"/>
        <v>2.7849110407579741E-2</v>
      </c>
      <c r="T209" s="139">
        <f t="shared" si="40"/>
        <v>2.6386559187249158E-2</v>
      </c>
      <c r="U209" s="110"/>
      <c r="V209" s="302"/>
    </row>
    <row r="210" spans="1:22" x14ac:dyDescent="0.25">
      <c r="A210" s="56">
        <v>44101</v>
      </c>
      <c r="B210" s="190">
        <v>8841</v>
      </c>
      <c r="C210" s="190">
        <f t="shared" si="45"/>
        <v>711325</v>
      </c>
      <c r="D210" s="190">
        <v>206</v>
      </c>
      <c r="E210" s="190">
        <f t="shared" si="44"/>
        <v>15748</v>
      </c>
      <c r="F210" s="190">
        <f t="shared" si="39"/>
        <v>9446</v>
      </c>
      <c r="G210" s="218">
        <v>565935</v>
      </c>
      <c r="H210" s="190">
        <v>3604</v>
      </c>
      <c r="I210" s="190">
        <v>15171</v>
      </c>
      <c r="J210" s="4">
        <f t="shared" si="29"/>
        <v>1860065</v>
      </c>
      <c r="K210" s="7">
        <v>1567</v>
      </c>
      <c r="L210" s="7">
        <v>1021244</v>
      </c>
      <c r="M210" s="27">
        <f t="shared" si="41"/>
        <v>1022811</v>
      </c>
      <c r="N210" s="141">
        <v>6874</v>
      </c>
      <c r="O210" s="141">
        <v>147538</v>
      </c>
      <c r="P210" s="141">
        <v>469799</v>
      </c>
      <c r="Q210" s="121">
        <f t="shared" si="42"/>
        <v>87114</v>
      </c>
      <c r="R210" s="156">
        <f t="shared" si="22"/>
        <v>129642</v>
      </c>
      <c r="S210" s="138">
        <f t="shared" si="43"/>
        <v>2.779963283503803E-2</v>
      </c>
      <c r="T210" s="139">
        <f t="shared" si="40"/>
        <v>2.6171945761517535E-2</v>
      </c>
      <c r="U210" s="110"/>
      <c r="V210" s="302"/>
    </row>
    <row r="211" spans="1:22" x14ac:dyDescent="0.25">
      <c r="A211" s="56">
        <v>44102</v>
      </c>
      <c r="B211" s="190">
        <v>11807</v>
      </c>
      <c r="C211" s="190">
        <f t="shared" si="45"/>
        <v>723132</v>
      </c>
      <c r="D211" s="190">
        <v>365</v>
      </c>
      <c r="E211" s="190">
        <f t="shared" si="44"/>
        <v>16113</v>
      </c>
      <c r="F211" s="190">
        <f t="shared" si="39"/>
        <v>10780</v>
      </c>
      <c r="G211" s="218">
        <v>576715</v>
      </c>
      <c r="H211" s="190">
        <v>3678</v>
      </c>
      <c r="I211" s="190">
        <v>21356</v>
      </c>
      <c r="J211" s="4">
        <f t="shared" si="29"/>
        <v>1881421</v>
      </c>
      <c r="K211" s="7">
        <v>1611</v>
      </c>
      <c r="L211" s="7">
        <v>1031143</v>
      </c>
      <c r="M211" s="27">
        <f t="shared" si="41"/>
        <v>1032754</v>
      </c>
      <c r="N211" s="141">
        <v>6984</v>
      </c>
      <c r="O211" s="141">
        <v>149538</v>
      </c>
      <c r="P211" s="141">
        <v>478119</v>
      </c>
      <c r="Q211" s="121">
        <f t="shared" si="42"/>
        <v>88491</v>
      </c>
      <c r="R211" s="156">
        <f t="shared" si="22"/>
        <v>130304</v>
      </c>
      <c r="S211" s="138">
        <f t="shared" si="43"/>
        <v>2.8226301571709234E-2</v>
      </c>
      <c r="T211" s="139">
        <f>E211/C201</f>
        <v>2.6257296409400676E-2</v>
      </c>
      <c r="U211" s="110"/>
      <c r="V211" s="302"/>
    </row>
    <row r="212" spans="1:22" x14ac:dyDescent="0.25">
      <c r="A212" s="56">
        <v>44103</v>
      </c>
      <c r="B212" s="190">
        <v>13477</v>
      </c>
      <c r="C212" s="190">
        <f t="shared" si="45"/>
        <v>736609</v>
      </c>
      <c r="D212" s="190">
        <v>405</v>
      </c>
      <c r="E212" s="190">
        <f t="shared" si="44"/>
        <v>16518</v>
      </c>
      <c r="F212" s="190">
        <f t="shared" si="39"/>
        <v>9142</v>
      </c>
      <c r="G212" s="218">
        <v>585857</v>
      </c>
      <c r="H212" s="190">
        <v>3768</v>
      </c>
      <c r="I212" s="190">
        <v>25072</v>
      </c>
      <c r="J212" s="4">
        <f t="shared" si="29"/>
        <v>1906493</v>
      </c>
      <c r="K212" s="7">
        <v>1774</v>
      </c>
      <c r="L212" s="47">
        <v>1043210</v>
      </c>
      <c r="M212" s="27">
        <f t="shared" si="41"/>
        <v>1044984</v>
      </c>
      <c r="N212" s="141">
        <v>7083</v>
      </c>
      <c r="O212" s="141">
        <v>151787</v>
      </c>
      <c r="P212" s="141">
        <v>487971</v>
      </c>
      <c r="Q212" s="121">
        <f t="shared" si="42"/>
        <v>89768</v>
      </c>
      <c r="R212" s="156">
        <f t="shared" si="22"/>
        <v>134234</v>
      </c>
      <c r="S212" s="138">
        <f t="shared" ref="S212:S220" si="46">H212/(C212-E212-G212)</f>
        <v>2.8070384552348882E-2</v>
      </c>
      <c r="T212" s="139">
        <f>E212/C202</f>
        <v>2.6516452786330493E-2</v>
      </c>
      <c r="U212" s="110"/>
      <c r="V212" s="302"/>
    </row>
    <row r="213" spans="1:22" x14ac:dyDescent="0.25">
      <c r="A213" s="56">
        <v>44104</v>
      </c>
      <c r="B213" s="190">
        <v>14392</v>
      </c>
      <c r="C213" s="190">
        <f t="shared" si="45"/>
        <v>751001</v>
      </c>
      <c r="D213" s="190">
        <v>418</v>
      </c>
      <c r="E213" s="190">
        <f t="shared" si="44"/>
        <v>16936</v>
      </c>
      <c r="F213" s="190">
        <f t="shared" si="39"/>
        <v>8788</v>
      </c>
      <c r="G213" s="218">
        <v>594645</v>
      </c>
      <c r="H213" s="190">
        <v>3792</v>
      </c>
      <c r="I213" s="190">
        <v>26524</v>
      </c>
      <c r="J213" s="4">
        <f t="shared" si="29"/>
        <v>1933017</v>
      </c>
      <c r="K213" s="112">
        <v>2013</v>
      </c>
      <c r="L213" s="8">
        <v>1055774</v>
      </c>
      <c r="M213" s="135">
        <f t="shared" si="41"/>
        <v>1057787</v>
      </c>
      <c r="N213" s="141">
        <v>7162</v>
      </c>
      <c r="O213" s="141">
        <v>153949</v>
      </c>
      <c r="P213" s="141">
        <v>498519</v>
      </c>
      <c r="Q213" s="121">
        <f t="shared" si="42"/>
        <v>91371</v>
      </c>
      <c r="R213" s="156">
        <f t="shared" si="22"/>
        <v>139420</v>
      </c>
      <c r="S213" s="138">
        <f t="shared" si="46"/>
        <v>2.7198393343853107E-2</v>
      </c>
      <c r="T213" s="139">
        <f>E213/C203</f>
        <v>2.682442010564412E-2</v>
      </c>
      <c r="U213" s="110"/>
      <c r="V213" s="302"/>
    </row>
    <row r="214" spans="1:22" x14ac:dyDescent="0.25">
      <c r="A214" s="56">
        <v>44105</v>
      </c>
      <c r="B214" s="190">
        <v>14001</v>
      </c>
      <c r="C214" s="190">
        <f t="shared" si="45"/>
        <v>765002</v>
      </c>
      <c r="D214" s="203">
        <v>3350</v>
      </c>
      <c r="E214" s="190">
        <f t="shared" si="44"/>
        <v>20286</v>
      </c>
      <c r="F214" s="190">
        <f t="shared" si="39"/>
        <v>8495</v>
      </c>
      <c r="G214" s="218">
        <v>603140</v>
      </c>
      <c r="H214" s="201">
        <v>3799</v>
      </c>
      <c r="I214" s="190">
        <v>26662</v>
      </c>
      <c r="J214" s="4">
        <f t="shared" si="29"/>
        <v>1959679</v>
      </c>
      <c r="K214" s="112">
        <v>1482</v>
      </c>
      <c r="L214" s="8">
        <v>1068705</v>
      </c>
      <c r="M214" s="135">
        <f t="shared" ref="M214:M225" si="47">L214+K214</f>
        <v>1070187</v>
      </c>
      <c r="N214" s="141">
        <v>7226</v>
      </c>
      <c r="O214" s="141">
        <v>155848</v>
      </c>
      <c r="P214" s="141">
        <v>508945</v>
      </c>
      <c r="Q214" s="121">
        <f t="shared" si="42"/>
        <v>92983</v>
      </c>
      <c r="R214" s="156">
        <f t="shared" si="22"/>
        <v>141576</v>
      </c>
      <c r="S214" s="138">
        <f t="shared" si="46"/>
        <v>2.6833644120472396E-2</v>
      </c>
      <c r="T214" s="139">
        <f>E214/C204</f>
        <v>3.1689596295850796E-2</v>
      </c>
      <c r="U214" s="110"/>
      <c r="V214" s="302"/>
    </row>
    <row r="215" spans="1:22" x14ac:dyDescent="0.25">
      <c r="A215" s="56">
        <v>44106</v>
      </c>
      <c r="B215" s="199">
        <v>14687</v>
      </c>
      <c r="C215" s="190">
        <f t="shared" si="45"/>
        <v>779689</v>
      </c>
      <c r="D215" s="190">
        <v>309</v>
      </c>
      <c r="E215" s="190">
        <f t="shared" si="44"/>
        <v>20595</v>
      </c>
      <c r="F215" s="190">
        <f t="shared" si="39"/>
        <v>11375</v>
      </c>
      <c r="G215" s="218">
        <v>614515</v>
      </c>
      <c r="H215" s="201">
        <v>3828</v>
      </c>
      <c r="I215" s="190">
        <v>27537</v>
      </c>
      <c r="J215" s="4">
        <f t="shared" si="29"/>
        <v>1987216</v>
      </c>
      <c r="K215" s="7">
        <v>1492</v>
      </c>
      <c r="L215" s="8">
        <v>1082729</v>
      </c>
      <c r="M215" s="27">
        <f t="shared" si="47"/>
        <v>1084221</v>
      </c>
      <c r="N215" s="141">
        <v>7323</v>
      </c>
      <c r="O215" s="141">
        <v>158001</v>
      </c>
      <c r="P215" s="141">
        <v>520163</v>
      </c>
      <c r="Q215" s="121">
        <f t="shared" si="42"/>
        <v>94202</v>
      </c>
      <c r="R215" s="156">
        <f t="shared" si="22"/>
        <v>144579</v>
      </c>
      <c r="S215" s="138">
        <f t="shared" si="46"/>
        <v>2.6476874234847386E-2</v>
      </c>
      <c r="T215" s="43">
        <f t="shared" ref="T215:T232" si="48">E215/C195</f>
        <v>3.7686580137278332E-2</v>
      </c>
      <c r="U215" s="110"/>
      <c r="V215" s="302"/>
    </row>
    <row r="216" spans="1:22" x14ac:dyDescent="0.25">
      <c r="A216" s="61">
        <v>44107</v>
      </c>
      <c r="B216" s="197">
        <v>11129</v>
      </c>
      <c r="C216" s="197">
        <f t="shared" si="45"/>
        <v>790818</v>
      </c>
      <c r="D216" s="197">
        <v>195</v>
      </c>
      <c r="E216" s="197">
        <f t="shared" si="44"/>
        <v>20790</v>
      </c>
      <c r="F216" s="190">
        <f t="shared" si="39"/>
        <v>11599</v>
      </c>
      <c r="G216" s="218">
        <v>626114</v>
      </c>
      <c r="H216" s="201">
        <v>3820</v>
      </c>
      <c r="I216" s="197">
        <v>20525</v>
      </c>
      <c r="J216" s="4">
        <f t="shared" si="29"/>
        <v>2007741</v>
      </c>
      <c r="K216" s="47">
        <v>1499</v>
      </c>
      <c r="L216" s="47">
        <v>1095695</v>
      </c>
      <c r="M216" s="136">
        <f t="shared" si="47"/>
        <v>1097194</v>
      </c>
      <c r="N216" s="141">
        <v>7387</v>
      </c>
      <c r="O216" s="141">
        <v>159347</v>
      </c>
      <c r="P216" s="141">
        <v>527803</v>
      </c>
      <c r="Q216" s="121">
        <f t="shared" si="42"/>
        <v>96281</v>
      </c>
      <c r="R216" s="156">
        <f t="shared" si="22"/>
        <v>143914</v>
      </c>
      <c r="S216" s="138">
        <f t="shared" si="46"/>
        <v>2.6543630223605764E-2</v>
      </c>
      <c r="T216" s="43">
        <f t="shared" si="48"/>
        <v>3.742324993654788E-2</v>
      </c>
      <c r="U216" s="110"/>
      <c r="V216" s="302"/>
    </row>
    <row r="217" spans="1:22" x14ac:dyDescent="0.25">
      <c r="A217" s="56">
        <v>44108</v>
      </c>
      <c r="B217" s="190">
        <v>7668</v>
      </c>
      <c r="C217" s="190">
        <f t="shared" si="45"/>
        <v>798486</v>
      </c>
      <c r="D217" s="190">
        <v>222</v>
      </c>
      <c r="E217" s="190">
        <f t="shared" si="44"/>
        <v>21012</v>
      </c>
      <c r="F217" s="190">
        <f t="shared" si="39"/>
        <v>10558</v>
      </c>
      <c r="G217" s="218">
        <v>636672</v>
      </c>
      <c r="H217" s="201">
        <v>3950</v>
      </c>
      <c r="I217" s="190">
        <v>13213</v>
      </c>
      <c r="J217" s="4">
        <f t="shared" si="29"/>
        <v>2020954</v>
      </c>
      <c r="K217" s="7">
        <v>1504</v>
      </c>
      <c r="L217" s="7">
        <v>1103068</v>
      </c>
      <c r="M217" s="27">
        <f t="shared" si="47"/>
        <v>1104572</v>
      </c>
      <c r="N217" s="141">
        <v>7425</v>
      </c>
      <c r="O217" s="141">
        <v>160401</v>
      </c>
      <c r="P217" s="141">
        <v>533573</v>
      </c>
      <c r="Q217" s="121">
        <f t="shared" si="42"/>
        <v>97087</v>
      </c>
      <c r="R217" s="156">
        <f t="shared" si="22"/>
        <v>140802</v>
      </c>
      <c r="S217" s="138">
        <f t="shared" si="46"/>
        <v>2.8053578784392266E-2</v>
      </c>
      <c r="T217" s="43">
        <f t="shared" si="48"/>
        <v>3.7160047113252194E-2</v>
      </c>
      <c r="U217" s="110"/>
      <c r="V217" s="302"/>
    </row>
    <row r="218" spans="1:22" x14ac:dyDescent="0.25">
      <c r="A218" s="56">
        <v>44109</v>
      </c>
      <c r="B218" s="200">
        <v>11242</v>
      </c>
      <c r="C218" s="190">
        <f t="shared" si="45"/>
        <v>809728</v>
      </c>
      <c r="D218" s="190">
        <v>450</v>
      </c>
      <c r="E218" s="190">
        <f t="shared" si="44"/>
        <v>21462</v>
      </c>
      <c r="F218" s="190">
        <f t="shared" si="39"/>
        <v>12345</v>
      </c>
      <c r="G218" s="218">
        <v>649017</v>
      </c>
      <c r="H218" s="201">
        <v>3978</v>
      </c>
      <c r="I218" s="190">
        <v>20263</v>
      </c>
      <c r="J218" s="4">
        <f t="shared" si="29"/>
        <v>2041217</v>
      </c>
      <c r="K218" s="7">
        <v>1508</v>
      </c>
      <c r="L218" s="7">
        <v>1113469</v>
      </c>
      <c r="M218" s="27">
        <f t="shared" si="47"/>
        <v>1114977</v>
      </c>
      <c r="N218" s="141">
        <v>7503</v>
      </c>
      <c r="O218" s="141">
        <v>162682</v>
      </c>
      <c r="P218" s="141">
        <v>544916</v>
      </c>
      <c r="Q218" s="121">
        <f t="shared" si="42"/>
        <v>94627</v>
      </c>
      <c r="R218" s="156">
        <f t="shared" si="22"/>
        <v>139249</v>
      </c>
      <c r="S218" s="138">
        <f t="shared" si="46"/>
        <v>2.8567530107936143E-2</v>
      </c>
      <c r="T218" s="43">
        <f t="shared" si="48"/>
        <v>3.7174064412874262E-2</v>
      </c>
      <c r="U218" s="110"/>
      <c r="V218" s="302"/>
    </row>
    <row r="219" spans="1:22" x14ac:dyDescent="0.25">
      <c r="A219" s="56">
        <v>44110</v>
      </c>
      <c r="B219" s="200">
        <v>14740</v>
      </c>
      <c r="C219" s="190">
        <f t="shared" si="45"/>
        <v>824468</v>
      </c>
      <c r="D219" s="190">
        <v>359</v>
      </c>
      <c r="E219" s="190">
        <f t="shared" si="44"/>
        <v>21821</v>
      </c>
      <c r="F219" s="190">
        <f t="shared" si="39"/>
        <v>11255</v>
      </c>
      <c r="G219" s="218">
        <v>660272</v>
      </c>
      <c r="H219" s="201">
        <v>4007</v>
      </c>
      <c r="I219" s="190">
        <v>26481</v>
      </c>
      <c r="J219" s="4">
        <f t="shared" si="29"/>
        <v>2067698</v>
      </c>
      <c r="K219" s="7">
        <v>1528</v>
      </c>
      <c r="L219" s="7">
        <v>1127417</v>
      </c>
      <c r="M219" s="27">
        <f t="shared" si="47"/>
        <v>1128945</v>
      </c>
      <c r="N219" s="141">
        <v>7581</v>
      </c>
      <c r="O219" s="141">
        <v>165737</v>
      </c>
      <c r="P219" s="141">
        <v>556132</v>
      </c>
      <c r="Q219" s="121">
        <f t="shared" si="42"/>
        <v>95018</v>
      </c>
      <c r="R219" s="156">
        <f t="shared" si="22"/>
        <v>142375</v>
      </c>
      <c r="S219" s="138">
        <f t="shared" si="46"/>
        <v>2.8143985952589993E-2</v>
      </c>
      <c r="T219" s="43">
        <f t="shared" si="48"/>
        <v>3.7046783427162777E-2</v>
      </c>
      <c r="U219" s="110"/>
      <c r="V219" s="302"/>
    </row>
    <row r="220" spans="1:22" x14ac:dyDescent="0.25">
      <c r="A220" s="56">
        <v>44111</v>
      </c>
      <c r="B220" s="200">
        <v>16447</v>
      </c>
      <c r="C220" s="190">
        <f t="shared" si="45"/>
        <v>840915</v>
      </c>
      <c r="D220" s="190">
        <v>401</v>
      </c>
      <c r="E220" s="190">
        <f t="shared" si="44"/>
        <v>22222</v>
      </c>
      <c r="F220" s="190">
        <f t="shared" si="39"/>
        <v>10453</v>
      </c>
      <c r="G220" s="218">
        <v>670725</v>
      </c>
      <c r="H220" s="201">
        <v>3997</v>
      </c>
      <c r="I220" s="299">
        <v>29441</v>
      </c>
      <c r="J220" s="4">
        <f t="shared" si="29"/>
        <v>2097139</v>
      </c>
      <c r="K220" s="7">
        <v>1542</v>
      </c>
      <c r="L220" s="7">
        <v>1142661</v>
      </c>
      <c r="M220" s="27">
        <f t="shared" si="47"/>
        <v>1144203</v>
      </c>
      <c r="N220" s="141">
        <v>7669</v>
      </c>
      <c r="O220" s="141">
        <v>168593</v>
      </c>
      <c r="P220" s="141">
        <v>568246</v>
      </c>
      <c r="Q220" s="121">
        <f t="shared" si="42"/>
        <v>96407</v>
      </c>
      <c r="R220" s="156">
        <f t="shared" si="22"/>
        <v>147968</v>
      </c>
      <c r="S220" s="138">
        <f t="shared" si="46"/>
        <v>2.7012597318339101E-2</v>
      </c>
      <c r="T220" s="43">
        <f t="shared" si="48"/>
        <v>3.6931228010696128E-2</v>
      </c>
      <c r="U220" s="110"/>
      <c r="V220" s="302"/>
    </row>
    <row r="221" spans="1:22" x14ac:dyDescent="0.25">
      <c r="A221" s="56">
        <v>44112</v>
      </c>
      <c r="B221" s="190">
        <v>15454</v>
      </c>
      <c r="C221" s="190">
        <f t="shared" si="45"/>
        <v>856369</v>
      </c>
      <c r="D221" s="190">
        <v>484</v>
      </c>
      <c r="E221" s="190">
        <f t="shared" si="44"/>
        <v>22706</v>
      </c>
      <c r="F221" s="190">
        <f t="shared" si="39"/>
        <v>14119</v>
      </c>
      <c r="G221" s="218">
        <v>684844</v>
      </c>
      <c r="H221" s="201">
        <v>4043</v>
      </c>
      <c r="I221" s="190">
        <v>25841</v>
      </c>
      <c r="J221" s="4">
        <f t="shared" si="29"/>
        <v>2122980</v>
      </c>
      <c r="K221" s="7">
        <v>1544</v>
      </c>
      <c r="L221" s="7">
        <v>1155668</v>
      </c>
      <c r="M221" s="27">
        <f t="shared" si="47"/>
        <v>1157212</v>
      </c>
      <c r="N221" s="141">
        <v>7761</v>
      </c>
      <c r="O221" s="141">
        <v>171322</v>
      </c>
      <c r="P221" s="141">
        <v>578517</v>
      </c>
      <c r="Q221" s="121">
        <f t="shared" si="42"/>
        <v>98769</v>
      </c>
      <c r="R221" s="156">
        <f t="shared" si="22"/>
        <v>148819</v>
      </c>
      <c r="S221" s="138">
        <f t="shared" ref="S221:S227" si="49">H221/(C221-E221-G221)</f>
        <v>2.7167229990794187E-2</v>
      </c>
      <c r="T221" s="43">
        <f t="shared" si="48"/>
        <v>3.7001065740200567E-2</v>
      </c>
      <c r="U221" s="110"/>
      <c r="V221" s="302"/>
    </row>
    <row r="222" spans="1:22" x14ac:dyDescent="0.25">
      <c r="A222" s="119">
        <v>44113</v>
      </c>
      <c r="B222" s="197">
        <v>15099</v>
      </c>
      <c r="C222" s="190">
        <f t="shared" si="45"/>
        <v>871468</v>
      </c>
      <c r="D222" s="211">
        <v>514</v>
      </c>
      <c r="E222" s="197">
        <f t="shared" si="44"/>
        <v>23220</v>
      </c>
      <c r="F222" s="190">
        <f t="shared" si="39"/>
        <v>12297</v>
      </c>
      <c r="G222" s="218">
        <v>697141</v>
      </c>
      <c r="H222" s="201">
        <v>4092</v>
      </c>
      <c r="I222" s="197">
        <v>25174</v>
      </c>
      <c r="J222" s="4">
        <f t="shared" si="29"/>
        <v>2148154</v>
      </c>
      <c r="K222" s="47">
        <v>1564</v>
      </c>
      <c r="L222" s="47">
        <v>1172099</v>
      </c>
      <c r="M222" s="136">
        <f t="shared" si="47"/>
        <v>1173663</v>
      </c>
      <c r="N222" s="141">
        <v>7817</v>
      </c>
      <c r="O222" s="141">
        <v>174267</v>
      </c>
      <c r="P222" s="141">
        <v>588788</v>
      </c>
      <c r="Q222" s="121">
        <f t="shared" si="42"/>
        <v>100596</v>
      </c>
      <c r="R222" s="156">
        <f t="shared" ref="R222:R247" si="50">C222-E222-G222</f>
        <v>151107</v>
      </c>
      <c r="S222" s="138">
        <f t="shared" si="49"/>
        <v>2.7080148504040183E-2</v>
      </c>
      <c r="T222" s="43">
        <f t="shared" si="48"/>
        <v>3.7275216957173632E-2</v>
      </c>
      <c r="U222" s="110"/>
      <c r="V222" s="302"/>
    </row>
    <row r="223" spans="1:22" x14ac:dyDescent="0.25">
      <c r="A223" s="120">
        <v>44114</v>
      </c>
      <c r="B223" s="201">
        <v>12414</v>
      </c>
      <c r="C223" s="190">
        <f t="shared" si="45"/>
        <v>883882</v>
      </c>
      <c r="D223" s="201">
        <v>357</v>
      </c>
      <c r="E223" s="201">
        <f t="shared" si="44"/>
        <v>23577</v>
      </c>
      <c r="F223" s="190">
        <f t="shared" si="39"/>
        <v>12323</v>
      </c>
      <c r="G223" s="218">
        <v>709464</v>
      </c>
      <c r="H223" s="201">
        <v>4200</v>
      </c>
      <c r="I223" s="201">
        <v>19871</v>
      </c>
      <c r="J223" s="4">
        <f t="shared" si="29"/>
        <v>2168025</v>
      </c>
      <c r="K223" s="122">
        <v>1566</v>
      </c>
      <c r="L223" s="122">
        <v>1182752</v>
      </c>
      <c r="M223" s="137">
        <f t="shared" si="47"/>
        <v>1184318</v>
      </c>
      <c r="N223" s="141">
        <v>7886</v>
      </c>
      <c r="O223" s="141">
        <v>176230</v>
      </c>
      <c r="P223" s="141">
        <v>594738</v>
      </c>
      <c r="Q223" s="121">
        <f t="shared" si="42"/>
        <v>105028</v>
      </c>
      <c r="R223" s="156">
        <f t="shared" si="50"/>
        <v>150841</v>
      </c>
      <c r="S223" s="138">
        <f t="shared" si="49"/>
        <v>2.7843888597927618E-2</v>
      </c>
      <c r="T223" s="43">
        <f t="shared" si="48"/>
        <v>3.7342899907343616E-2</v>
      </c>
      <c r="U223" s="110"/>
      <c r="V223" s="302"/>
    </row>
    <row r="224" spans="1:22" x14ac:dyDescent="0.25">
      <c r="A224" s="144">
        <v>44115</v>
      </c>
      <c r="B224" s="202">
        <v>10324</v>
      </c>
      <c r="C224" s="197">
        <f t="shared" si="45"/>
        <v>894206</v>
      </c>
      <c r="D224" s="202">
        <v>283</v>
      </c>
      <c r="E224" s="202">
        <f t="shared" si="44"/>
        <v>23860</v>
      </c>
      <c r="F224" s="190">
        <f t="shared" si="39"/>
        <v>11916</v>
      </c>
      <c r="G224" s="218">
        <v>721380</v>
      </c>
      <c r="H224" s="202">
        <v>4237</v>
      </c>
      <c r="I224" s="202">
        <v>14237</v>
      </c>
      <c r="J224" s="4">
        <f t="shared" si="29"/>
        <v>2182262</v>
      </c>
      <c r="K224" s="146">
        <v>1567</v>
      </c>
      <c r="L224" s="146">
        <v>1189378</v>
      </c>
      <c r="M224" s="151">
        <f t="shared" si="47"/>
        <v>1190945</v>
      </c>
      <c r="N224" s="147">
        <v>7932</v>
      </c>
      <c r="O224" s="147">
        <v>177557</v>
      </c>
      <c r="P224" s="147">
        <v>599352</v>
      </c>
      <c r="Q224" s="145">
        <f t="shared" si="42"/>
        <v>109365</v>
      </c>
      <c r="R224" s="156">
        <f t="shared" si="50"/>
        <v>148966</v>
      </c>
      <c r="S224" s="148">
        <f t="shared" si="49"/>
        <v>2.8442731898554032E-2</v>
      </c>
      <c r="T224" s="114">
        <f t="shared" si="48"/>
        <v>3.7272688929261562E-2</v>
      </c>
      <c r="U224" s="110"/>
      <c r="V224" s="302"/>
    </row>
    <row r="225" spans="1:22" x14ac:dyDescent="0.25">
      <c r="A225" s="116">
        <v>44116</v>
      </c>
      <c r="B225" s="190">
        <v>9524</v>
      </c>
      <c r="C225" s="190">
        <f t="shared" si="45"/>
        <v>903730</v>
      </c>
      <c r="D225" s="190">
        <v>318</v>
      </c>
      <c r="E225" s="190">
        <f t="shared" si="44"/>
        <v>24178</v>
      </c>
      <c r="F225" s="190">
        <f t="shared" si="39"/>
        <v>11202</v>
      </c>
      <c r="G225" s="219">
        <v>732582</v>
      </c>
      <c r="H225" s="190">
        <v>4287</v>
      </c>
      <c r="I225" s="190">
        <v>13956</v>
      </c>
      <c r="J225" s="4">
        <f t="shared" si="29"/>
        <v>2196218</v>
      </c>
      <c r="K225" s="7">
        <v>1567</v>
      </c>
      <c r="L225" s="7">
        <v>1196534</v>
      </c>
      <c r="M225" s="11">
        <f t="shared" si="47"/>
        <v>1198101</v>
      </c>
      <c r="N225" s="8">
        <v>7963</v>
      </c>
      <c r="O225" s="8">
        <v>179298</v>
      </c>
      <c r="P225" s="8">
        <v>608522</v>
      </c>
      <c r="Q225" s="4">
        <f t="shared" si="42"/>
        <v>107947</v>
      </c>
      <c r="R225" s="156">
        <f t="shared" si="50"/>
        <v>146970</v>
      </c>
      <c r="S225" s="53">
        <f t="shared" si="49"/>
        <v>2.9169218207797509E-2</v>
      </c>
      <c r="T225" s="43">
        <f t="shared" si="48"/>
        <v>3.7072928390276212E-2</v>
      </c>
      <c r="U225" s="110"/>
      <c r="V225" s="302"/>
    </row>
    <row r="226" spans="1:22" x14ac:dyDescent="0.25">
      <c r="A226" s="116">
        <v>44117</v>
      </c>
      <c r="B226" s="190">
        <v>13305</v>
      </c>
      <c r="C226" s="190">
        <f t="shared" si="45"/>
        <v>917035</v>
      </c>
      <c r="D226" s="190">
        <v>384</v>
      </c>
      <c r="E226" s="190">
        <f t="shared" si="44"/>
        <v>24562</v>
      </c>
      <c r="F226" s="190">
        <f t="shared" si="39"/>
        <v>9653</v>
      </c>
      <c r="G226" s="219">
        <v>742235</v>
      </c>
      <c r="H226" s="190">
        <v>4294</v>
      </c>
      <c r="I226" s="190">
        <v>20544</v>
      </c>
      <c r="J226" s="4">
        <f t="shared" si="29"/>
        <v>2216762</v>
      </c>
      <c r="K226" s="7">
        <v>1574</v>
      </c>
      <c r="L226" s="7">
        <v>1207475</v>
      </c>
      <c r="M226" s="7">
        <f t="shared" ref="M226:M231" si="51">K226+L226</f>
        <v>1209049</v>
      </c>
      <c r="N226" s="8">
        <v>8033</v>
      </c>
      <c r="O226" s="8">
        <v>182045</v>
      </c>
      <c r="P226" s="8">
        <v>619199</v>
      </c>
      <c r="Q226" s="4">
        <f t="shared" si="42"/>
        <v>107758</v>
      </c>
      <c r="R226" s="156">
        <f t="shared" si="50"/>
        <v>150238</v>
      </c>
      <c r="S226" s="53">
        <f t="shared" si="49"/>
        <v>2.8581317642673625E-2</v>
      </c>
      <c r="T226" s="43">
        <f t="shared" si="48"/>
        <v>3.694650563553796E-2</v>
      </c>
      <c r="U226" s="110"/>
      <c r="V226" s="302"/>
    </row>
    <row r="227" spans="1:22" x14ac:dyDescent="0.25">
      <c r="A227" s="116">
        <v>44118</v>
      </c>
      <c r="B227" s="190">
        <v>14932</v>
      </c>
      <c r="C227" s="190">
        <f t="shared" si="45"/>
        <v>931967</v>
      </c>
      <c r="D227" s="190">
        <v>350</v>
      </c>
      <c r="E227" s="190">
        <f t="shared" si="44"/>
        <v>24912</v>
      </c>
      <c r="F227" s="190">
        <f t="shared" si="39"/>
        <v>8911</v>
      </c>
      <c r="G227" s="219">
        <v>751146</v>
      </c>
      <c r="H227" s="190">
        <v>4316</v>
      </c>
      <c r="I227" s="190">
        <v>23519</v>
      </c>
      <c r="J227" s="4">
        <f t="shared" si="29"/>
        <v>2240281</v>
      </c>
      <c r="K227" s="7">
        <v>1574</v>
      </c>
      <c r="L227" s="7">
        <v>1219715</v>
      </c>
      <c r="M227" s="7">
        <f t="shared" si="51"/>
        <v>1221289</v>
      </c>
      <c r="N227" s="8">
        <v>8098</v>
      </c>
      <c r="O227" s="8">
        <v>184890</v>
      </c>
      <c r="P227" s="8">
        <v>629734</v>
      </c>
      <c r="Q227" s="4">
        <f t="shared" si="42"/>
        <v>109245</v>
      </c>
      <c r="R227" s="156">
        <f t="shared" si="50"/>
        <v>155909</v>
      </c>
      <c r="S227" s="53">
        <f t="shared" si="49"/>
        <v>2.7682814975402318E-2</v>
      </c>
      <c r="T227" s="43">
        <f t="shared" si="48"/>
        <v>3.6728952947663603E-2</v>
      </c>
      <c r="U227" s="110"/>
      <c r="V227" s="302"/>
    </row>
    <row r="228" spans="1:22" x14ac:dyDescent="0.25">
      <c r="A228" s="116">
        <v>44119</v>
      </c>
      <c r="B228" s="203">
        <v>17096</v>
      </c>
      <c r="C228" s="190">
        <f t="shared" si="45"/>
        <v>949063</v>
      </c>
      <c r="D228" s="190">
        <v>421</v>
      </c>
      <c r="E228" s="190">
        <f t="shared" si="44"/>
        <v>25333</v>
      </c>
      <c r="F228" s="190">
        <f t="shared" si="39"/>
        <v>13713</v>
      </c>
      <c r="G228" s="219">
        <v>764859</v>
      </c>
      <c r="H228" s="190">
        <v>4278</v>
      </c>
      <c r="I228" s="190">
        <v>27662</v>
      </c>
      <c r="J228" s="4">
        <f t="shared" si="29"/>
        <v>2267943</v>
      </c>
      <c r="K228" s="7">
        <v>1575</v>
      </c>
      <c r="L228" s="7">
        <v>1234321</v>
      </c>
      <c r="M228" s="7">
        <f t="shared" si="51"/>
        <v>1235896</v>
      </c>
      <c r="N228" s="8">
        <v>8172</v>
      </c>
      <c r="O228" s="8">
        <v>187747</v>
      </c>
      <c r="P228" s="8">
        <v>642465</v>
      </c>
      <c r="Q228" s="4">
        <f t="shared" si="42"/>
        <v>110679</v>
      </c>
      <c r="R228" s="156">
        <f t="shared" si="50"/>
        <v>158871</v>
      </c>
      <c r="S228" s="53">
        <f t="shared" ref="S228:S245" si="52">H228/(C228-E228-G228)</f>
        <v>2.6927507222841172E-2</v>
      </c>
      <c r="T228" s="43">
        <f t="shared" si="48"/>
        <v>3.6648896540250421E-2</v>
      </c>
      <c r="U228" s="110"/>
      <c r="V228" s="302"/>
    </row>
    <row r="229" spans="1:22" x14ac:dyDescent="0.25">
      <c r="A229" s="116">
        <v>44120</v>
      </c>
      <c r="B229" s="190">
        <v>16546</v>
      </c>
      <c r="C229" s="190">
        <f t="shared" si="45"/>
        <v>965609</v>
      </c>
      <c r="D229" s="190">
        <v>379</v>
      </c>
      <c r="E229" s="190">
        <f t="shared" si="44"/>
        <v>25712</v>
      </c>
      <c r="F229" s="190">
        <f t="shared" si="39"/>
        <v>13642</v>
      </c>
      <c r="G229" s="219">
        <v>778501</v>
      </c>
      <c r="H229" s="190">
        <v>4346</v>
      </c>
      <c r="I229" s="190">
        <v>27412</v>
      </c>
      <c r="J229" s="4">
        <f t="shared" si="29"/>
        <v>2295355</v>
      </c>
      <c r="K229" s="7">
        <v>1597</v>
      </c>
      <c r="L229" s="7">
        <v>1248101</v>
      </c>
      <c r="M229" s="7">
        <f t="shared" si="51"/>
        <v>1249698</v>
      </c>
      <c r="N229" s="8">
        <v>8249</v>
      </c>
      <c r="O229" s="8">
        <v>190484</v>
      </c>
      <c r="P229" s="8">
        <v>653179</v>
      </c>
      <c r="Q229" s="4">
        <f t="shared" si="42"/>
        <v>113697</v>
      </c>
      <c r="R229" s="156">
        <f t="shared" si="50"/>
        <v>161396</v>
      </c>
      <c r="S229" s="53">
        <f t="shared" si="52"/>
        <v>2.6927557064611266E-2</v>
      </c>
      <c r="T229" s="43">
        <f t="shared" si="48"/>
        <v>3.6601545373275403E-2</v>
      </c>
      <c r="U229" s="110"/>
      <c r="V229" s="302"/>
    </row>
    <row r="230" spans="1:22" x14ac:dyDescent="0.25">
      <c r="A230" s="116">
        <v>44121</v>
      </c>
      <c r="B230" s="190">
        <v>13510</v>
      </c>
      <c r="C230" s="190">
        <f t="shared" si="45"/>
        <v>979119</v>
      </c>
      <c r="D230" s="190">
        <v>383</v>
      </c>
      <c r="E230" s="190">
        <f t="shared" si="44"/>
        <v>26095</v>
      </c>
      <c r="F230" s="190">
        <f t="shared" si="39"/>
        <v>12673</v>
      </c>
      <c r="G230" s="219">
        <v>791174</v>
      </c>
      <c r="H230" s="190">
        <v>4386</v>
      </c>
      <c r="I230" s="190">
        <v>20955</v>
      </c>
      <c r="J230" s="4">
        <f t="shared" si="29"/>
        <v>2316310</v>
      </c>
      <c r="K230" s="7">
        <v>1611</v>
      </c>
      <c r="L230" s="7">
        <v>1260920</v>
      </c>
      <c r="M230" s="7">
        <f t="shared" si="51"/>
        <v>1262531</v>
      </c>
      <c r="N230" s="8">
        <v>8311</v>
      </c>
      <c r="O230" s="8">
        <v>192192</v>
      </c>
      <c r="P230" s="8">
        <v>661955</v>
      </c>
      <c r="Q230" s="4">
        <f t="shared" si="42"/>
        <v>116661</v>
      </c>
      <c r="R230" s="156">
        <f t="shared" si="50"/>
        <v>161850</v>
      </c>
      <c r="S230" s="53">
        <f t="shared" si="52"/>
        <v>2.7099165894346616E-2</v>
      </c>
      <c r="T230" s="43">
        <f t="shared" si="48"/>
        <v>3.6685059571925631E-2</v>
      </c>
      <c r="U230" s="110"/>
      <c r="V230" s="302"/>
    </row>
    <row r="231" spans="1:22" x14ac:dyDescent="0.25">
      <c r="A231" s="116">
        <v>44122</v>
      </c>
      <c r="B231" s="190">
        <v>10561</v>
      </c>
      <c r="C231" s="190">
        <f t="shared" ref="C231:C241" si="53">C230+B231</f>
        <v>989680</v>
      </c>
      <c r="D231" s="190">
        <v>159</v>
      </c>
      <c r="E231" s="190">
        <f t="shared" ref="E231:E239" si="54">E230+D231</f>
        <v>26254</v>
      </c>
      <c r="F231" s="190">
        <f t="shared" si="39"/>
        <v>12791</v>
      </c>
      <c r="G231" s="219">
        <v>803965</v>
      </c>
      <c r="H231" s="190">
        <v>4387</v>
      </c>
      <c r="I231" s="190">
        <v>13890</v>
      </c>
      <c r="J231" s="4">
        <f t="shared" si="29"/>
        <v>2330200</v>
      </c>
      <c r="K231" s="7">
        <v>1617</v>
      </c>
      <c r="L231" s="7">
        <v>1269203</v>
      </c>
      <c r="M231" s="4">
        <f t="shared" si="51"/>
        <v>1270820</v>
      </c>
      <c r="N231" s="8">
        <v>8370</v>
      </c>
      <c r="O231" s="8">
        <v>193297</v>
      </c>
      <c r="P231" s="8">
        <v>669231</v>
      </c>
      <c r="Q231" s="4">
        <f t="shared" si="42"/>
        <v>118782</v>
      </c>
      <c r="R231" s="156">
        <f t="shared" si="50"/>
        <v>159461</v>
      </c>
      <c r="S231" s="53">
        <f t="shared" si="52"/>
        <v>2.7511429126871146E-2</v>
      </c>
      <c r="T231" s="43">
        <f t="shared" si="48"/>
        <v>3.630595797171194E-2</v>
      </c>
      <c r="U231" s="110"/>
      <c r="V231" s="302"/>
    </row>
    <row r="232" spans="1:22" x14ac:dyDescent="0.25">
      <c r="A232" s="116">
        <v>44123</v>
      </c>
      <c r="B232" s="190">
        <v>12982</v>
      </c>
      <c r="C232" s="190">
        <f t="shared" si="53"/>
        <v>1002662</v>
      </c>
      <c r="D232" s="190">
        <v>448</v>
      </c>
      <c r="E232" s="190">
        <f t="shared" si="54"/>
        <v>26702</v>
      </c>
      <c r="F232" s="190">
        <f t="shared" si="39"/>
        <v>12282</v>
      </c>
      <c r="G232" s="219">
        <v>816247</v>
      </c>
      <c r="H232" s="190">
        <v>4392</v>
      </c>
      <c r="I232" s="190">
        <v>28395</v>
      </c>
      <c r="J232" s="4">
        <f t="shared" si="29"/>
        <v>2358595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56">
        <f t="shared" si="50"/>
        <v>159713</v>
      </c>
      <c r="S232" s="53">
        <f t="shared" si="52"/>
        <v>2.7499326917658551E-2</v>
      </c>
      <c r="T232" s="43">
        <f t="shared" si="48"/>
        <v>3.624989648510947E-2</v>
      </c>
      <c r="U232" s="110"/>
      <c r="V232" s="302"/>
    </row>
    <row r="233" spans="1:22" x14ac:dyDescent="0.25">
      <c r="A233" s="116">
        <v>44124</v>
      </c>
      <c r="B233" s="190">
        <v>16337</v>
      </c>
      <c r="C233" s="190">
        <f t="shared" si="53"/>
        <v>1018999</v>
      </c>
      <c r="D233" s="190">
        <v>381</v>
      </c>
      <c r="E233" s="190">
        <f t="shared" si="54"/>
        <v>27083</v>
      </c>
      <c r="F233" s="190">
        <f t="shared" si="39"/>
        <v>13400</v>
      </c>
      <c r="G233" s="219">
        <v>829647</v>
      </c>
      <c r="H233" s="190">
        <v>4451</v>
      </c>
      <c r="I233" s="190">
        <v>37474</v>
      </c>
      <c r="J233" s="4">
        <f t="shared" si="29"/>
        <v>2396069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3">
        <f>C233-N233-O233-P233</f>
        <v>121503</v>
      </c>
      <c r="R233" s="156">
        <f t="shared" si="50"/>
        <v>162269</v>
      </c>
      <c r="S233" s="53">
        <f t="shared" si="52"/>
        <v>2.7429761692005252E-2</v>
      </c>
      <c r="T233" s="43">
        <f t="shared" ref="T233:T245" si="55">E233/C213</f>
        <v>3.6062535203015708E-2</v>
      </c>
      <c r="U233" s="110"/>
      <c r="V233" s="302"/>
    </row>
    <row r="234" spans="1:22" x14ac:dyDescent="0.25">
      <c r="A234" s="116">
        <v>44125</v>
      </c>
      <c r="B234" s="203">
        <v>18326</v>
      </c>
      <c r="C234" s="190">
        <f t="shared" si="53"/>
        <v>1037325</v>
      </c>
      <c r="D234" s="190">
        <v>421</v>
      </c>
      <c r="E234" s="190">
        <f t="shared" si="54"/>
        <v>27504</v>
      </c>
      <c r="F234" s="190">
        <f t="shared" si="39"/>
        <v>10873</v>
      </c>
      <c r="G234" s="219">
        <v>840520</v>
      </c>
      <c r="H234" s="190">
        <v>4573</v>
      </c>
      <c r="I234" s="190">
        <v>38340</v>
      </c>
      <c r="J234" s="4">
        <f t="shared" ref="J234:J297" si="56">J235-I235</f>
        <v>2434409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3">
        <f>C234-N234-O234-P234</f>
        <v>124454</v>
      </c>
      <c r="R234" s="156">
        <f t="shared" si="50"/>
        <v>169301</v>
      </c>
      <c r="S234" s="53">
        <f t="shared" si="52"/>
        <v>2.7011063136071257E-2</v>
      </c>
      <c r="T234" s="43">
        <f t="shared" si="55"/>
        <v>3.5952847182098874E-2</v>
      </c>
      <c r="U234" s="110"/>
      <c r="V234" s="302"/>
    </row>
    <row r="235" spans="1:22" x14ac:dyDescent="0.25">
      <c r="A235" s="116">
        <v>44126</v>
      </c>
      <c r="B235" s="190">
        <v>16325</v>
      </c>
      <c r="C235" s="190">
        <f t="shared" si="53"/>
        <v>1053650</v>
      </c>
      <c r="D235" s="188">
        <v>437</v>
      </c>
      <c r="E235" s="188">
        <f t="shared" si="54"/>
        <v>27941</v>
      </c>
      <c r="F235" s="190">
        <f t="shared" si="39"/>
        <v>11334</v>
      </c>
      <c r="G235" s="213">
        <v>851854</v>
      </c>
      <c r="H235" s="188">
        <v>4611</v>
      </c>
      <c r="I235" s="188">
        <v>39196</v>
      </c>
      <c r="J235" s="4">
        <f t="shared" si="56"/>
        <v>2473605</v>
      </c>
      <c r="K235" s="155">
        <v>1832</v>
      </c>
      <c r="L235" s="155">
        <v>1332741</v>
      </c>
      <c r="M235" s="155">
        <f>L235+K235</f>
        <v>1334573</v>
      </c>
      <c r="N235" s="155">
        <v>8614</v>
      </c>
      <c r="O235" s="155">
        <v>205085</v>
      </c>
      <c r="P235" s="155">
        <v>714929</v>
      </c>
      <c r="Q235" s="155">
        <f>C235-N235-O235-P235</f>
        <v>125022</v>
      </c>
      <c r="R235" s="156">
        <f t="shared" si="50"/>
        <v>173855</v>
      </c>
      <c r="S235" s="53">
        <f t="shared" si="52"/>
        <v>2.652210175145955E-2</v>
      </c>
      <c r="T235" s="43">
        <f t="shared" si="55"/>
        <v>3.5836083361442832E-2</v>
      </c>
      <c r="U235" s="110"/>
      <c r="V235" s="302"/>
    </row>
    <row r="236" spans="1:22" x14ac:dyDescent="0.25">
      <c r="A236" s="116">
        <v>44127</v>
      </c>
      <c r="B236" s="190">
        <v>15718</v>
      </c>
      <c r="C236" s="190">
        <f t="shared" si="53"/>
        <v>1069368</v>
      </c>
      <c r="D236" s="188">
        <v>380</v>
      </c>
      <c r="E236" s="188">
        <f t="shared" si="54"/>
        <v>28321</v>
      </c>
      <c r="F236" s="190">
        <f t="shared" si="39"/>
        <v>14841</v>
      </c>
      <c r="G236" s="213">
        <v>866695</v>
      </c>
      <c r="H236" s="188">
        <v>4696</v>
      </c>
      <c r="I236" s="188">
        <v>35671</v>
      </c>
      <c r="J236" s="4">
        <f t="shared" si="56"/>
        <v>2509276</v>
      </c>
      <c r="K236" s="155">
        <v>1839</v>
      </c>
      <c r="L236" s="155">
        <v>1348372</v>
      </c>
      <c r="M236" s="155">
        <f t="shared" ref="M236:M299" si="57">L236+K236</f>
        <v>1350211</v>
      </c>
      <c r="N236" s="155">
        <v>8671</v>
      </c>
      <c r="O236" s="157">
        <v>208116</v>
      </c>
      <c r="P236" s="157">
        <v>727467</v>
      </c>
      <c r="Q236" s="155">
        <f t="shared" ref="Q236:Q299" si="58">C236-N236-O236-P236</f>
        <v>125114</v>
      </c>
      <c r="R236" s="156">
        <f t="shared" si="50"/>
        <v>174352</v>
      </c>
      <c r="S236" s="53">
        <f t="shared" si="52"/>
        <v>2.6934018537212077E-2</v>
      </c>
      <c r="T236" s="43">
        <f t="shared" si="55"/>
        <v>3.581228550690551E-2</v>
      </c>
      <c r="U236" s="110"/>
      <c r="V236" s="302"/>
    </row>
    <row r="237" spans="1:22" x14ac:dyDescent="0.25">
      <c r="A237" s="116">
        <v>44128</v>
      </c>
      <c r="B237" s="190">
        <v>11968</v>
      </c>
      <c r="C237" s="190">
        <f t="shared" si="53"/>
        <v>1081336</v>
      </c>
      <c r="D237" s="188">
        <v>273</v>
      </c>
      <c r="E237" s="188">
        <f t="shared" si="54"/>
        <v>28594</v>
      </c>
      <c r="F237" s="190">
        <f t="shared" si="39"/>
        <v>14418</v>
      </c>
      <c r="G237" s="213">
        <v>881113</v>
      </c>
      <c r="H237" s="188">
        <v>4850</v>
      </c>
      <c r="I237" s="188">
        <v>27027</v>
      </c>
      <c r="J237" s="4">
        <f t="shared" si="56"/>
        <v>2536303</v>
      </c>
      <c r="K237" s="155">
        <v>1868</v>
      </c>
      <c r="L237" s="155">
        <v>1359984</v>
      </c>
      <c r="M237" s="155">
        <f t="shared" si="57"/>
        <v>1361852</v>
      </c>
      <c r="N237" s="155">
        <v>8708</v>
      </c>
      <c r="O237" s="157">
        <v>210053</v>
      </c>
      <c r="P237" s="157">
        <v>735763</v>
      </c>
      <c r="Q237" s="155">
        <f t="shared" si="58"/>
        <v>126812</v>
      </c>
      <c r="R237" s="156">
        <f t="shared" si="50"/>
        <v>171629</v>
      </c>
      <c r="S237" s="53">
        <f t="shared" si="52"/>
        <v>2.8258627621206206E-2</v>
      </c>
      <c r="T237" s="43">
        <f t="shared" si="55"/>
        <v>3.5810270937749689E-2</v>
      </c>
      <c r="U237" s="110"/>
      <c r="V237" s="302"/>
    </row>
    <row r="238" spans="1:22" x14ac:dyDescent="0.25">
      <c r="A238" s="116">
        <v>44129</v>
      </c>
      <c r="B238" s="190">
        <v>9253</v>
      </c>
      <c r="C238" s="190">
        <f t="shared" si="53"/>
        <v>1090589</v>
      </c>
      <c r="D238" s="188">
        <v>282</v>
      </c>
      <c r="E238" s="188">
        <f t="shared" si="54"/>
        <v>28876</v>
      </c>
      <c r="F238" s="190">
        <f t="shared" si="39"/>
        <v>13706</v>
      </c>
      <c r="G238" s="213">
        <v>894819</v>
      </c>
      <c r="H238" s="188">
        <v>4863</v>
      </c>
      <c r="I238" s="188">
        <v>20303</v>
      </c>
      <c r="J238" s="4">
        <f t="shared" si="56"/>
        <v>2556606</v>
      </c>
      <c r="K238" s="155">
        <v>1904</v>
      </c>
      <c r="L238" s="155">
        <v>1367953</v>
      </c>
      <c r="M238" s="155">
        <f t="shared" si="57"/>
        <v>1369857</v>
      </c>
      <c r="N238" s="155">
        <v>8749</v>
      </c>
      <c r="O238" s="155">
        <v>211123</v>
      </c>
      <c r="P238" s="155">
        <v>741313</v>
      </c>
      <c r="Q238" s="155">
        <f t="shared" si="58"/>
        <v>129404</v>
      </c>
      <c r="R238" s="156">
        <f t="shared" si="50"/>
        <v>166894</v>
      </c>
      <c r="S238" s="53">
        <f t="shared" si="52"/>
        <v>2.9138255419607656E-2</v>
      </c>
      <c r="T238" s="43">
        <f t="shared" si="55"/>
        <v>3.5661357888080933E-2</v>
      </c>
      <c r="U238" s="110"/>
      <c r="V238" s="302"/>
    </row>
    <row r="239" spans="1:22" x14ac:dyDescent="0.25">
      <c r="A239" s="116">
        <v>44130</v>
      </c>
      <c r="B239" s="190">
        <v>11712</v>
      </c>
      <c r="C239" s="190">
        <f t="shared" si="53"/>
        <v>1102301</v>
      </c>
      <c r="D239" s="188">
        <v>405</v>
      </c>
      <c r="E239" s="188">
        <f t="shared" si="54"/>
        <v>29281</v>
      </c>
      <c r="F239" s="190">
        <f t="shared" si="39"/>
        <v>14767</v>
      </c>
      <c r="G239" s="213">
        <v>909586</v>
      </c>
      <c r="H239" s="188">
        <v>5038</v>
      </c>
      <c r="I239" s="188">
        <v>26448</v>
      </c>
      <c r="J239" s="4">
        <f t="shared" si="56"/>
        <v>2583054</v>
      </c>
      <c r="K239" s="155">
        <v>1956</v>
      </c>
      <c r="L239" s="155">
        <v>1378916</v>
      </c>
      <c r="M239" s="155">
        <f t="shared" si="57"/>
        <v>1380872</v>
      </c>
      <c r="N239" s="157">
        <v>8816</v>
      </c>
      <c r="O239" s="157">
        <v>213578</v>
      </c>
      <c r="P239" s="157">
        <v>753406</v>
      </c>
      <c r="Q239" s="155">
        <f t="shared" si="58"/>
        <v>126501</v>
      </c>
      <c r="R239" s="156">
        <f t="shared" si="50"/>
        <v>163434</v>
      </c>
      <c r="S239" s="53">
        <f t="shared" si="52"/>
        <v>3.082589913971389E-2</v>
      </c>
      <c r="T239" s="43">
        <f t="shared" si="55"/>
        <v>3.5515023020905603E-2</v>
      </c>
      <c r="U239" s="110"/>
      <c r="V239" s="302"/>
    </row>
    <row r="240" spans="1:22" x14ac:dyDescent="0.25">
      <c r="A240" s="116">
        <v>44131</v>
      </c>
      <c r="B240" s="190">
        <v>14308</v>
      </c>
      <c r="C240" s="190">
        <f t="shared" si="53"/>
        <v>1116609</v>
      </c>
      <c r="D240" s="188">
        <v>425</v>
      </c>
      <c r="E240" s="188">
        <f>E239+D240</f>
        <v>29706</v>
      </c>
      <c r="F240" s="190">
        <f t="shared" si="39"/>
        <v>11758</v>
      </c>
      <c r="G240" s="213">
        <v>921344</v>
      </c>
      <c r="H240" s="188">
        <v>4952</v>
      </c>
      <c r="I240" s="188">
        <v>32847</v>
      </c>
      <c r="J240" s="4">
        <f t="shared" si="56"/>
        <v>2615901</v>
      </c>
      <c r="K240" s="155">
        <v>2043</v>
      </c>
      <c r="L240" s="155">
        <v>1392805</v>
      </c>
      <c r="M240" s="155">
        <f t="shared" si="57"/>
        <v>1394848</v>
      </c>
      <c r="N240" s="155">
        <v>8868</v>
      </c>
      <c r="O240" s="155">
        <v>216480</v>
      </c>
      <c r="P240" s="155">
        <v>765831</v>
      </c>
      <c r="Q240" s="155">
        <f t="shared" si="58"/>
        <v>125430</v>
      </c>
      <c r="R240" s="156">
        <f t="shared" si="50"/>
        <v>165559</v>
      </c>
      <c r="S240" s="53">
        <f t="shared" si="52"/>
        <v>2.9910787091006832E-2</v>
      </c>
      <c r="T240" s="43">
        <f t="shared" si="55"/>
        <v>3.5325805818661814E-2</v>
      </c>
      <c r="U240" s="110"/>
      <c r="V240" s="302"/>
    </row>
    <row r="241" spans="1:24" x14ac:dyDescent="0.25">
      <c r="A241" s="116">
        <v>44132</v>
      </c>
      <c r="B241" s="190">
        <v>13924</v>
      </c>
      <c r="C241" s="190">
        <f t="shared" si="53"/>
        <v>1130533</v>
      </c>
      <c r="D241" s="188">
        <v>345</v>
      </c>
      <c r="E241" s="188">
        <f t="shared" ref="E241:E256" si="59">E240+D241</f>
        <v>30051</v>
      </c>
      <c r="F241" s="190">
        <f t="shared" si="39"/>
        <v>9803</v>
      </c>
      <c r="G241" s="213">
        <v>931147</v>
      </c>
      <c r="H241" s="188">
        <v>5037</v>
      </c>
      <c r="I241" s="188">
        <v>32827</v>
      </c>
      <c r="J241" s="4">
        <f t="shared" si="56"/>
        <v>2648728</v>
      </c>
      <c r="K241" s="155">
        <v>2109</v>
      </c>
      <c r="L241" s="155">
        <v>1406416</v>
      </c>
      <c r="M241" s="155">
        <f t="shared" si="57"/>
        <v>1408525</v>
      </c>
      <c r="N241" s="157">
        <v>8959</v>
      </c>
      <c r="O241" s="157">
        <v>219233</v>
      </c>
      <c r="P241" s="157">
        <v>777424</v>
      </c>
      <c r="Q241" s="155">
        <f t="shared" si="58"/>
        <v>124917</v>
      </c>
      <c r="R241" s="156">
        <f t="shared" si="50"/>
        <v>169335</v>
      </c>
      <c r="S241" s="53">
        <f t="shared" si="52"/>
        <v>2.9745770218797058E-2</v>
      </c>
      <c r="T241" s="43">
        <f t="shared" si="55"/>
        <v>3.5091181488353738E-2</v>
      </c>
      <c r="U241" s="110"/>
      <c r="V241" s="302"/>
      <c r="W241" s="63"/>
      <c r="X241" s="161"/>
    </row>
    <row r="242" spans="1:24" x14ac:dyDescent="0.25">
      <c r="A242" s="116">
        <v>44133</v>
      </c>
      <c r="B242" s="190">
        <v>13267</v>
      </c>
      <c r="C242" s="190">
        <f>C241+B242</f>
        <v>1143800</v>
      </c>
      <c r="D242" s="188">
        <v>370</v>
      </c>
      <c r="E242" s="188">
        <f t="shared" si="59"/>
        <v>30421</v>
      </c>
      <c r="F242" s="190">
        <f t="shared" si="39"/>
        <v>14987</v>
      </c>
      <c r="G242" s="213">
        <v>946134</v>
      </c>
      <c r="H242" s="188">
        <v>4981</v>
      </c>
      <c r="I242" s="188">
        <v>31568</v>
      </c>
      <c r="J242" s="4">
        <f t="shared" si="56"/>
        <v>2680296</v>
      </c>
      <c r="K242" s="155">
        <v>2160</v>
      </c>
      <c r="L242" s="155">
        <v>1420288</v>
      </c>
      <c r="M242" s="155">
        <f t="shared" si="57"/>
        <v>1422448</v>
      </c>
      <c r="N242" s="155">
        <v>9010</v>
      </c>
      <c r="O242" s="155">
        <v>221851</v>
      </c>
      <c r="P242" s="155">
        <v>788337</v>
      </c>
      <c r="Q242" s="155">
        <f t="shared" si="58"/>
        <v>124602</v>
      </c>
      <c r="R242" s="156">
        <f t="shared" si="50"/>
        <v>167245</v>
      </c>
      <c r="S242" s="53">
        <f t="shared" si="52"/>
        <v>2.9782654189960837E-2</v>
      </c>
      <c r="T242" s="43">
        <f t="shared" si="55"/>
        <v>3.4907764829001181E-2</v>
      </c>
      <c r="U242" s="110"/>
      <c r="V242" s="302"/>
      <c r="W242" s="63"/>
      <c r="X242" s="161"/>
    </row>
    <row r="243" spans="1:24" x14ac:dyDescent="0.25">
      <c r="A243" s="116">
        <v>44134</v>
      </c>
      <c r="B243" s="190">
        <v>13379</v>
      </c>
      <c r="C243" s="190">
        <f>C242+B243</f>
        <v>1157179</v>
      </c>
      <c r="D243" s="188">
        <v>349</v>
      </c>
      <c r="E243" s="188">
        <f t="shared" si="59"/>
        <v>30770</v>
      </c>
      <c r="F243" s="190">
        <f t="shared" si="39"/>
        <v>14967</v>
      </c>
      <c r="G243" s="213">
        <v>961101</v>
      </c>
      <c r="H243" s="188">
        <v>4981</v>
      </c>
      <c r="I243" s="188">
        <v>32761</v>
      </c>
      <c r="J243" s="4">
        <f t="shared" si="56"/>
        <v>2713057</v>
      </c>
      <c r="K243" s="155">
        <v>2198</v>
      </c>
      <c r="L243" s="155">
        <v>1435121</v>
      </c>
      <c r="M243" s="155">
        <f t="shared" si="57"/>
        <v>1437319</v>
      </c>
      <c r="N243" s="155">
        <v>9073</v>
      </c>
      <c r="O243" s="155">
        <v>224367</v>
      </c>
      <c r="P243" s="155">
        <v>799735</v>
      </c>
      <c r="Q243" s="155">
        <f t="shared" si="58"/>
        <v>124004</v>
      </c>
      <c r="R243" s="156">
        <f t="shared" si="50"/>
        <v>165308</v>
      </c>
      <c r="S243" s="53">
        <f t="shared" si="52"/>
        <v>3.0131633072809545E-2</v>
      </c>
      <c r="T243" s="43">
        <f t="shared" si="55"/>
        <v>3.4812339203649359E-2</v>
      </c>
      <c r="U243" s="110"/>
      <c r="V243" s="302"/>
      <c r="W243" s="63"/>
      <c r="X243" s="161"/>
    </row>
    <row r="244" spans="1:24" x14ac:dyDescent="0.25">
      <c r="A244" s="165">
        <v>44135</v>
      </c>
      <c r="B244" s="190">
        <v>9745</v>
      </c>
      <c r="C244" s="190">
        <f t="shared" ref="C244:C256" si="60">C243+B244</f>
        <v>1166924</v>
      </c>
      <c r="D244" s="188">
        <v>210</v>
      </c>
      <c r="E244" s="188">
        <f t="shared" si="59"/>
        <v>30980</v>
      </c>
      <c r="F244" s="190">
        <f t="shared" si="39"/>
        <v>12838</v>
      </c>
      <c r="G244" s="213">
        <v>973939</v>
      </c>
      <c r="H244" s="188">
        <v>4969</v>
      </c>
      <c r="I244" s="188">
        <v>26699</v>
      </c>
      <c r="J244" s="4">
        <f t="shared" si="56"/>
        <v>2739756</v>
      </c>
      <c r="K244" s="157">
        <v>2357</v>
      </c>
      <c r="L244" s="158">
        <v>1447945</v>
      </c>
      <c r="M244" s="155">
        <f t="shared" si="57"/>
        <v>1450302</v>
      </c>
      <c r="N244" s="157">
        <v>9103</v>
      </c>
      <c r="O244" s="157">
        <v>225845</v>
      </c>
      <c r="P244" s="157">
        <v>808139</v>
      </c>
      <c r="Q244" s="155">
        <f t="shared" si="58"/>
        <v>123837</v>
      </c>
      <c r="R244" s="156">
        <f t="shared" si="50"/>
        <v>162005</v>
      </c>
      <c r="S244" s="53">
        <f t="shared" si="52"/>
        <v>3.0671892842813492E-2</v>
      </c>
      <c r="T244" s="43">
        <f t="shared" si="55"/>
        <v>3.4645260711737562E-2</v>
      </c>
      <c r="U244" s="110"/>
      <c r="V244" s="302"/>
      <c r="W244" s="63"/>
      <c r="X244" s="161"/>
    </row>
    <row r="245" spans="1:24" x14ac:dyDescent="0.25">
      <c r="A245" s="165">
        <v>44136</v>
      </c>
      <c r="B245" s="190">
        <v>6609</v>
      </c>
      <c r="C245" s="190">
        <f t="shared" si="60"/>
        <v>1173533</v>
      </c>
      <c r="D245" s="188">
        <v>135</v>
      </c>
      <c r="E245" s="188">
        <f t="shared" si="59"/>
        <v>31115</v>
      </c>
      <c r="F245" s="190">
        <f t="shared" si="39"/>
        <v>11377</v>
      </c>
      <c r="G245" s="213">
        <v>985316</v>
      </c>
      <c r="H245" s="188">
        <v>5119</v>
      </c>
      <c r="I245" s="188">
        <v>15645</v>
      </c>
      <c r="J245" s="4">
        <f t="shared" si="56"/>
        <v>2755401</v>
      </c>
      <c r="K245" s="157">
        <v>2393</v>
      </c>
      <c r="L245" s="157">
        <v>1455146</v>
      </c>
      <c r="M245" s="155">
        <f t="shared" si="57"/>
        <v>1457539</v>
      </c>
      <c r="N245" s="157">
        <v>9123</v>
      </c>
      <c r="O245" s="157">
        <v>226864</v>
      </c>
      <c r="P245" s="157">
        <v>813376</v>
      </c>
      <c r="Q245" s="155">
        <f t="shared" si="58"/>
        <v>124170</v>
      </c>
      <c r="R245" s="156">
        <f t="shared" si="50"/>
        <v>157102</v>
      </c>
      <c r="S245" s="53">
        <f t="shared" si="52"/>
        <v>3.2583926366309787E-2</v>
      </c>
      <c r="T245" s="43">
        <f t="shared" si="55"/>
        <v>3.4429530943976633E-2</v>
      </c>
      <c r="U245" s="110"/>
      <c r="V245" s="302"/>
      <c r="W245" s="63"/>
      <c r="X245" s="161"/>
    </row>
    <row r="246" spans="1:24" x14ac:dyDescent="0.25">
      <c r="A246" s="116">
        <v>44137</v>
      </c>
      <c r="B246" s="190">
        <v>9598</v>
      </c>
      <c r="C246" s="190">
        <f t="shared" si="60"/>
        <v>1183131</v>
      </c>
      <c r="D246" s="188">
        <v>479</v>
      </c>
      <c r="E246" s="188">
        <f t="shared" si="59"/>
        <v>31594</v>
      </c>
      <c r="F246" s="190">
        <f t="shared" si="39"/>
        <v>12700</v>
      </c>
      <c r="G246" s="213">
        <v>998016</v>
      </c>
      <c r="H246" s="188">
        <v>4992</v>
      </c>
      <c r="I246" s="188">
        <v>249864</v>
      </c>
      <c r="J246" s="4">
        <f t="shared" si="56"/>
        <v>3005265</v>
      </c>
      <c r="K246" s="157">
        <v>2514</v>
      </c>
      <c r="L246" s="157">
        <v>1467420</v>
      </c>
      <c r="M246" s="155">
        <f t="shared" si="57"/>
        <v>1469934</v>
      </c>
      <c r="N246" s="157">
        <v>9159</v>
      </c>
      <c r="O246" s="157">
        <v>229301</v>
      </c>
      <c r="P246" s="157">
        <v>822808</v>
      </c>
      <c r="Q246" s="155">
        <f t="shared" si="58"/>
        <v>121863</v>
      </c>
      <c r="R246" s="156">
        <f t="shared" si="50"/>
        <v>153521</v>
      </c>
      <c r="S246" s="8">
        <f t="shared" ref="S246:S252" si="61">H246-H245</f>
        <v>-127</v>
      </c>
      <c r="T246" s="4"/>
      <c r="U246" s="110"/>
      <c r="V246" s="302"/>
      <c r="W246" s="63"/>
      <c r="X246" s="161"/>
    </row>
    <row r="247" spans="1:24" x14ac:dyDescent="0.25">
      <c r="A247" s="116">
        <v>44138</v>
      </c>
      <c r="B247" s="190">
        <v>12145</v>
      </c>
      <c r="C247" s="190">
        <f t="shared" si="60"/>
        <v>1195276</v>
      </c>
      <c r="D247" s="188">
        <v>429</v>
      </c>
      <c r="E247" s="188">
        <f t="shared" si="59"/>
        <v>32023</v>
      </c>
      <c r="F247" s="190">
        <f t="shared" si="39"/>
        <v>11262</v>
      </c>
      <c r="G247" s="213">
        <v>1009278</v>
      </c>
      <c r="H247" s="188">
        <v>4854</v>
      </c>
      <c r="I247" s="188">
        <v>30999</v>
      </c>
      <c r="J247" s="4">
        <f t="shared" si="56"/>
        <v>3036264</v>
      </c>
      <c r="K247" s="157">
        <v>2583</v>
      </c>
      <c r="L247" s="157">
        <v>1482833</v>
      </c>
      <c r="M247" s="155">
        <f t="shared" si="57"/>
        <v>1485416</v>
      </c>
      <c r="N247" s="157">
        <v>9211</v>
      </c>
      <c r="O247" s="157">
        <v>232229</v>
      </c>
      <c r="P247" s="157">
        <v>832741</v>
      </c>
      <c r="Q247" s="155">
        <f t="shared" si="58"/>
        <v>121095</v>
      </c>
      <c r="R247" s="156">
        <f t="shared" si="50"/>
        <v>153975</v>
      </c>
      <c r="S247" s="8">
        <f t="shared" si="61"/>
        <v>-138</v>
      </c>
      <c r="T247" s="4"/>
      <c r="U247" s="110"/>
      <c r="V247" s="302"/>
      <c r="W247" s="63"/>
      <c r="X247" s="161"/>
    </row>
    <row r="248" spans="1:24" x14ac:dyDescent="0.25">
      <c r="A248" s="116">
        <v>44139</v>
      </c>
      <c r="B248" s="190">
        <v>10652</v>
      </c>
      <c r="C248" s="190">
        <f t="shared" si="60"/>
        <v>1205928</v>
      </c>
      <c r="D248" s="188">
        <v>464</v>
      </c>
      <c r="E248" s="188">
        <f t="shared" si="59"/>
        <v>32487</v>
      </c>
      <c r="F248" s="190">
        <f t="shared" si="39"/>
        <v>8369</v>
      </c>
      <c r="G248" s="213">
        <v>1017647</v>
      </c>
      <c r="H248" s="188">
        <v>4816</v>
      </c>
      <c r="I248" s="188">
        <v>36435</v>
      </c>
      <c r="J248" s="4">
        <f t="shared" si="56"/>
        <v>3072699</v>
      </c>
      <c r="K248" s="157">
        <v>2640</v>
      </c>
      <c r="L248" s="157">
        <v>1503103</v>
      </c>
      <c r="M248" s="155">
        <f t="shared" si="57"/>
        <v>1505743</v>
      </c>
      <c r="N248" s="157">
        <v>9251</v>
      </c>
      <c r="O248" s="157">
        <v>234718</v>
      </c>
      <c r="P248" s="157">
        <v>842950</v>
      </c>
      <c r="Q248" s="155">
        <f t="shared" si="58"/>
        <v>119009</v>
      </c>
      <c r="R248" s="156">
        <f t="shared" ref="R248:R309" si="62">C248-E248-G248</f>
        <v>155794</v>
      </c>
      <c r="S248" s="57">
        <f t="shared" si="61"/>
        <v>-38</v>
      </c>
      <c r="T248" s="4"/>
      <c r="U248" s="110"/>
      <c r="V248" s="302"/>
      <c r="W248" s="63"/>
      <c r="X248" s="161"/>
    </row>
    <row r="249" spans="1:24" x14ac:dyDescent="0.25">
      <c r="A249" s="116">
        <v>44140</v>
      </c>
      <c r="B249" s="190">
        <v>11100</v>
      </c>
      <c r="C249" s="190">
        <f t="shared" si="60"/>
        <v>1217028</v>
      </c>
      <c r="D249" s="188">
        <v>246</v>
      </c>
      <c r="E249" s="188">
        <f t="shared" si="59"/>
        <v>32733</v>
      </c>
      <c r="F249" s="190">
        <f t="shared" si="39"/>
        <v>12490</v>
      </c>
      <c r="G249" s="213">
        <v>1030137</v>
      </c>
      <c r="H249" s="188">
        <v>4713</v>
      </c>
      <c r="I249" s="188">
        <v>28900</v>
      </c>
      <c r="J249" s="4">
        <f t="shared" si="56"/>
        <v>3101599</v>
      </c>
      <c r="K249" s="157">
        <v>2667</v>
      </c>
      <c r="L249" s="157">
        <v>1516132</v>
      </c>
      <c r="M249" s="155">
        <f t="shared" si="57"/>
        <v>1518799</v>
      </c>
      <c r="N249" s="157">
        <v>9294</v>
      </c>
      <c r="O249" s="157">
        <v>237018</v>
      </c>
      <c r="P249" s="157">
        <v>851916</v>
      </c>
      <c r="Q249" s="155">
        <f t="shared" si="58"/>
        <v>118800</v>
      </c>
      <c r="R249" s="156">
        <f t="shared" si="62"/>
        <v>154158</v>
      </c>
      <c r="S249" s="57">
        <f t="shared" si="61"/>
        <v>-103</v>
      </c>
      <c r="T249" s="4"/>
      <c r="U249" s="110"/>
      <c r="V249" s="302"/>
      <c r="W249" s="63"/>
      <c r="X249" s="161"/>
    </row>
    <row r="250" spans="1:24" x14ac:dyDescent="0.25">
      <c r="A250" s="116">
        <v>44141</v>
      </c>
      <c r="B250" s="190">
        <v>11786</v>
      </c>
      <c r="C250" s="190">
        <f t="shared" si="60"/>
        <v>1228814</v>
      </c>
      <c r="D250" s="188">
        <v>369</v>
      </c>
      <c r="E250" s="188">
        <f t="shared" si="59"/>
        <v>33102</v>
      </c>
      <c r="F250" s="190">
        <f t="shared" si="39"/>
        <v>12100</v>
      </c>
      <c r="G250" s="213">
        <v>1042237</v>
      </c>
      <c r="H250" s="188">
        <v>4666</v>
      </c>
      <c r="I250" s="188">
        <v>34727</v>
      </c>
      <c r="J250" s="4">
        <f t="shared" si="56"/>
        <v>3136326</v>
      </c>
      <c r="K250" s="157">
        <v>2702</v>
      </c>
      <c r="L250" s="157">
        <v>1534460</v>
      </c>
      <c r="M250" s="155">
        <f t="shared" si="57"/>
        <v>1537162</v>
      </c>
      <c r="N250" s="157">
        <v>9349</v>
      </c>
      <c r="O250" s="157">
        <v>239488</v>
      </c>
      <c r="P250" s="157">
        <v>861070</v>
      </c>
      <c r="Q250" s="155">
        <f t="shared" si="58"/>
        <v>118907</v>
      </c>
      <c r="R250" s="156">
        <f t="shared" si="62"/>
        <v>153475</v>
      </c>
      <c r="S250" s="57">
        <f t="shared" si="61"/>
        <v>-47</v>
      </c>
      <c r="T250" s="4"/>
      <c r="U250" s="110"/>
      <c r="V250" s="302"/>
      <c r="W250" s="63"/>
      <c r="X250" s="161"/>
    </row>
    <row r="251" spans="1:24" x14ac:dyDescent="0.25">
      <c r="A251" s="165">
        <v>44142</v>
      </c>
      <c r="B251" s="190">
        <v>8037</v>
      </c>
      <c r="C251" s="190">
        <f t="shared" si="60"/>
        <v>1236851</v>
      </c>
      <c r="D251" s="188">
        <v>212</v>
      </c>
      <c r="E251" s="188">
        <f t="shared" si="59"/>
        <v>33314</v>
      </c>
      <c r="F251" s="190">
        <f t="shared" si="39"/>
        <v>11076</v>
      </c>
      <c r="G251" s="213">
        <v>1053313</v>
      </c>
      <c r="H251" s="188">
        <v>4593</v>
      </c>
      <c r="I251" s="188">
        <v>37062</v>
      </c>
      <c r="J251" s="4">
        <f t="shared" si="56"/>
        <v>3173388</v>
      </c>
      <c r="K251" s="157">
        <v>2727</v>
      </c>
      <c r="L251" s="157">
        <v>1559126</v>
      </c>
      <c r="M251" s="155">
        <f t="shared" si="57"/>
        <v>1561853</v>
      </c>
      <c r="N251" s="157">
        <v>9387</v>
      </c>
      <c r="O251" s="157">
        <v>240865</v>
      </c>
      <c r="P251" s="157">
        <v>866690</v>
      </c>
      <c r="Q251" s="155">
        <f t="shared" si="58"/>
        <v>119909</v>
      </c>
      <c r="R251" s="156">
        <f t="shared" si="62"/>
        <v>150224</v>
      </c>
      <c r="S251" s="57">
        <f t="shared" si="61"/>
        <v>-73</v>
      </c>
      <c r="T251" s="4"/>
      <c r="U251" s="110"/>
      <c r="V251" s="302"/>
      <c r="W251" s="63"/>
      <c r="X251" s="161"/>
    </row>
    <row r="252" spans="1:24" x14ac:dyDescent="0.25">
      <c r="A252" s="165">
        <v>44143</v>
      </c>
      <c r="B252" s="190">
        <v>5331</v>
      </c>
      <c r="C252" s="190">
        <f t="shared" si="60"/>
        <v>1242182</v>
      </c>
      <c r="D252" s="188">
        <v>211</v>
      </c>
      <c r="E252" s="188">
        <f t="shared" si="59"/>
        <v>33525</v>
      </c>
      <c r="F252" s="190">
        <f t="shared" si="39"/>
        <v>9598</v>
      </c>
      <c r="G252" s="213">
        <v>1062911</v>
      </c>
      <c r="H252" s="188">
        <v>4608</v>
      </c>
      <c r="I252" s="188">
        <v>14025</v>
      </c>
      <c r="J252" s="4">
        <f t="shared" si="56"/>
        <v>3187413</v>
      </c>
      <c r="K252" s="157">
        <v>2760</v>
      </c>
      <c r="L252" s="157">
        <v>1566231</v>
      </c>
      <c r="M252" s="155">
        <f t="shared" si="57"/>
        <v>1568991</v>
      </c>
      <c r="N252" s="157">
        <v>9403</v>
      </c>
      <c r="O252" s="157">
        <v>241673</v>
      </c>
      <c r="P252" s="157">
        <v>871132</v>
      </c>
      <c r="Q252" s="155">
        <f t="shared" si="58"/>
        <v>119974</v>
      </c>
      <c r="R252" s="156">
        <f t="shared" si="62"/>
        <v>145746</v>
      </c>
      <c r="S252" s="57">
        <f t="shared" si="61"/>
        <v>15</v>
      </c>
      <c r="T252" s="4"/>
      <c r="U252" s="110"/>
      <c r="V252" s="302"/>
      <c r="W252" s="63"/>
      <c r="X252" s="161"/>
    </row>
    <row r="253" spans="1:24" x14ac:dyDescent="0.25">
      <c r="A253" s="116">
        <v>44144</v>
      </c>
      <c r="B253" s="190">
        <v>8317</v>
      </c>
      <c r="C253" s="190">
        <f t="shared" si="60"/>
        <v>1250499</v>
      </c>
      <c r="D253" s="188">
        <v>348</v>
      </c>
      <c r="E253" s="188">
        <f t="shared" si="59"/>
        <v>33873</v>
      </c>
      <c r="F253" s="190">
        <f t="shared" si="39"/>
        <v>10666</v>
      </c>
      <c r="G253" s="213">
        <v>1073577</v>
      </c>
      <c r="H253" s="188">
        <v>4577</v>
      </c>
      <c r="I253" s="188">
        <v>29570</v>
      </c>
      <c r="J253" s="4">
        <f t="shared" si="56"/>
        <v>3216983</v>
      </c>
      <c r="K253" s="157">
        <v>2798</v>
      </c>
      <c r="L253" s="157">
        <v>1581460</v>
      </c>
      <c r="M253" s="155">
        <f t="shared" si="57"/>
        <v>1584258</v>
      </c>
      <c r="N253" s="157">
        <v>9444</v>
      </c>
      <c r="O253" s="157">
        <v>243982</v>
      </c>
      <c r="P253" s="157">
        <v>878724</v>
      </c>
      <c r="Q253" s="155">
        <f t="shared" si="58"/>
        <v>118349</v>
      </c>
      <c r="R253" s="156">
        <f t="shared" si="62"/>
        <v>143049</v>
      </c>
      <c r="S253" s="57">
        <f t="shared" ref="S253:S261" si="63">H253-H252</f>
        <v>-31</v>
      </c>
      <c r="T253" s="4"/>
      <c r="U253" s="110"/>
      <c r="V253" s="302"/>
      <c r="W253" s="63"/>
      <c r="X253" s="161"/>
    </row>
    <row r="254" spans="1:24" x14ac:dyDescent="0.25">
      <c r="A254" s="116">
        <v>44145</v>
      </c>
      <c r="B254" s="190">
        <v>11977</v>
      </c>
      <c r="C254" s="190">
        <f t="shared" si="60"/>
        <v>1262476</v>
      </c>
      <c r="D254" s="190">
        <v>279</v>
      </c>
      <c r="E254" s="188">
        <f t="shared" si="59"/>
        <v>34152</v>
      </c>
      <c r="F254" s="190">
        <f t="shared" si="39"/>
        <v>8320</v>
      </c>
      <c r="G254" s="213">
        <v>1081897</v>
      </c>
      <c r="H254" s="190">
        <v>4494</v>
      </c>
      <c r="I254" s="190">
        <v>31535</v>
      </c>
      <c r="J254" s="4">
        <f t="shared" si="56"/>
        <v>3248518</v>
      </c>
      <c r="K254" s="7">
        <v>2879</v>
      </c>
      <c r="L254" s="7">
        <v>1599337</v>
      </c>
      <c r="M254" s="160">
        <f t="shared" si="57"/>
        <v>1602216</v>
      </c>
      <c r="N254" s="30">
        <v>9481</v>
      </c>
      <c r="O254" s="30">
        <v>246898</v>
      </c>
      <c r="P254" s="30">
        <v>885833</v>
      </c>
      <c r="Q254" s="160">
        <f t="shared" si="58"/>
        <v>120264</v>
      </c>
      <c r="R254" s="156">
        <f t="shared" si="62"/>
        <v>146427</v>
      </c>
      <c r="S254" s="100">
        <f t="shared" si="63"/>
        <v>-83</v>
      </c>
      <c r="T254" s="4"/>
      <c r="U254" s="110"/>
      <c r="V254" s="302"/>
      <c r="W254" s="63"/>
      <c r="X254" s="161"/>
    </row>
    <row r="255" spans="1:24" x14ac:dyDescent="0.25">
      <c r="A255" s="116">
        <v>44146</v>
      </c>
      <c r="B255" s="190">
        <v>10880</v>
      </c>
      <c r="C255" s="190">
        <f t="shared" si="60"/>
        <v>1273356</v>
      </c>
      <c r="D255" s="190">
        <v>348</v>
      </c>
      <c r="E255" s="188">
        <f t="shared" si="59"/>
        <v>34500</v>
      </c>
      <c r="F255" s="190">
        <f t="shared" si="39"/>
        <v>7632</v>
      </c>
      <c r="G255" s="219">
        <v>1089529</v>
      </c>
      <c r="H255" s="190">
        <v>4418</v>
      </c>
      <c r="I255" s="190">
        <v>56473</v>
      </c>
      <c r="J255" s="4">
        <f t="shared" si="56"/>
        <v>3304991</v>
      </c>
      <c r="K255" s="7">
        <v>2939</v>
      </c>
      <c r="L255" s="7">
        <v>1635003</v>
      </c>
      <c r="M255" s="155">
        <f t="shared" si="57"/>
        <v>1637942</v>
      </c>
      <c r="N255" s="4">
        <v>9521</v>
      </c>
      <c r="O255" s="4">
        <v>249148</v>
      </c>
      <c r="P255" s="4">
        <v>892532</v>
      </c>
      <c r="Q255" s="155">
        <f t="shared" si="58"/>
        <v>122155</v>
      </c>
      <c r="R255" s="156">
        <f t="shared" si="62"/>
        <v>149327</v>
      </c>
      <c r="S255" s="57">
        <f t="shared" si="63"/>
        <v>-76</v>
      </c>
      <c r="T255" s="4"/>
      <c r="U255" s="110"/>
      <c r="V255" s="302"/>
      <c r="W255" s="63"/>
      <c r="X255" s="161"/>
    </row>
    <row r="256" spans="1:24" x14ac:dyDescent="0.25">
      <c r="A256" s="116">
        <v>44147</v>
      </c>
      <c r="B256" s="190">
        <v>11163</v>
      </c>
      <c r="C256" s="190">
        <f t="shared" si="60"/>
        <v>1284519</v>
      </c>
      <c r="D256" s="190">
        <v>249</v>
      </c>
      <c r="E256" s="188">
        <f t="shared" si="59"/>
        <v>34749</v>
      </c>
      <c r="F256" s="190">
        <f t="shared" si="39"/>
        <v>10651</v>
      </c>
      <c r="G256" s="219">
        <v>1100180</v>
      </c>
      <c r="H256" s="190">
        <v>4397</v>
      </c>
      <c r="I256" s="190">
        <v>31520</v>
      </c>
      <c r="J256" s="4">
        <f t="shared" si="56"/>
        <v>3336511</v>
      </c>
      <c r="K256" s="7">
        <v>2991</v>
      </c>
      <c r="L256" s="7">
        <v>1655824</v>
      </c>
      <c r="M256" s="155">
        <f t="shared" si="57"/>
        <v>1658815</v>
      </c>
      <c r="N256" s="4">
        <v>9553</v>
      </c>
      <c r="O256" s="4">
        <v>251515</v>
      </c>
      <c r="P256" s="4">
        <v>901700</v>
      </c>
      <c r="Q256" s="155">
        <f t="shared" si="58"/>
        <v>121751</v>
      </c>
      <c r="R256" s="156">
        <f t="shared" si="62"/>
        <v>149590</v>
      </c>
      <c r="S256" s="57">
        <f t="shared" si="63"/>
        <v>-21</v>
      </c>
      <c r="T256" s="4"/>
      <c r="U256" s="110"/>
      <c r="V256" s="302"/>
      <c r="W256" s="63"/>
      <c r="X256" s="161"/>
    </row>
    <row r="257" spans="1:24" x14ac:dyDescent="0.25">
      <c r="A257" s="116">
        <v>44148</v>
      </c>
      <c r="B257" s="190">
        <v>11859</v>
      </c>
      <c r="C257" s="190">
        <f t="shared" ref="C257:C282" si="64">C256+B257</f>
        <v>1296378</v>
      </c>
      <c r="D257" s="190">
        <v>264</v>
      </c>
      <c r="E257" s="190">
        <f t="shared" ref="E257:E282" si="65">E256+D257</f>
        <v>35013</v>
      </c>
      <c r="F257" s="190">
        <f t="shared" si="39"/>
        <v>10297</v>
      </c>
      <c r="G257" s="219">
        <v>1110477</v>
      </c>
      <c r="H257" s="190">
        <v>4381</v>
      </c>
      <c r="I257" s="190">
        <v>31738</v>
      </c>
      <c r="J257" s="4">
        <f t="shared" si="56"/>
        <v>3368249</v>
      </c>
      <c r="K257" s="159">
        <v>3104</v>
      </c>
      <c r="L257" s="159">
        <v>1671421</v>
      </c>
      <c r="M257" s="155">
        <f t="shared" si="57"/>
        <v>1674525</v>
      </c>
      <c r="N257" s="8">
        <v>9613</v>
      </c>
      <c r="O257" s="8">
        <v>253981</v>
      </c>
      <c r="P257" s="8">
        <v>910204</v>
      </c>
      <c r="Q257" s="155">
        <f t="shared" si="58"/>
        <v>122580</v>
      </c>
      <c r="R257" s="156">
        <f t="shared" si="62"/>
        <v>150888</v>
      </c>
      <c r="S257" s="57">
        <f t="shared" si="63"/>
        <v>-16</v>
      </c>
      <c r="T257" s="4"/>
      <c r="U257" s="110"/>
      <c r="V257" s="302"/>
      <c r="W257" s="63"/>
      <c r="X257" s="161"/>
    </row>
    <row r="258" spans="1:24" x14ac:dyDescent="0.25">
      <c r="A258" s="165">
        <v>44149</v>
      </c>
      <c r="B258" s="190">
        <v>8468</v>
      </c>
      <c r="C258" s="190">
        <f t="shared" si="64"/>
        <v>1304846</v>
      </c>
      <c r="D258" s="190">
        <v>262</v>
      </c>
      <c r="E258" s="190">
        <f t="shared" si="65"/>
        <v>35275</v>
      </c>
      <c r="F258" s="190">
        <f t="shared" si="39"/>
        <v>8889</v>
      </c>
      <c r="G258" s="219">
        <v>1119366</v>
      </c>
      <c r="H258" s="190">
        <v>4346</v>
      </c>
      <c r="I258" s="190">
        <v>25314</v>
      </c>
      <c r="J258" s="4">
        <f t="shared" si="56"/>
        <v>3393563</v>
      </c>
      <c r="K258" s="8">
        <v>3156</v>
      </c>
      <c r="L258" s="8">
        <v>1683861</v>
      </c>
      <c r="M258" s="155">
        <f t="shared" si="57"/>
        <v>1687017</v>
      </c>
      <c r="N258" s="8">
        <v>9646</v>
      </c>
      <c r="O258" s="8">
        <v>255493</v>
      </c>
      <c r="P258" s="8">
        <v>915339</v>
      </c>
      <c r="Q258" s="155">
        <f t="shared" si="58"/>
        <v>124368</v>
      </c>
      <c r="R258" s="156">
        <f t="shared" si="62"/>
        <v>150205</v>
      </c>
      <c r="S258" s="57">
        <f t="shared" si="63"/>
        <v>-35</v>
      </c>
      <c r="T258" s="4"/>
      <c r="U258" s="110"/>
      <c r="V258" s="302"/>
      <c r="W258" s="63"/>
      <c r="X258" s="161"/>
    </row>
    <row r="259" spans="1:24" x14ac:dyDescent="0.25">
      <c r="A259" s="165">
        <v>44150</v>
      </c>
      <c r="B259" s="190">
        <v>5645</v>
      </c>
      <c r="C259" s="190">
        <f t="shared" si="64"/>
        <v>1310491</v>
      </c>
      <c r="D259" s="190">
        <v>128</v>
      </c>
      <c r="E259" s="190">
        <f t="shared" si="65"/>
        <v>35403</v>
      </c>
      <c r="F259" s="190">
        <f t="shared" ref="F259:F286" si="66">G259-G258</f>
        <v>9736</v>
      </c>
      <c r="G259" s="219">
        <v>1129102</v>
      </c>
      <c r="H259" s="190">
        <v>4365</v>
      </c>
      <c r="I259" s="190">
        <v>17718</v>
      </c>
      <c r="J259" s="4">
        <f t="shared" si="56"/>
        <v>3411281</v>
      </c>
      <c r="K259" s="8">
        <v>3168</v>
      </c>
      <c r="L259" s="8">
        <v>1693448</v>
      </c>
      <c r="M259" s="155">
        <f t="shared" si="57"/>
        <v>1696616</v>
      </c>
      <c r="N259" s="8">
        <v>9672</v>
      </c>
      <c r="O259" s="8">
        <v>256696</v>
      </c>
      <c r="P259" s="8">
        <v>918729</v>
      </c>
      <c r="Q259" s="155">
        <f t="shared" si="58"/>
        <v>125394</v>
      </c>
      <c r="R259" s="156">
        <f t="shared" si="62"/>
        <v>145986</v>
      </c>
      <c r="S259" s="57">
        <f t="shared" si="63"/>
        <v>19</v>
      </c>
      <c r="T259" s="4"/>
      <c r="U259" s="110"/>
      <c r="V259" s="302"/>
      <c r="W259" s="63"/>
      <c r="X259" s="161"/>
    </row>
    <row r="260" spans="1:24" x14ac:dyDescent="0.25">
      <c r="A260" s="116">
        <v>44151</v>
      </c>
      <c r="B260" s="190">
        <v>7893</v>
      </c>
      <c r="C260" s="190">
        <f t="shared" si="64"/>
        <v>1318384</v>
      </c>
      <c r="D260" s="190">
        <v>292</v>
      </c>
      <c r="E260" s="190">
        <f t="shared" si="65"/>
        <v>35695</v>
      </c>
      <c r="F260" s="190">
        <f t="shared" si="66"/>
        <v>11094</v>
      </c>
      <c r="G260" s="219">
        <v>1140196</v>
      </c>
      <c r="H260" s="190">
        <v>4322</v>
      </c>
      <c r="I260" s="190">
        <v>21572</v>
      </c>
      <c r="J260" s="4">
        <f t="shared" si="56"/>
        <v>3432853</v>
      </c>
      <c r="K260" s="7">
        <v>3225</v>
      </c>
      <c r="L260" s="7">
        <v>1704129</v>
      </c>
      <c r="M260" s="155">
        <f t="shared" si="57"/>
        <v>1707354</v>
      </c>
      <c r="N260" s="4">
        <v>9692</v>
      </c>
      <c r="O260" s="4">
        <v>258870</v>
      </c>
      <c r="P260" s="4">
        <v>926820</v>
      </c>
      <c r="Q260" s="155">
        <f t="shared" si="58"/>
        <v>123002</v>
      </c>
      <c r="R260" s="156">
        <f t="shared" si="62"/>
        <v>142493</v>
      </c>
      <c r="S260" s="57">
        <f t="shared" si="63"/>
        <v>-43</v>
      </c>
      <c r="T260" s="4"/>
      <c r="U260" s="110"/>
      <c r="V260" s="302"/>
      <c r="W260" s="63"/>
      <c r="X260" s="161"/>
    </row>
    <row r="261" spans="1:24" x14ac:dyDescent="0.25">
      <c r="A261" s="116">
        <v>44152</v>
      </c>
      <c r="B261" s="190">
        <v>10621</v>
      </c>
      <c r="C261" s="190">
        <f t="shared" si="64"/>
        <v>1329005</v>
      </c>
      <c r="D261" s="190">
        <v>378</v>
      </c>
      <c r="E261" s="190">
        <f t="shared" si="65"/>
        <v>36073</v>
      </c>
      <c r="F261" s="190">
        <f t="shared" si="66"/>
        <v>8637</v>
      </c>
      <c r="G261" s="219">
        <v>1148833</v>
      </c>
      <c r="H261" s="190">
        <v>4379</v>
      </c>
      <c r="I261" s="190">
        <v>34573</v>
      </c>
      <c r="J261" s="4">
        <f t="shared" si="56"/>
        <v>3467426</v>
      </c>
      <c r="K261" s="7">
        <v>3279</v>
      </c>
      <c r="L261" s="7">
        <v>1716729</v>
      </c>
      <c r="M261" s="155">
        <f t="shared" si="57"/>
        <v>1720008</v>
      </c>
      <c r="N261" s="4">
        <v>9722</v>
      </c>
      <c r="O261" s="4">
        <v>261348</v>
      </c>
      <c r="P261" s="4">
        <v>934997</v>
      </c>
      <c r="Q261" s="155">
        <f t="shared" si="58"/>
        <v>122938</v>
      </c>
      <c r="R261" s="156">
        <f t="shared" si="62"/>
        <v>144099</v>
      </c>
      <c r="S261" s="57">
        <f t="shared" si="63"/>
        <v>57</v>
      </c>
      <c r="T261" s="4"/>
      <c r="U261" s="110"/>
      <c r="V261" s="302"/>
      <c r="W261" s="63"/>
      <c r="X261" s="161"/>
    </row>
    <row r="262" spans="1:24" x14ac:dyDescent="0.25">
      <c r="A262" s="116">
        <v>44153</v>
      </c>
      <c r="B262" s="190">
        <v>10332</v>
      </c>
      <c r="C262" s="190">
        <f t="shared" si="64"/>
        <v>1339337</v>
      </c>
      <c r="D262" s="190">
        <v>240</v>
      </c>
      <c r="E262" s="190">
        <f t="shared" si="65"/>
        <v>36313</v>
      </c>
      <c r="F262" s="190">
        <f t="shared" si="66"/>
        <v>7641</v>
      </c>
      <c r="G262" s="219">
        <v>1156474</v>
      </c>
      <c r="H262" s="190">
        <v>4267</v>
      </c>
      <c r="I262" s="190">
        <v>34573</v>
      </c>
      <c r="J262" s="4">
        <f t="shared" si="56"/>
        <v>3501999</v>
      </c>
      <c r="K262" s="7">
        <v>3346</v>
      </c>
      <c r="L262" s="7">
        <v>1734731</v>
      </c>
      <c r="M262" s="155">
        <f t="shared" si="57"/>
        <v>1738077</v>
      </c>
      <c r="N262" s="4">
        <v>9766</v>
      </c>
      <c r="O262" s="4">
        <v>264014</v>
      </c>
      <c r="P262" s="4">
        <v>943339</v>
      </c>
      <c r="Q262" s="155">
        <f t="shared" si="58"/>
        <v>122218</v>
      </c>
      <c r="R262" s="156">
        <f t="shared" si="62"/>
        <v>146550</v>
      </c>
      <c r="S262" s="57">
        <f t="shared" ref="S262:S287" si="67">H262-H261</f>
        <v>-112</v>
      </c>
      <c r="T262" s="4"/>
      <c r="U262" s="110"/>
      <c r="V262" s="302"/>
      <c r="W262" s="63"/>
      <c r="X262" s="161"/>
    </row>
    <row r="263" spans="1:24" x14ac:dyDescent="0.25">
      <c r="A263" s="116">
        <v>44154</v>
      </c>
      <c r="B263" s="190">
        <v>10097</v>
      </c>
      <c r="C263" s="190">
        <f t="shared" si="64"/>
        <v>1349434</v>
      </c>
      <c r="D263" s="190">
        <v>184</v>
      </c>
      <c r="E263" s="190">
        <f t="shared" si="65"/>
        <v>36497</v>
      </c>
      <c r="F263" s="190">
        <f t="shared" si="66"/>
        <v>11040</v>
      </c>
      <c r="G263" s="219">
        <v>1167514</v>
      </c>
      <c r="H263" s="190">
        <v>4292</v>
      </c>
      <c r="I263" s="190">
        <v>48691</v>
      </c>
      <c r="J263" s="4">
        <f t="shared" si="56"/>
        <v>3550690</v>
      </c>
      <c r="K263" s="7">
        <v>3474</v>
      </c>
      <c r="L263" s="7">
        <v>1767560</v>
      </c>
      <c r="M263" s="155">
        <f t="shared" si="57"/>
        <v>1771034</v>
      </c>
      <c r="N263" s="4">
        <v>9802</v>
      </c>
      <c r="O263" s="4">
        <v>266642</v>
      </c>
      <c r="P263" s="4">
        <v>951081</v>
      </c>
      <c r="Q263" s="155">
        <f t="shared" si="58"/>
        <v>121909</v>
      </c>
      <c r="R263" s="156">
        <f t="shared" si="62"/>
        <v>145423</v>
      </c>
      <c r="S263" s="57">
        <f t="shared" si="67"/>
        <v>25</v>
      </c>
      <c r="T263" s="4"/>
      <c r="U263" s="110"/>
      <c r="V263" s="302"/>
      <c r="W263" s="63"/>
      <c r="X263" s="161"/>
    </row>
    <row r="264" spans="1:24" x14ac:dyDescent="0.25">
      <c r="A264" s="116">
        <v>44155</v>
      </c>
      <c r="B264" s="190">
        <v>9608</v>
      </c>
      <c r="C264" s="190">
        <f t="shared" si="64"/>
        <v>1359042</v>
      </c>
      <c r="D264" s="190">
        <v>261</v>
      </c>
      <c r="E264" s="190">
        <f t="shared" si="65"/>
        <v>36758</v>
      </c>
      <c r="F264" s="190">
        <f t="shared" si="66"/>
        <v>10305</v>
      </c>
      <c r="G264" s="219">
        <v>1177819</v>
      </c>
      <c r="H264" s="190">
        <v>4187</v>
      </c>
      <c r="I264" s="190">
        <v>37816</v>
      </c>
      <c r="J264" s="4">
        <f t="shared" si="56"/>
        <v>3588506</v>
      </c>
      <c r="K264" s="7">
        <v>3601</v>
      </c>
      <c r="L264" s="7">
        <v>1789964</v>
      </c>
      <c r="M264" s="155">
        <f t="shared" si="57"/>
        <v>1793565</v>
      </c>
      <c r="N264" s="4">
        <v>9840</v>
      </c>
      <c r="O264" s="4">
        <v>268940</v>
      </c>
      <c r="P264" s="4">
        <v>957937</v>
      </c>
      <c r="Q264" s="155">
        <f t="shared" si="58"/>
        <v>122325</v>
      </c>
      <c r="R264" s="156">
        <f t="shared" si="62"/>
        <v>144465</v>
      </c>
      <c r="S264" s="57">
        <f t="shared" si="67"/>
        <v>-105</v>
      </c>
      <c r="T264" s="4"/>
      <c r="U264" s="110"/>
      <c r="V264" s="302"/>
      <c r="W264" s="63"/>
      <c r="X264" s="161"/>
    </row>
    <row r="265" spans="1:24" x14ac:dyDescent="0.25">
      <c r="A265" s="165">
        <v>44156</v>
      </c>
      <c r="B265" s="190">
        <v>7140</v>
      </c>
      <c r="C265" s="190">
        <f t="shared" si="64"/>
        <v>1366182</v>
      </c>
      <c r="D265" s="190">
        <v>112</v>
      </c>
      <c r="E265" s="190">
        <f t="shared" si="65"/>
        <v>36870</v>
      </c>
      <c r="F265" s="190">
        <f t="shared" si="66"/>
        <v>9234</v>
      </c>
      <c r="G265" s="219">
        <v>1187053</v>
      </c>
      <c r="H265" s="190">
        <v>4132</v>
      </c>
      <c r="I265" s="190">
        <v>39055</v>
      </c>
      <c r="J265" s="4">
        <f t="shared" si="56"/>
        <v>3627561</v>
      </c>
      <c r="K265" s="7">
        <v>3625</v>
      </c>
      <c r="L265" s="7">
        <v>1815364</v>
      </c>
      <c r="M265" s="155">
        <f t="shared" si="57"/>
        <v>1818989</v>
      </c>
      <c r="N265" s="4">
        <v>9862</v>
      </c>
      <c r="O265" s="4">
        <v>270149</v>
      </c>
      <c r="P265" s="4">
        <v>962192</v>
      </c>
      <c r="Q265" s="155">
        <f t="shared" si="58"/>
        <v>123979</v>
      </c>
      <c r="R265" s="156">
        <f t="shared" si="62"/>
        <v>142259</v>
      </c>
      <c r="S265" s="57">
        <f t="shared" si="67"/>
        <v>-55</v>
      </c>
      <c r="T265" s="4"/>
      <c r="U265" s="110"/>
      <c r="V265" s="302"/>
      <c r="W265" s="63"/>
      <c r="X265" s="161"/>
    </row>
    <row r="266" spans="1:24" x14ac:dyDescent="0.25">
      <c r="A266" s="165">
        <v>44157</v>
      </c>
      <c r="B266" s="190">
        <v>4184</v>
      </c>
      <c r="C266" s="190">
        <f t="shared" si="64"/>
        <v>1370366</v>
      </c>
      <c r="D266" s="190">
        <v>100</v>
      </c>
      <c r="E266" s="190">
        <f t="shared" si="65"/>
        <v>36970</v>
      </c>
      <c r="F266" s="190">
        <f t="shared" si="66"/>
        <v>8439</v>
      </c>
      <c r="G266" s="219">
        <v>1195492</v>
      </c>
      <c r="H266" s="190">
        <v>4245</v>
      </c>
      <c r="I266" s="190">
        <v>15740</v>
      </c>
      <c r="J266" s="4">
        <f t="shared" si="56"/>
        <v>3643301</v>
      </c>
      <c r="K266" s="7">
        <v>3691</v>
      </c>
      <c r="L266" s="7">
        <v>1823849</v>
      </c>
      <c r="M266" s="155">
        <f t="shared" si="57"/>
        <v>1827540</v>
      </c>
      <c r="N266" s="4">
        <v>9876</v>
      </c>
      <c r="O266" s="4">
        <v>270893</v>
      </c>
      <c r="P266" s="4">
        <v>965274</v>
      </c>
      <c r="Q266" s="155">
        <f t="shared" si="58"/>
        <v>124323</v>
      </c>
      <c r="R266" s="156">
        <f t="shared" si="62"/>
        <v>137904</v>
      </c>
      <c r="S266" s="57">
        <f t="shared" si="67"/>
        <v>113</v>
      </c>
      <c r="T266" s="4"/>
      <c r="U266" s="110"/>
      <c r="V266" s="302"/>
      <c r="W266" s="63"/>
      <c r="X266" s="161"/>
    </row>
    <row r="267" spans="1:24" x14ac:dyDescent="0.25">
      <c r="A267" s="116">
        <v>44158</v>
      </c>
      <c r="B267" s="190">
        <v>4265</v>
      </c>
      <c r="C267" s="190">
        <f t="shared" si="64"/>
        <v>1374631</v>
      </c>
      <c r="D267" s="190">
        <v>119</v>
      </c>
      <c r="E267" s="190">
        <f t="shared" si="65"/>
        <v>37089</v>
      </c>
      <c r="F267" s="190">
        <f t="shared" si="66"/>
        <v>8308</v>
      </c>
      <c r="G267" s="219">
        <v>1203800</v>
      </c>
      <c r="H267" s="190">
        <v>4165</v>
      </c>
      <c r="I267" s="190">
        <v>13149</v>
      </c>
      <c r="J267" s="4">
        <f t="shared" si="56"/>
        <v>3656450</v>
      </c>
      <c r="K267" s="7">
        <v>3798</v>
      </c>
      <c r="L267" s="7">
        <v>1830584</v>
      </c>
      <c r="M267" s="155">
        <f t="shared" si="57"/>
        <v>1834382</v>
      </c>
      <c r="N267" s="4">
        <v>9894</v>
      </c>
      <c r="O267" s="4">
        <v>272054</v>
      </c>
      <c r="P267" s="4">
        <v>972396</v>
      </c>
      <c r="Q267" s="155">
        <f t="shared" si="58"/>
        <v>120287</v>
      </c>
      <c r="R267" s="156">
        <f t="shared" si="62"/>
        <v>133742</v>
      </c>
      <c r="S267" s="57">
        <f t="shared" si="67"/>
        <v>-80</v>
      </c>
      <c r="T267" s="4"/>
      <c r="U267" s="110"/>
      <c r="V267" s="302"/>
      <c r="W267" s="63"/>
      <c r="X267" s="161"/>
    </row>
    <row r="268" spans="1:24" x14ac:dyDescent="0.25">
      <c r="A268" s="116">
        <v>44159</v>
      </c>
      <c r="B268" s="190">
        <v>7164</v>
      </c>
      <c r="C268" s="190">
        <f t="shared" si="64"/>
        <v>1381795</v>
      </c>
      <c r="D268" s="190">
        <v>311</v>
      </c>
      <c r="E268" s="190">
        <f t="shared" si="65"/>
        <v>37400</v>
      </c>
      <c r="F268" s="190">
        <f t="shared" si="66"/>
        <v>6834</v>
      </c>
      <c r="G268" s="219">
        <v>1210634</v>
      </c>
      <c r="H268" s="190">
        <v>4148</v>
      </c>
      <c r="I268" s="190">
        <v>22043</v>
      </c>
      <c r="J268" s="4">
        <f t="shared" si="56"/>
        <v>3678493</v>
      </c>
      <c r="K268" s="8">
        <v>3828</v>
      </c>
      <c r="L268" s="8">
        <v>1842058</v>
      </c>
      <c r="M268" s="155">
        <f t="shared" si="57"/>
        <v>1845886</v>
      </c>
      <c r="N268" s="4">
        <v>9912</v>
      </c>
      <c r="O268" s="4">
        <v>273939</v>
      </c>
      <c r="P268" s="4">
        <v>979797</v>
      </c>
      <c r="Q268" s="155">
        <f t="shared" si="58"/>
        <v>118147</v>
      </c>
      <c r="R268" s="156">
        <f t="shared" si="62"/>
        <v>133761</v>
      </c>
      <c r="S268" s="57">
        <f t="shared" si="67"/>
        <v>-17</v>
      </c>
      <c r="T268" s="4"/>
      <c r="U268" s="110"/>
      <c r="V268" s="302"/>
      <c r="W268" s="63"/>
      <c r="X268" s="161"/>
    </row>
    <row r="269" spans="1:24" x14ac:dyDescent="0.25">
      <c r="A269" s="116">
        <v>44160</v>
      </c>
      <c r="B269" s="190">
        <v>8593</v>
      </c>
      <c r="C269" s="190">
        <f t="shared" si="64"/>
        <v>1390388</v>
      </c>
      <c r="D269" s="190">
        <v>280</v>
      </c>
      <c r="E269" s="190">
        <f t="shared" si="65"/>
        <v>37680</v>
      </c>
      <c r="F269" s="190">
        <f t="shared" si="66"/>
        <v>6650</v>
      </c>
      <c r="G269" s="219">
        <v>1217284</v>
      </c>
      <c r="H269" s="190">
        <v>4039</v>
      </c>
      <c r="I269" s="190">
        <v>29437</v>
      </c>
      <c r="J269" s="4">
        <f t="shared" si="56"/>
        <v>3707930</v>
      </c>
      <c r="K269" s="8">
        <v>3872</v>
      </c>
      <c r="L269" s="8">
        <v>1855809</v>
      </c>
      <c r="M269" s="155">
        <f t="shared" si="57"/>
        <v>1859681</v>
      </c>
      <c r="N269" s="4">
        <v>9949</v>
      </c>
      <c r="O269" s="4">
        <v>275968</v>
      </c>
      <c r="P269" s="4">
        <v>986401</v>
      </c>
      <c r="Q269" s="155">
        <f t="shared" si="58"/>
        <v>118070</v>
      </c>
      <c r="R269" s="156">
        <f t="shared" si="62"/>
        <v>135424</v>
      </c>
      <c r="S269" s="57">
        <f t="shared" si="67"/>
        <v>-109</v>
      </c>
      <c r="T269" s="4"/>
      <c r="U269" s="110"/>
      <c r="V269" s="302"/>
      <c r="W269" s="63"/>
      <c r="X269" s="161"/>
    </row>
    <row r="270" spans="1:24" x14ac:dyDescent="0.25">
      <c r="A270" s="116">
        <v>44161</v>
      </c>
      <c r="B270" s="190">
        <v>9043</v>
      </c>
      <c r="C270" s="190">
        <f t="shared" si="64"/>
        <v>1399431</v>
      </c>
      <c r="D270" s="190">
        <v>229</v>
      </c>
      <c r="E270" s="190">
        <f t="shared" si="65"/>
        <v>37909</v>
      </c>
      <c r="F270" s="190">
        <f t="shared" si="66"/>
        <v>9378</v>
      </c>
      <c r="G270" s="219">
        <v>1226662</v>
      </c>
      <c r="H270" s="190">
        <v>3960</v>
      </c>
      <c r="I270" s="190">
        <v>32781</v>
      </c>
      <c r="J270" s="4">
        <f t="shared" si="56"/>
        <v>3740711</v>
      </c>
      <c r="K270" s="8">
        <v>3941</v>
      </c>
      <c r="L270" s="8">
        <v>1871509</v>
      </c>
      <c r="M270" s="155">
        <f t="shared" si="57"/>
        <v>1875450</v>
      </c>
      <c r="N270" s="4">
        <v>9979</v>
      </c>
      <c r="O270" s="4">
        <v>278371</v>
      </c>
      <c r="P270" s="4">
        <v>992925</v>
      </c>
      <c r="Q270" s="155">
        <f t="shared" si="58"/>
        <v>118156</v>
      </c>
      <c r="R270" s="156">
        <f t="shared" si="62"/>
        <v>134860</v>
      </c>
      <c r="S270" s="57">
        <f t="shared" si="67"/>
        <v>-79</v>
      </c>
      <c r="T270" s="4"/>
      <c r="U270" s="110"/>
      <c r="V270" s="302"/>
      <c r="W270" s="63"/>
      <c r="X270" s="161"/>
    </row>
    <row r="271" spans="1:24" x14ac:dyDescent="0.25">
      <c r="A271" s="116">
        <v>44162</v>
      </c>
      <c r="B271" s="190">
        <v>7846</v>
      </c>
      <c r="C271" s="190">
        <f t="shared" si="64"/>
        <v>1407277</v>
      </c>
      <c r="D271" s="190">
        <v>275</v>
      </c>
      <c r="E271" s="190">
        <f t="shared" si="65"/>
        <v>38184</v>
      </c>
      <c r="F271" s="190">
        <f t="shared" si="66"/>
        <v>8595</v>
      </c>
      <c r="G271" s="219">
        <v>1235257</v>
      </c>
      <c r="H271" s="190">
        <v>4120</v>
      </c>
      <c r="I271" s="190">
        <v>55323</v>
      </c>
      <c r="J271" s="4">
        <f t="shared" si="56"/>
        <v>3796034</v>
      </c>
      <c r="K271" s="7">
        <v>4020</v>
      </c>
      <c r="L271" s="8">
        <v>1912056</v>
      </c>
      <c r="M271" s="155">
        <f t="shared" si="57"/>
        <v>1916076</v>
      </c>
      <c r="N271" s="4">
        <v>10016</v>
      </c>
      <c r="O271" s="4">
        <v>280344</v>
      </c>
      <c r="P271" s="4">
        <v>999456</v>
      </c>
      <c r="Q271" s="155">
        <f t="shared" si="58"/>
        <v>117461</v>
      </c>
      <c r="R271" s="156">
        <f t="shared" si="62"/>
        <v>133836</v>
      </c>
      <c r="S271" s="57">
        <f t="shared" si="67"/>
        <v>160</v>
      </c>
      <c r="T271" s="4"/>
      <c r="U271" s="110"/>
      <c r="V271" s="302"/>
      <c r="W271" s="63"/>
      <c r="X271" s="161"/>
    </row>
    <row r="272" spans="1:24" x14ac:dyDescent="0.25">
      <c r="A272" s="165">
        <v>44163</v>
      </c>
      <c r="B272" s="190">
        <v>6098</v>
      </c>
      <c r="C272" s="190">
        <f t="shared" si="64"/>
        <v>1413375</v>
      </c>
      <c r="D272" s="190">
        <v>106</v>
      </c>
      <c r="E272" s="190">
        <f t="shared" si="65"/>
        <v>38290</v>
      </c>
      <c r="F272" s="190">
        <f t="shared" si="66"/>
        <v>7620</v>
      </c>
      <c r="G272" s="219">
        <v>1242877</v>
      </c>
      <c r="H272" s="190">
        <v>4021</v>
      </c>
      <c r="I272" s="190">
        <v>25472</v>
      </c>
      <c r="J272" s="4">
        <f t="shared" si="56"/>
        <v>3821506</v>
      </c>
      <c r="K272" s="7">
        <v>4105</v>
      </c>
      <c r="L272" s="8">
        <v>1926130</v>
      </c>
      <c r="M272" s="155">
        <f t="shared" si="57"/>
        <v>1930235</v>
      </c>
      <c r="N272" s="4">
        <v>10046</v>
      </c>
      <c r="O272" s="4">
        <v>281257</v>
      </c>
      <c r="P272" s="4">
        <v>1003512</v>
      </c>
      <c r="Q272" s="155">
        <f t="shared" si="58"/>
        <v>118560</v>
      </c>
      <c r="R272" s="156">
        <f t="shared" si="62"/>
        <v>132208</v>
      </c>
      <c r="S272" s="57">
        <f t="shared" si="67"/>
        <v>-99</v>
      </c>
      <c r="T272" s="4"/>
      <c r="U272" s="110"/>
      <c r="V272" s="302"/>
      <c r="W272" s="63"/>
      <c r="X272" s="161"/>
    </row>
    <row r="273" spans="1:25" x14ac:dyDescent="0.25">
      <c r="A273" s="165">
        <v>44164</v>
      </c>
      <c r="B273" s="190">
        <v>5432</v>
      </c>
      <c r="C273" s="190">
        <f t="shared" si="64"/>
        <v>1418807</v>
      </c>
      <c r="D273" s="190">
        <v>151</v>
      </c>
      <c r="E273" s="190">
        <f t="shared" si="65"/>
        <v>38441</v>
      </c>
      <c r="F273" s="190">
        <f t="shared" si="66"/>
        <v>6966</v>
      </c>
      <c r="G273" s="219">
        <v>1249843</v>
      </c>
      <c r="H273" s="190">
        <v>4013</v>
      </c>
      <c r="I273" s="190">
        <v>17338</v>
      </c>
      <c r="J273" s="4">
        <f t="shared" si="56"/>
        <v>3838844</v>
      </c>
      <c r="K273" s="7">
        <v>4139</v>
      </c>
      <c r="L273" s="7">
        <v>1935553</v>
      </c>
      <c r="M273" s="155">
        <f t="shared" si="57"/>
        <v>1939692</v>
      </c>
      <c r="N273" s="4">
        <v>10067</v>
      </c>
      <c r="O273" s="4">
        <v>281995</v>
      </c>
      <c r="P273" s="4">
        <v>1006055</v>
      </c>
      <c r="Q273" s="155">
        <f t="shared" si="58"/>
        <v>120690</v>
      </c>
      <c r="R273" s="156">
        <f t="shared" si="62"/>
        <v>130523</v>
      </c>
      <c r="S273" s="57">
        <f t="shared" si="67"/>
        <v>-8</v>
      </c>
      <c r="T273" s="4"/>
      <c r="U273" s="110"/>
      <c r="V273" s="302"/>
      <c r="W273" s="63"/>
      <c r="X273" s="161"/>
    </row>
    <row r="274" spans="1:25" x14ac:dyDescent="0.25">
      <c r="A274" s="116">
        <v>44165</v>
      </c>
      <c r="B274" s="190">
        <v>5726</v>
      </c>
      <c r="C274" s="190">
        <f t="shared" si="64"/>
        <v>1424533</v>
      </c>
      <c r="D274" s="190">
        <v>257</v>
      </c>
      <c r="E274" s="190">
        <f t="shared" si="65"/>
        <v>38698</v>
      </c>
      <c r="F274" s="190">
        <f t="shared" si="66"/>
        <v>7384</v>
      </c>
      <c r="G274" s="219">
        <v>1257227</v>
      </c>
      <c r="H274" s="190">
        <v>4062</v>
      </c>
      <c r="I274" s="190">
        <v>19291</v>
      </c>
      <c r="J274" s="4">
        <f t="shared" si="56"/>
        <v>3858135</v>
      </c>
      <c r="K274" s="7">
        <v>4209</v>
      </c>
      <c r="L274" s="7">
        <v>1945524</v>
      </c>
      <c r="M274" s="155">
        <f t="shared" si="57"/>
        <v>1949733</v>
      </c>
      <c r="N274" s="4">
        <v>10089</v>
      </c>
      <c r="O274" s="4">
        <v>283567</v>
      </c>
      <c r="P274" s="4">
        <v>1009382</v>
      </c>
      <c r="Q274" s="155">
        <f t="shared" si="58"/>
        <v>121495</v>
      </c>
      <c r="R274" s="156">
        <f t="shared" si="62"/>
        <v>128608</v>
      </c>
      <c r="S274" s="57">
        <f t="shared" si="67"/>
        <v>49</v>
      </c>
      <c r="T274" s="4"/>
      <c r="U274" s="110"/>
      <c r="V274" s="302"/>
      <c r="W274" s="63"/>
      <c r="X274" s="161"/>
    </row>
    <row r="275" spans="1:25" x14ac:dyDescent="0.25">
      <c r="A275" s="116">
        <v>44166</v>
      </c>
      <c r="B275" s="190">
        <v>8037</v>
      </c>
      <c r="C275" s="190">
        <f t="shared" si="64"/>
        <v>1432570</v>
      </c>
      <c r="D275" s="190">
        <v>198</v>
      </c>
      <c r="E275" s="190">
        <f t="shared" si="65"/>
        <v>38896</v>
      </c>
      <c r="F275" s="190">
        <f t="shared" si="66"/>
        <v>6024</v>
      </c>
      <c r="G275" s="219">
        <v>1263251</v>
      </c>
      <c r="H275" s="190">
        <v>3946</v>
      </c>
      <c r="I275" s="190">
        <v>33764</v>
      </c>
      <c r="J275" s="4">
        <f t="shared" si="56"/>
        <v>3891899</v>
      </c>
      <c r="K275" s="7">
        <v>4328</v>
      </c>
      <c r="L275" s="7">
        <v>1964346</v>
      </c>
      <c r="M275" s="155">
        <f t="shared" si="57"/>
        <v>1968674</v>
      </c>
      <c r="N275" s="4">
        <v>10120</v>
      </c>
      <c r="O275" s="4">
        <v>285518</v>
      </c>
      <c r="P275" s="4">
        <v>1015923</v>
      </c>
      <c r="Q275" s="155">
        <f t="shared" si="58"/>
        <v>121009</v>
      </c>
      <c r="R275" s="156">
        <f t="shared" si="62"/>
        <v>130423</v>
      </c>
      <c r="S275" s="57">
        <f t="shared" si="67"/>
        <v>-116</v>
      </c>
      <c r="T275" s="4"/>
      <c r="U275" s="110"/>
      <c r="V275" s="302"/>
      <c r="W275" s="63"/>
      <c r="X275" s="161"/>
    </row>
    <row r="276" spans="1:25" x14ac:dyDescent="0.25">
      <c r="A276" s="116">
        <v>44167</v>
      </c>
      <c r="B276" s="190">
        <v>7533</v>
      </c>
      <c r="C276" s="190">
        <f t="shared" si="64"/>
        <v>1440103</v>
      </c>
      <c r="D276" s="190">
        <v>228</v>
      </c>
      <c r="E276" s="190">
        <f t="shared" si="65"/>
        <v>39124</v>
      </c>
      <c r="F276" s="190">
        <f t="shared" si="66"/>
        <v>5107</v>
      </c>
      <c r="G276" s="219">
        <v>1268358</v>
      </c>
      <c r="H276" s="190">
        <v>3983</v>
      </c>
      <c r="I276" s="190">
        <v>49474</v>
      </c>
      <c r="J276" s="4">
        <f t="shared" si="56"/>
        <v>3941373</v>
      </c>
      <c r="K276" s="162">
        <v>4476</v>
      </c>
      <c r="L276" s="162">
        <v>2000098</v>
      </c>
      <c r="M276" s="163">
        <f t="shared" si="57"/>
        <v>2004574</v>
      </c>
      <c r="N276" s="111">
        <v>10155</v>
      </c>
      <c r="O276" s="111">
        <v>287233</v>
      </c>
      <c r="P276" s="111">
        <v>1022204</v>
      </c>
      <c r="Q276" s="163">
        <f t="shared" si="58"/>
        <v>120511</v>
      </c>
      <c r="R276" s="156">
        <f t="shared" si="62"/>
        <v>132621</v>
      </c>
      <c r="S276" s="164">
        <f t="shared" si="67"/>
        <v>37</v>
      </c>
      <c r="T276" s="4"/>
      <c r="U276" s="110"/>
      <c r="V276" s="302"/>
      <c r="W276" s="63"/>
      <c r="X276" s="161"/>
    </row>
    <row r="277" spans="1:25" x14ac:dyDescent="0.25">
      <c r="A277" s="116">
        <v>44168</v>
      </c>
      <c r="B277" s="190">
        <v>7629</v>
      </c>
      <c r="C277" s="190">
        <f t="shared" si="64"/>
        <v>1447732</v>
      </c>
      <c r="D277" s="190">
        <v>148</v>
      </c>
      <c r="E277" s="190">
        <f t="shared" si="65"/>
        <v>39272</v>
      </c>
      <c r="F277" s="190">
        <f t="shared" si="66"/>
        <v>6317</v>
      </c>
      <c r="G277" s="219">
        <v>1274675</v>
      </c>
      <c r="H277" s="190">
        <v>3916</v>
      </c>
      <c r="I277" s="190">
        <v>47112</v>
      </c>
      <c r="J277" s="4">
        <f t="shared" si="56"/>
        <v>3988485</v>
      </c>
      <c r="K277" s="162">
        <v>4554</v>
      </c>
      <c r="L277" s="162">
        <v>2033435</v>
      </c>
      <c r="M277" s="163">
        <f t="shared" si="57"/>
        <v>2037989</v>
      </c>
      <c r="N277" s="111">
        <v>10186</v>
      </c>
      <c r="O277" s="111">
        <v>288999</v>
      </c>
      <c r="P277" s="111">
        <v>1028077</v>
      </c>
      <c r="Q277" s="163">
        <f t="shared" si="58"/>
        <v>120470</v>
      </c>
      <c r="R277" s="156">
        <f t="shared" si="62"/>
        <v>133785</v>
      </c>
      <c r="S277" s="164">
        <f t="shared" si="67"/>
        <v>-67</v>
      </c>
      <c r="T277" s="4"/>
      <c r="U277" s="110"/>
      <c r="V277" s="302"/>
      <c r="W277" s="63"/>
      <c r="X277" s="161"/>
    </row>
    <row r="278" spans="1:25" x14ac:dyDescent="0.25">
      <c r="A278" s="116">
        <v>44169</v>
      </c>
      <c r="B278" s="190">
        <v>6899</v>
      </c>
      <c r="C278" s="190">
        <f t="shared" si="64"/>
        <v>1454631</v>
      </c>
      <c r="D278" s="208">
        <v>207</v>
      </c>
      <c r="E278" s="190">
        <f t="shared" si="65"/>
        <v>39479</v>
      </c>
      <c r="F278" s="190">
        <f t="shared" si="66"/>
        <v>7280</v>
      </c>
      <c r="G278" s="219">
        <v>1281955</v>
      </c>
      <c r="H278" s="190">
        <v>3929</v>
      </c>
      <c r="I278" s="190">
        <v>32923</v>
      </c>
      <c r="J278" s="4">
        <f t="shared" si="56"/>
        <v>4021408</v>
      </c>
      <c r="K278" s="162">
        <v>4609</v>
      </c>
      <c r="L278" s="162">
        <v>2054205</v>
      </c>
      <c r="M278" s="163">
        <f t="shared" si="57"/>
        <v>2058814</v>
      </c>
      <c r="N278" s="111">
        <v>10211</v>
      </c>
      <c r="O278" s="111">
        <v>290538</v>
      </c>
      <c r="P278" s="111">
        <v>1033772</v>
      </c>
      <c r="Q278" s="163">
        <f t="shared" si="58"/>
        <v>120110</v>
      </c>
      <c r="R278" s="156">
        <f t="shared" si="62"/>
        <v>133197</v>
      </c>
      <c r="S278" s="164">
        <f t="shared" si="67"/>
        <v>13</v>
      </c>
      <c r="T278" s="13">
        <f t="shared" ref="T278:T287" si="68">(C278-G278-E278)-(C277-E277-G277)</f>
        <v>-588</v>
      </c>
      <c r="U278" s="110"/>
      <c r="V278" s="302"/>
      <c r="W278" s="63"/>
      <c r="X278" s="161"/>
    </row>
    <row r="279" spans="1:25" x14ac:dyDescent="0.25">
      <c r="A279" s="165">
        <v>44170</v>
      </c>
      <c r="B279" s="190">
        <v>5201</v>
      </c>
      <c r="C279" s="190">
        <f t="shared" si="64"/>
        <v>1459832</v>
      </c>
      <c r="D279" s="190">
        <v>121</v>
      </c>
      <c r="E279" s="190">
        <f t="shared" si="65"/>
        <v>39600</v>
      </c>
      <c r="F279" s="190">
        <f t="shared" si="66"/>
        <v>6830</v>
      </c>
      <c r="G279" s="219">
        <v>1288785</v>
      </c>
      <c r="H279" s="190">
        <v>3757</v>
      </c>
      <c r="I279" s="190">
        <v>28567</v>
      </c>
      <c r="J279" s="4">
        <f t="shared" si="56"/>
        <v>4049975</v>
      </c>
      <c r="K279" s="162">
        <v>4687</v>
      </c>
      <c r="L279" s="162">
        <v>2072109</v>
      </c>
      <c r="M279" s="163">
        <f t="shared" si="57"/>
        <v>2076796</v>
      </c>
      <c r="N279" s="111">
        <v>10228</v>
      </c>
      <c r="O279" s="111">
        <v>291315</v>
      </c>
      <c r="P279" s="111">
        <v>1037782</v>
      </c>
      <c r="Q279" s="163">
        <f t="shared" si="58"/>
        <v>120507</v>
      </c>
      <c r="R279" s="156">
        <f t="shared" si="62"/>
        <v>131447</v>
      </c>
      <c r="S279" s="164">
        <f t="shared" si="67"/>
        <v>-172</v>
      </c>
      <c r="T279" s="13">
        <f t="shared" si="68"/>
        <v>-1750</v>
      </c>
      <c r="U279" s="110"/>
      <c r="V279" s="302"/>
      <c r="W279" s="63"/>
      <c r="X279" s="161"/>
    </row>
    <row r="280" spans="1:25" x14ac:dyDescent="0.25">
      <c r="A280" s="165">
        <v>44171</v>
      </c>
      <c r="B280" s="190">
        <v>3278</v>
      </c>
      <c r="C280" s="190">
        <f t="shared" si="64"/>
        <v>1463110</v>
      </c>
      <c r="D280" s="190">
        <v>138</v>
      </c>
      <c r="E280" s="190">
        <f t="shared" si="65"/>
        <v>39738</v>
      </c>
      <c r="F280" s="190">
        <f t="shared" si="66"/>
        <v>5907</v>
      </c>
      <c r="G280" s="219">
        <v>1294692</v>
      </c>
      <c r="H280" s="190">
        <v>3735</v>
      </c>
      <c r="I280" s="190">
        <v>16826</v>
      </c>
      <c r="J280" s="4">
        <f t="shared" si="56"/>
        <v>4066801</v>
      </c>
      <c r="K280" s="162">
        <v>4696</v>
      </c>
      <c r="L280" s="162">
        <v>2083087</v>
      </c>
      <c r="M280" s="163">
        <f t="shared" si="57"/>
        <v>2087783</v>
      </c>
      <c r="N280" s="111">
        <v>10245</v>
      </c>
      <c r="O280" s="111">
        <v>291769</v>
      </c>
      <c r="P280" s="111">
        <v>1041718</v>
      </c>
      <c r="Q280" s="163">
        <f t="shared" si="58"/>
        <v>119378</v>
      </c>
      <c r="R280" s="156">
        <f t="shared" si="62"/>
        <v>128680</v>
      </c>
      <c r="S280" s="164">
        <f t="shared" si="67"/>
        <v>-22</v>
      </c>
      <c r="T280" s="13">
        <f t="shared" si="68"/>
        <v>-2767</v>
      </c>
      <c r="U280" s="110"/>
      <c r="V280" s="302"/>
      <c r="W280" s="63"/>
      <c r="X280" s="161"/>
    </row>
    <row r="281" spans="1:25" x14ac:dyDescent="0.25">
      <c r="A281" s="165">
        <v>44172</v>
      </c>
      <c r="B281" s="190">
        <v>3199</v>
      </c>
      <c r="C281" s="212">
        <f t="shared" si="64"/>
        <v>1466309</v>
      </c>
      <c r="D281" s="190">
        <v>118</v>
      </c>
      <c r="E281" s="190">
        <f t="shared" si="65"/>
        <v>39856</v>
      </c>
      <c r="F281" s="190">
        <f t="shared" si="66"/>
        <v>6004</v>
      </c>
      <c r="G281" s="219">
        <v>1300696</v>
      </c>
      <c r="H281" s="190">
        <v>3723</v>
      </c>
      <c r="I281" s="190">
        <v>9951</v>
      </c>
      <c r="J281" s="4">
        <f t="shared" si="56"/>
        <v>4076752</v>
      </c>
      <c r="K281" s="7">
        <v>4703</v>
      </c>
      <c r="L281" s="7">
        <v>2088287</v>
      </c>
      <c r="M281" s="163">
        <f t="shared" si="57"/>
        <v>2092990</v>
      </c>
      <c r="N281" s="4">
        <v>10262</v>
      </c>
      <c r="O281" s="4">
        <v>292290</v>
      </c>
      <c r="P281" s="4">
        <v>1047405</v>
      </c>
      <c r="Q281" s="163">
        <f t="shared" si="58"/>
        <v>116352</v>
      </c>
      <c r="R281" s="156">
        <f t="shared" si="62"/>
        <v>125757</v>
      </c>
      <c r="S281" s="164">
        <f t="shared" si="67"/>
        <v>-12</v>
      </c>
      <c r="T281" s="13">
        <f t="shared" si="68"/>
        <v>-2923</v>
      </c>
      <c r="U281" s="110"/>
      <c r="V281" s="302"/>
      <c r="W281" s="63"/>
      <c r="X281" s="161"/>
    </row>
    <row r="282" spans="1:25" x14ac:dyDescent="0.25">
      <c r="A282" s="165">
        <v>44173</v>
      </c>
      <c r="B282" s="190">
        <v>3610</v>
      </c>
      <c r="C282" s="190">
        <f t="shared" si="64"/>
        <v>1469919</v>
      </c>
      <c r="D282" s="190">
        <v>120</v>
      </c>
      <c r="E282" s="190">
        <f t="shared" si="65"/>
        <v>39976</v>
      </c>
      <c r="F282" s="190">
        <f t="shared" si="66"/>
        <v>4891</v>
      </c>
      <c r="G282" s="219">
        <v>1305587</v>
      </c>
      <c r="H282" s="190">
        <v>3715</v>
      </c>
      <c r="I282" s="190">
        <v>13302</v>
      </c>
      <c r="J282" s="4">
        <f t="shared" si="56"/>
        <v>4090054</v>
      </c>
      <c r="K282" s="7">
        <v>4726</v>
      </c>
      <c r="L282" s="7">
        <v>2095475</v>
      </c>
      <c r="M282" s="163">
        <f t="shared" si="57"/>
        <v>2100201</v>
      </c>
      <c r="N282" s="4">
        <v>10276</v>
      </c>
      <c r="O282" s="4">
        <v>292866</v>
      </c>
      <c r="P282" s="4">
        <v>1053314</v>
      </c>
      <c r="Q282" s="163">
        <f t="shared" si="58"/>
        <v>113463</v>
      </c>
      <c r="R282" s="156">
        <f t="shared" si="62"/>
        <v>124356</v>
      </c>
      <c r="S282" s="164">
        <f t="shared" si="67"/>
        <v>-8</v>
      </c>
      <c r="T282" s="13">
        <f t="shared" si="68"/>
        <v>-1401</v>
      </c>
      <c r="U282" s="110"/>
      <c r="V282" s="302"/>
      <c r="X282" s="161"/>
    </row>
    <row r="283" spans="1:25" x14ac:dyDescent="0.25">
      <c r="A283" s="116">
        <v>44174</v>
      </c>
      <c r="B283" s="190">
        <v>5303</v>
      </c>
      <c r="C283" s="190">
        <f t="shared" ref="C283:C289" si="69">C282+B283</f>
        <v>1475222</v>
      </c>
      <c r="D283" s="190">
        <v>212</v>
      </c>
      <c r="E283" s="190">
        <f t="shared" ref="E283:E289" si="70">E282+D283</f>
        <v>40188</v>
      </c>
      <c r="F283" s="190">
        <f t="shared" si="66"/>
        <v>5901</v>
      </c>
      <c r="G283" s="219">
        <v>1311488</v>
      </c>
      <c r="H283" s="190">
        <v>3688</v>
      </c>
      <c r="I283" s="190">
        <v>20785</v>
      </c>
      <c r="J283" s="4">
        <f t="shared" si="56"/>
        <v>4110839</v>
      </c>
      <c r="K283" s="7">
        <v>4782</v>
      </c>
      <c r="L283" s="7">
        <v>2108441</v>
      </c>
      <c r="M283" s="163">
        <f t="shared" si="57"/>
        <v>2113223</v>
      </c>
      <c r="N283" s="4">
        <v>10316</v>
      </c>
      <c r="O283" s="4">
        <v>294068</v>
      </c>
      <c r="P283" s="4">
        <v>1058646</v>
      </c>
      <c r="Q283" s="163">
        <f t="shared" si="58"/>
        <v>112192</v>
      </c>
      <c r="R283" s="156">
        <f t="shared" si="62"/>
        <v>123546</v>
      </c>
      <c r="S283" s="164">
        <f t="shared" si="67"/>
        <v>-27</v>
      </c>
      <c r="T283" s="13">
        <f t="shared" si="68"/>
        <v>-810</v>
      </c>
      <c r="U283" s="110"/>
      <c r="V283" s="302"/>
      <c r="X283" s="55"/>
    </row>
    <row r="284" spans="1:25" x14ac:dyDescent="0.25">
      <c r="A284" s="116">
        <v>44175</v>
      </c>
      <c r="B284" s="190">
        <v>6994</v>
      </c>
      <c r="C284" s="190">
        <f t="shared" si="69"/>
        <v>1482216</v>
      </c>
      <c r="D284" s="190">
        <v>209</v>
      </c>
      <c r="E284" s="190">
        <f t="shared" si="70"/>
        <v>40397</v>
      </c>
      <c r="F284" s="190">
        <f t="shared" si="66"/>
        <v>6699</v>
      </c>
      <c r="G284" s="219">
        <v>1318187</v>
      </c>
      <c r="H284" s="190">
        <v>3665</v>
      </c>
      <c r="I284" s="190">
        <v>28166</v>
      </c>
      <c r="J284" s="4">
        <f t="shared" si="56"/>
        <v>4139005</v>
      </c>
      <c r="K284" s="7">
        <v>4881</v>
      </c>
      <c r="L284" s="7">
        <v>2124880</v>
      </c>
      <c r="M284" s="163">
        <f t="shared" si="57"/>
        <v>2129761</v>
      </c>
      <c r="N284" s="4">
        <v>10335</v>
      </c>
      <c r="O284" s="4">
        <v>295491</v>
      </c>
      <c r="P284" s="4">
        <v>1064115</v>
      </c>
      <c r="Q284" s="163">
        <f t="shared" si="58"/>
        <v>112275</v>
      </c>
      <c r="R284" s="156">
        <f t="shared" si="62"/>
        <v>123632</v>
      </c>
      <c r="S284" s="164">
        <f t="shared" si="67"/>
        <v>-23</v>
      </c>
      <c r="T284" s="13">
        <f t="shared" si="68"/>
        <v>86</v>
      </c>
      <c r="U284" s="110"/>
      <c r="V284" s="302"/>
      <c r="X284" s="55"/>
    </row>
    <row r="285" spans="1:25" x14ac:dyDescent="0.25">
      <c r="A285" s="116">
        <v>44176</v>
      </c>
      <c r="B285" s="190">
        <v>7112</v>
      </c>
      <c r="C285" s="190">
        <f t="shared" si="69"/>
        <v>1489328</v>
      </c>
      <c r="D285" s="190">
        <v>177</v>
      </c>
      <c r="E285" s="190">
        <f t="shared" si="70"/>
        <v>40574</v>
      </c>
      <c r="F285" s="190">
        <f t="shared" si="66"/>
        <v>6605</v>
      </c>
      <c r="G285" s="219">
        <v>1324792</v>
      </c>
      <c r="H285" s="190">
        <v>3620</v>
      </c>
      <c r="I285" s="190">
        <v>36805</v>
      </c>
      <c r="J285" s="4">
        <f t="shared" si="56"/>
        <v>4175810</v>
      </c>
      <c r="K285" s="7">
        <v>4940</v>
      </c>
      <c r="L285" s="7">
        <v>2147972</v>
      </c>
      <c r="M285" s="163">
        <f t="shared" si="57"/>
        <v>2152912</v>
      </c>
      <c r="N285" s="4">
        <v>10375</v>
      </c>
      <c r="O285" s="4">
        <v>296884</v>
      </c>
      <c r="P285" s="4">
        <v>1068414</v>
      </c>
      <c r="Q285" s="163">
        <f t="shared" si="58"/>
        <v>113655</v>
      </c>
      <c r="R285" s="156">
        <f t="shared" si="62"/>
        <v>123962</v>
      </c>
      <c r="S285" s="164">
        <f t="shared" si="67"/>
        <v>-45</v>
      </c>
      <c r="T285" s="13">
        <f t="shared" si="68"/>
        <v>330</v>
      </c>
      <c r="U285" s="110"/>
      <c r="V285" s="302"/>
      <c r="W285" s="63"/>
      <c r="X285" s="55"/>
      <c r="Y285" s="63"/>
    </row>
    <row r="286" spans="1:25" x14ac:dyDescent="0.25">
      <c r="A286" s="167">
        <v>44177</v>
      </c>
      <c r="B286" s="190">
        <v>5274</v>
      </c>
      <c r="C286" s="190">
        <f t="shared" si="69"/>
        <v>1494602</v>
      </c>
      <c r="D286" s="190">
        <v>62</v>
      </c>
      <c r="E286" s="190">
        <f t="shared" si="70"/>
        <v>40636</v>
      </c>
      <c r="F286" s="190">
        <f t="shared" si="66"/>
        <v>5368</v>
      </c>
      <c r="G286" s="219">
        <v>1330160</v>
      </c>
      <c r="H286" s="190">
        <v>3594</v>
      </c>
      <c r="I286" s="190">
        <v>27204</v>
      </c>
      <c r="J286" s="4">
        <f t="shared" si="56"/>
        <v>4203014</v>
      </c>
      <c r="K286" s="7">
        <v>4983</v>
      </c>
      <c r="L286" s="7">
        <v>2164993</v>
      </c>
      <c r="M286" s="163">
        <f t="shared" si="57"/>
        <v>2169976</v>
      </c>
      <c r="N286" s="4">
        <v>10396</v>
      </c>
      <c r="O286" s="4">
        <v>297737</v>
      </c>
      <c r="P286" s="4">
        <v>1071431</v>
      </c>
      <c r="Q286" s="163">
        <f t="shared" si="58"/>
        <v>115038</v>
      </c>
      <c r="R286" s="156">
        <f t="shared" si="62"/>
        <v>123806</v>
      </c>
      <c r="S286" s="164">
        <f t="shared" si="67"/>
        <v>-26</v>
      </c>
      <c r="T286" s="13">
        <f t="shared" si="68"/>
        <v>-156</v>
      </c>
      <c r="U286" s="110"/>
      <c r="V286" s="302"/>
    </row>
    <row r="287" spans="1:25" x14ac:dyDescent="0.25">
      <c r="A287" s="167">
        <v>44178</v>
      </c>
      <c r="B287" s="190">
        <v>3558</v>
      </c>
      <c r="C287" s="190">
        <f t="shared" si="69"/>
        <v>1498160</v>
      </c>
      <c r="D287" s="190">
        <v>98</v>
      </c>
      <c r="E287" s="190">
        <f t="shared" si="70"/>
        <v>40734</v>
      </c>
      <c r="F287" s="190">
        <f t="shared" ref="F287:F332" si="71">G287-G286</f>
        <v>5157</v>
      </c>
      <c r="G287" s="219">
        <v>1335317</v>
      </c>
      <c r="H287" s="190">
        <v>3537</v>
      </c>
      <c r="I287" s="190">
        <v>21793</v>
      </c>
      <c r="J287" s="4">
        <f t="shared" si="56"/>
        <v>4224807</v>
      </c>
      <c r="K287" s="7">
        <v>5042</v>
      </c>
      <c r="L287" s="7">
        <v>2180522</v>
      </c>
      <c r="M287" s="163">
        <f t="shared" si="57"/>
        <v>2185564</v>
      </c>
      <c r="N287" s="4">
        <v>10424</v>
      </c>
      <c r="O287" s="4">
        <v>298310</v>
      </c>
      <c r="P287" s="4">
        <v>1073462</v>
      </c>
      <c r="Q287" s="163">
        <f t="shared" si="58"/>
        <v>115964</v>
      </c>
      <c r="R287" s="156">
        <f t="shared" si="62"/>
        <v>122109</v>
      </c>
      <c r="S287" s="164">
        <f t="shared" si="67"/>
        <v>-57</v>
      </c>
      <c r="T287" s="13">
        <f t="shared" si="68"/>
        <v>-1697</v>
      </c>
      <c r="U287" s="110"/>
      <c r="V287" s="302"/>
    </row>
    <row r="288" spans="1:25" x14ac:dyDescent="0.25">
      <c r="A288" s="168">
        <v>44179</v>
      </c>
      <c r="B288" s="190">
        <v>5062</v>
      </c>
      <c r="C288" s="190">
        <f t="shared" si="69"/>
        <v>1503222</v>
      </c>
      <c r="D288" s="190">
        <v>274</v>
      </c>
      <c r="E288" s="190">
        <f t="shared" si="70"/>
        <v>41008</v>
      </c>
      <c r="F288" s="190">
        <f t="shared" si="71"/>
        <v>4803</v>
      </c>
      <c r="G288" s="219">
        <v>1340120</v>
      </c>
      <c r="H288" s="190">
        <v>3478</v>
      </c>
      <c r="I288" s="190">
        <v>43000</v>
      </c>
      <c r="J288" s="4">
        <f t="shared" si="56"/>
        <v>4267807</v>
      </c>
      <c r="K288" s="7">
        <v>5131</v>
      </c>
      <c r="L288" s="7">
        <v>2215097</v>
      </c>
      <c r="M288" s="163">
        <f t="shared" si="57"/>
        <v>2220228</v>
      </c>
      <c r="N288" s="4">
        <v>10451</v>
      </c>
      <c r="O288" s="4">
        <v>299430</v>
      </c>
      <c r="P288" s="4">
        <v>1076117</v>
      </c>
      <c r="Q288" s="163">
        <f t="shared" si="58"/>
        <v>117224</v>
      </c>
      <c r="R288" s="156">
        <f t="shared" si="62"/>
        <v>122094</v>
      </c>
      <c r="S288" s="164">
        <f t="shared" ref="S288:S295" si="72">H288-H287</f>
        <v>-59</v>
      </c>
      <c r="T288" s="13">
        <f t="shared" ref="T288:T295" si="73">(C288-G288-E288)-(C287-E287-G287)</f>
        <v>-15</v>
      </c>
      <c r="U288" s="110"/>
      <c r="V288" s="302"/>
    </row>
    <row r="289" spans="1:22" x14ac:dyDescent="0.25">
      <c r="A289" s="168">
        <v>44180</v>
      </c>
      <c r="B289" s="190">
        <v>6981</v>
      </c>
      <c r="C289" s="190">
        <f t="shared" si="69"/>
        <v>1510203</v>
      </c>
      <c r="D289" s="190">
        <v>165</v>
      </c>
      <c r="E289" s="190">
        <f t="shared" si="70"/>
        <v>41173</v>
      </c>
      <c r="F289" s="190">
        <f t="shared" si="71"/>
        <v>4180</v>
      </c>
      <c r="G289" s="219">
        <v>1344300</v>
      </c>
      <c r="H289" s="190">
        <v>3475</v>
      </c>
      <c r="I289" s="190">
        <v>36591</v>
      </c>
      <c r="J289" s="4">
        <f t="shared" si="56"/>
        <v>4304398</v>
      </c>
      <c r="K289" s="7">
        <v>5271</v>
      </c>
      <c r="L289" s="7">
        <v>2238751</v>
      </c>
      <c r="M289" s="163">
        <f t="shared" si="57"/>
        <v>2244022</v>
      </c>
      <c r="N289" s="4">
        <v>10483</v>
      </c>
      <c r="O289" s="4">
        <v>301009</v>
      </c>
      <c r="P289" s="4">
        <v>1078240</v>
      </c>
      <c r="Q289" s="163">
        <f t="shared" si="58"/>
        <v>120471</v>
      </c>
      <c r="R289" s="156">
        <f t="shared" si="62"/>
        <v>124730</v>
      </c>
      <c r="S289" s="164">
        <f t="shared" si="72"/>
        <v>-3</v>
      </c>
      <c r="T289" s="13">
        <f t="shared" si="73"/>
        <v>2636</v>
      </c>
      <c r="U289" s="110"/>
      <c r="V289" s="302"/>
    </row>
    <row r="290" spans="1:22" x14ac:dyDescent="0.25">
      <c r="A290" s="168">
        <v>44181</v>
      </c>
      <c r="B290" s="190">
        <v>6843</v>
      </c>
      <c r="C290" s="190">
        <f t="shared" ref="C290:C295" si="74">C289+B290</f>
        <v>1517046</v>
      </c>
      <c r="D290" s="190">
        <v>162</v>
      </c>
      <c r="E290" s="190">
        <f t="shared" ref="E290:E295" si="75">E289+D290</f>
        <v>41335</v>
      </c>
      <c r="F290" s="190">
        <f t="shared" si="71"/>
        <v>3614</v>
      </c>
      <c r="G290" s="219">
        <v>1347914</v>
      </c>
      <c r="H290" s="190">
        <v>3443</v>
      </c>
      <c r="I290" s="190">
        <v>34599</v>
      </c>
      <c r="J290" s="4">
        <f t="shared" si="56"/>
        <v>4338997</v>
      </c>
      <c r="K290" s="7">
        <v>5417</v>
      </c>
      <c r="L290" s="7">
        <v>2259690</v>
      </c>
      <c r="M290" s="163">
        <f t="shared" si="57"/>
        <v>2265107</v>
      </c>
      <c r="N290" s="4">
        <v>10548</v>
      </c>
      <c r="O290" s="4">
        <v>302498</v>
      </c>
      <c r="P290" s="4">
        <v>1083034</v>
      </c>
      <c r="Q290" s="163">
        <f t="shared" si="58"/>
        <v>120966</v>
      </c>
      <c r="R290" s="156">
        <f t="shared" si="62"/>
        <v>127797</v>
      </c>
      <c r="S290" s="164">
        <f t="shared" si="72"/>
        <v>-32</v>
      </c>
      <c r="T290" s="13">
        <f t="shared" si="73"/>
        <v>3067</v>
      </c>
      <c r="U290" s="110"/>
      <c r="V290" s="302"/>
    </row>
    <row r="291" spans="1:22" x14ac:dyDescent="0.25">
      <c r="A291" s="168">
        <v>44182</v>
      </c>
      <c r="B291" s="190">
        <v>7326</v>
      </c>
      <c r="C291" s="190">
        <f t="shared" si="74"/>
        <v>1524372</v>
      </c>
      <c r="D291" s="190">
        <v>169</v>
      </c>
      <c r="E291" s="190">
        <f t="shared" si="75"/>
        <v>41504</v>
      </c>
      <c r="F291" s="190">
        <f t="shared" si="71"/>
        <v>4642</v>
      </c>
      <c r="G291" s="219">
        <v>1352556</v>
      </c>
      <c r="H291" s="190">
        <v>3471</v>
      </c>
      <c r="I291" s="190">
        <v>31936</v>
      </c>
      <c r="J291" s="4">
        <f t="shared" si="56"/>
        <v>4370933</v>
      </c>
      <c r="K291" s="7">
        <v>5509</v>
      </c>
      <c r="L291" s="7">
        <v>2279140</v>
      </c>
      <c r="M291" s="163">
        <f t="shared" si="57"/>
        <v>2284649</v>
      </c>
      <c r="N291" s="4">
        <v>10614</v>
      </c>
      <c r="O291" s="4">
        <v>304151</v>
      </c>
      <c r="P291" s="4">
        <v>1088190</v>
      </c>
      <c r="Q291" s="163">
        <f t="shared" si="58"/>
        <v>121417</v>
      </c>
      <c r="R291" s="156">
        <f t="shared" si="62"/>
        <v>130312</v>
      </c>
      <c r="S291" s="164">
        <f t="shared" si="72"/>
        <v>28</v>
      </c>
      <c r="T291" s="13">
        <f t="shared" si="73"/>
        <v>2515</v>
      </c>
      <c r="U291" s="110"/>
      <c r="V291" s="302"/>
    </row>
    <row r="292" spans="1:22" x14ac:dyDescent="0.25">
      <c r="A292" s="170">
        <v>44183</v>
      </c>
      <c r="B292" s="197">
        <v>7002</v>
      </c>
      <c r="C292" s="197">
        <f t="shared" si="74"/>
        <v>1531374</v>
      </c>
      <c r="D292" s="197">
        <v>138</v>
      </c>
      <c r="E292" s="197">
        <f t="shared" si="75"/>
        <v>41642</v>
      </c>
      <c r="F292" s="197">
        <f t="shared" si="71"/>
        <v>4199</v>
      </c>
      <c r="G292" s="219">
        <v>1356755</v>
      </c>
      <c r="H292" s="197">
        <v>3434</v>
      </c>
      <c r="I292" s="197">
        <v>32002</v>
      </c>
      <c r="J292" s="4">
        <f t="shared" si="56"/>
        <v>4402935</v>
      </c>
      <c r="K292" s="47">
        <v>5573</v>
      </c>
      <c r="L292" s="47">
        <v>2298394</v>
      </c>
      <c r="M292" s="171">
        <f t="shared" si="57"/>
        <v>2303967</v>
      </c>
      <c r="N292" s="30">
        <v>10658</v>
      </c>
      <c r="O292" s="30">
        <v>305458</v>
      </c>
      <c r="P292" s="30">
        <v>1093180</v>
      </c>
      <c r="Q292" s="171">
        <f t="shared" si="58"/>
        <v>122078</v>
      </c>
      <c r="R292" s="156">
        <f t="shared" si="62"/>
        <v>132977</v>
      </c>
      <c r="S292" s="164">
        <f t="shared" si="72"/>
        <v>-37</v>
      </c>
      <c r="T292" s="13">
        <f t="shared" si="73"/>
        <v>2665</v>
      </c>
      <c r="U292" s="110"/>
      <c r="V292" s="302"/>
    </row>
    <row r="293" spans="1:22" x14ac:dyDescent="0.25">
      <c r="A293" s="175">
        <v>44184</v>
      </c>
      <c r="B293" s="204">
        <v>5795</v>
      </c>
      <c r="C293" s="204">
        <f t="shared" si="74"/>
        <v>1537169</v>
      </c>
      <c r="D293" s="204">
        <v>91</v>
      </c>
      <c r="E293" s="204">
        <f t="shared" si="75"/>
        <v>41733</v>
      </c>
      <c r="F293" s="204">
        <f t="shared" si="71"/>
        <v>5862</v>
      </c>
      <c r="G293" s="219">
        <v>1362617</v>
      </c>
      <c r="H293" s="204">
        <v>3452</v>
      </c>
      <c r="I293" s="204">
        <v>27403</v>
      </c>
      <c r="J293" s="4">
        <f t="shared" si="56"/>
        <v>4430338</v>
      </c>
      <c r="K293" s="173">
        <v>5632</v>
      </c>
      <c r="L293" s="173">
        <v>2314565</v>
      </c>
      <c r="M293" s="174">
        <f t="shared" si="57"/>
        <v>2320197</v>
      </c>
      <c r="N293" s="172">
        <v>10688</v>
      </c>
      <c r="O293" s="172">
        <v>306243</v>
      </c>
      <c r="P293" s="172">
        <v>1096091</v>
      </c>
      <c r="Q293" s="174">
        <f t="shared" si="58"/>
        <v>124147</v>
      </c>
      <c r="R293" s="156">
        <f t="shared" si="62"/>
        <v>132819</v>
      </c>
      <c r="S293" s="169">
        <f t="shared" si="72"/>
        <v>18</v>
      </c>
      <c r="T293" s="13">
        <f t="shared" si="73"/>
        <v>-158</v>
      </c>
      <c r="U293" s="110"/>
      <c r="V293" s="302"/>
    </row>
    <row r="294" spans="1:22" x14ac:dyDescent="0.25">
      <c r="A294" s="177">
        <v>44185</v>
      </c>
      <c r="B294" s="197">
        <v>4116</v>
      </c>
      <c r="C294" s="197">
        <f t="shared" si="74"/>
        <v>1541285</v>
      </c>
      <c r="D294" s="197">
        <v>50</v>
      </c>
      <c r="E294" s="197">
        <f t="shared" si="75"/>
        <v>41783</v>
      </c>
      <c r="F294" s="197">
        <f t="shared" si="71"/>
        <v>5729</v>
      </c>
      <c r="G294" s="219">
        <v>1368346</v>
      </c>
      <c r="H294" s="197">
        <v>3462</v>
      </c>
      <c r="I294" s="197">
        <v>32148</v>
      </c>
      <c r="J294" s="4">
        <f t="shared" si="56"/>
        <v>4462486</v>
      </c>
      <c r="K294" s="178">
        <v>5765</v>
      </c>
      <c r="L294" s="179">
        <v>2338847</v>
      </c>
      <c r="M294" s="180">
        <f t="shared" si="57"/>
        <v>2344612</v>
      </c>
      <c r="N294" s="176">
        <v>10715</v>
      </c>
      <c r="O294" s="176">
        <v>306830</v>
      </c>
      <c r="P294" s="176">
        <v>1098359</v>
      </c>
      <c r="Q294" s="180">
        <f t="shared" si="58"/>
        <v>125381</v>
      </c>
      <c r="R294" s="156">
        <f t="shared" si="62"/>
        <v>131156</v>
      </c>
      <c r="S294" s="181">
        <f t="shared" si="72"/>
        <v>10</v>
      </c>
      <c r="T294" s="150">
        <f t="shared" si="73"/>
        <v>-1663</v>
      </c>
      <c r="U294" s="110"/>
      <c r="V294" s="302"/>
    </row>
    <row r="295" spans="1:22" x14ac:dyDescent="0.25">
      <c r="A295" s="168">
        <v>44186</v>
      </c>
      <c r="B295" s="190">
        <v>5853</v>
      </c>
      <c r="C295" s="190">
        <f t="shared" si="74"/>
        <v>1547138</v>
      </c>
      <c r="D295" s="190">
        <v>184</v>
      </c>
      <c r="E295" s="190">
        <f t="shared" si="75"/>
        <v>41967</v>
      </c>
      <c r="F295" s="190">
        <f t="shared" si="71"/>
        <v>6055</v>
      </c>
      <c r="G295" s="219">
        <v>1374401</v>
      </c>
      <c r="H295" s="190">
        <v>3367</v>
      </c>
      <c r="I295" s="190">
        <v>24076</v>
      </c>
      <c r="J295" s="4">
        <f t="shared" si="56"/>
        <v>4486562</v>
      </c>
      <c r="K295" s="7">
        <v>5890</v>
      </c>
      <c r="L295" s="7">
        <v>2353622</v>
      </c>
      <c r="M295" s="163">
        <f t="shared" si="57"/>
        <v>2359512</v>
      </c>
      <c r="N295" s="4">
        <v>10750</v>
      </c>
      <c r="O295" s="4">
        <v>308256</v>
      </c>
      <c r="P295" s="4">
        <v>1103443</v>
      </c>
      <c r="Q295" s="163">
        <f t="shared" si="58"/>
        <v>124689</v>
      </c>
      <c r="R295" s="156">
        <f t="shared" si="62"/>
        <v>130770</v>
      </c>
      <c r="S295" s="164">
        <f t="shared" si="72"/>
        <v>-95</v>
      </c>
      <c r="T295" s="13">
        <f t="shared" si="73"/>
        <v>-386</v>
      </c>
      <c r="U295" s="110"/>
      <c r="V295" s="302"/>
    </row>
    <row r="296" spans="1:22" x14ac:dyDescent="0.25">
      <c r="A296" s="168">
        <v>44187</v>
      </c>
      <c r="B296" s="190">
        <v>8141</v>
      </c>
      <c r="C296" s="190">
        <f t="shared" ref="C296:C332" si="76">C295+B296</f>
        <v>1555279</v>
      </c>
      <c r="D296" s="190">
        <v>255</v>
      </c>
      <c r="E296" s="190">
        <f t="shared" ref="E296:E332" si="77">E295+D296</f>
        <v>42222</v>
      </c>
      <c r="F296" s="190">
        <f t="shared" si="71"/>
        <v>5325</v>
      </c>
      <c r="G296" s="219">
        <v>1379726</v>
      </c>
      <c r="H296" s="190">
        <v>3399</v>
      </c>
      <c r="I296" s="190">
        <v>37688</v>
      </c>
      <c r="J296" s="4">
        <f t="shared" si="56"/>
        <v>4524250</v>
      </c>
      <c r="K296" s="7">
        <v>5936</v>
      </c>
      <c r="L296" s="7">
        <v>2390200</v>
      </c>
      <c r="M296" s="163">
        <f t="shared" si="57"/>
        <v>2396136</v>
      </c>
      <c r="N296" s="4">
        <v>10808</v>
      </c>
      <c r="O296" s="4">
        <v>309842</v>
      </c>
      <c r="P296" s="4">
        <v>1109025</v>
      </c>
      <c r="Q296" s="163">
        <f t="shared" si="58"/>
        <v>125604</v>
      </c>
      <c r="R296" s="156">
        <f t="shared" si="62"/>
        <v>133331</v>
      </c>
      <c r="S296" s="57">
        <f>H296-H295</f>
        <v>32</v>
      </c>
      <c r="T296" s="149">
        <f t="shared" ref="T296:T306" si="78">(C296-G296-E296)-(C295-E295-G295)</f>
        <v>2561</v>
      </c>
      <c r="U296" s="110"/>
      <c r="V296" s="302"/>
    </row>
    <row r="297" spans="1:22" x14ac:dyDescent="0.25">
      <c r="A297" s="168">
        <v>44188</v>
      </c>
      <c r="B297" s="190">
        <v>8586</v>
      </c>
      <c r="C297" s="190">
        <f t="shared" si="76"/>
        <v>1563865</v>
      </c>
      <c r="D297" s="190">
        <v>60</v>
      </c>
      <c r="E297" s="190">
        <f t="shared" si="77"/>
        <v>42282</v>
      </c>
      <c r="F297" s="190">
        <f t="shared" si="71"/>
        <v>4551</v>
      </c>
      <c r="G297" s="219">
        <v>1384277</v>
      </c>
      <c r="H297" s="190">
        <v>3390</v>
      </c>
      <c r="I297" s="190">
        <v>39323</v>
      </c>
      <c r="J297" s="4">
        <f t="shared" si="56"/>
        <v>4563573</v>
      </c>
      <c r="K297" s="7">
        <v>5897</v>
      </c>
      <c r="L297" s="7">
        <v>2402139</v>
      </c>
      <c r="M297" s="163">
        <f t="shared" si="57"/>
        <v>2408036</v>
      </c>
      <c r="N297" s="4">
        <v>10873</v>
      </c>
      <c r="O297" s="4">
        <v>311072</v>
      </c>
      <c r="P297" s="4">
        <v>1114236</v>
      </c>
      <c r="Q297" s="163">
        <f t="shared" si="58"/>
        <v>127684</v>
      </c>
      <c r="R297" s="156">
        <f t="shared" si="62"/>
        <v>137306</v>
      </c>
      <c r="S297" s="57">
        <f>H297-H296</f>
        <v>-9</v>
      </c>
      <c r="T297" s="149">
        <f t="shared" si="78"/>
        <v>3975</v>
      </c>
      <c r="U297" s="110"/>
      <c r="V297" s="302"/>
    </row>
    <row r="298" spans="1:22" x14ac:dyDescent="0.25">
      <c r="A298" s="170">
        <v>44189</v>
      </c>
      <c r="B298" s="197">
        <v>7815</v>
      </c>
      <c r="C298" s="197">
        <f t="shared" si="76"/>
        <v>1571680</v>
      </c>
      <c r="D298" s="197">
        <v>78</v>
      </c>
      <c r="E298" s="197">
        <f t="shared" si="77"/>
        <v>42360</v>
      </c>
      <c r="F298" s="197">
        <f t="shared" si="71"/>
        <v>6439</v>
      </c>
      <c r="G298" s="220">
        <v>1390716</v>
      </c>
      <c r="H298" s="197">
        <v>3390</v>
      </c>
      <c r="I298" s="190">
        <v>24457</v>
      </c>
      <c r="J298" s="4">
        <f t="shared" ref="J298:J361" si="79">J299-I299</f>
        <v>4588030</v>
      </c>
      <c r="K298" s="7">
        <v>5908</v>
      </c>
      <c r="L298" s="7">
        <v>2423214</v>
      </c>
      <c r="M298" s="163">
        <f t="shared" si="57"/>
        <v>2429122</v>
      </c>
      <c r="N298" s="4">
        <v>10910</v>
      </c>
      <c r="O298" s="4">
        <v>311984</v>
      </c>
      <c r="P298" s="4">
        <v>1119801</v>
      </c>
      <c r="Q298" s="163">
        <f t="shared" si="58"/>
        <v>128985</v>
      </c>
      <c r="R298" s="156">
        <f t="shared" si="62"/>
        <v>138604</v>
      </c>
      <c r="S298" s="57">
        <f>H298-H297</f>
        <v>0</v>
      </c>
      <c r="T298" s="149">
        <f t="shared" si="78"/>
        <v>1298</v>
      </c>
      <c r="U298" s="110"/>
      <c r="V298" s="302"/>
    </row>
    <row r="299" spans="1:22" x14ac:dyDescent="0.25">
      <c r="A299" s="185">
        <v>44190</v>
      </c>
      <c r="B299" s="205">
        <v>2874</v>
      </c>
      <c r="C299" s="205">
        <f t="shared" si="76"/>
        <v>1574554</v>
      </c>
      <c r="D299" s="205">
        <v>30</v>
      </c>
      <c r="E299" s="205">
        <f t="shared" si="77"/>
        <v>42390</v>
      </c>
      <c r="F299" s="205">
        <f t="shared" si="71"/>
        <v>5946</v>
      </c>
      <c r="G299" s="221">
        <v>1396662</v>
      </c>
      <c r="H299" s="205">
        <v>3390</v>
      </c>
      <c r="I299" s="298">
        <v>24454</v>
      </c>
      <c r="J299" s="4">
        <f t="shared" si="79"/>
        <v>4612484</v>
      </c>
      <c r="K299" s="7">
        <v>5907</v>
      </c>
      <c r="L299" s="7">
        <v>2430506</v>
      </c>
      <c r="M299" s="163">
        <f t="shared" si="57"/>
        <v>2436413</v>
      </c>
      <c r="N299" s="4">
        <v>10934</v>
      </c>
      <c r="O299" s="4">
        <v>312308</v>
      </c>
      <c r="P299" s="4">
        <v>1125100</v>
      </c>
      <c r="Q299" s="163">
        <f t="shared" si="58"/>
        <v>126212</v>
      </c>
      <c r="R299" s="156">
        <f t="shared" si="62"/>
        <v>135502</v>
      </c>
      <c r="S299" s="57">
        <f>H299-H298</f>
        <v>0</v>
      </c>
      <c r="T299" s="149">
        <f t="shared" si="78"/>
        <v>-3102</v>
      </c>
      <c r="U299" s="110"/>
      <c r="V299" s="302"/>
    </row>
    <row r="300" spans="1:22" x14ac:dyDescent="0.25">
      <c r="A300" s="185">
        <v>44191</v>
      </c>
      <c r="B300" s="205">
        <v>3713</v>
      </c>
      <c r="C300" s="205">
        <f t="shared" si="76"/>
        <v>1578267</v>
      </c>
      <c r="D300" s="205">
        <v>79</v>
      </c>
      <c r="E300" s="205">
        <f t="shared" si="77"/>
        <v>42469</v>
      </c>
      <c r="F300" s="205">
        <f t="shared" si="71"/>
        <v>5565</v>
      </c>
      <c r="G300" s="221">
        <v>1402227</v>
      </c>
      <c r="H300" s="205">
        <v>3262</v>
      </c>
      <c r="I300" s="298">
        <v>14984</v>
      </c>
      <c r="J300" s="4">
        <f t="shared" si="79"/>
        <v>4627468</v>
      </c>
      <c r="K300" s="7">
        <v>5931</v>
      </c>
      <c r="L300" s="7">
        <v>2439459</v>
      </c>
      <c r="M300" s="163">
        <f>L300+K300</f>
        <v>2445390</v>
      </c>
      <c r="N300" s="4">
        <v>10957</v>
      </c>
      <c r="O300" s="4">
        <v>312971</v>
      </c>
      <c r="P300" s="4">
        <v>1128587</v>
      </c>
      <c r="Q300" s="163">
        <f>C300-N300-O300-P300</f>
        <v>125752</v>
      </c>
      <c r="R300" s="156">
        <f t="shared" si="62"/>
        <v>133571</v>
      </c>
      <c r="S300" s="57">
        <f>H300-H297</f>
        <v>-128</v>
      </c>
      <c r="T300" s="149">
        <f t="shared" si="78"/>
        <v>-1931</v>
      </c>
      <c r="U300" s="110"/>
      <c r="V300" s="302"/>
    </row>
    <row r="301" spans="1:22" x14ac:dyDescent="0.25">
      <c r="A301" s="187">
        <v>44192</v>
      </c>
      <c r="B301" s="206">
        <v>5030</v>
      </c>
      <c r="C301" s="206">
        <f t="shared" si="76"/>
        <v>1583297</v>
      </c>
      <c r="D301" s="206">
        <v>149</v>
      </c>
      <c r="E301" s="206">
        <f t="shared" si="77"/>
        <v>42618</v>
      </c>
      <c r="F301" s="206">
        <f t="shared" si="71"/>
        <v>5699</v>
      </c>
      <c r="G301" s="222">
        <v>1407926</v>
      </c>
      <c r="H301" s="206">
        <v>3313</v>
      </c>
      <c r="I301" s="300">
        <v>21455</v>
      </c>
      <c r="J301" s="4">
        <f t="shared" si="79"/>
        <v>4648923</v>
      </c>
      <c r="K301" s="47">
        <v>5941</v>
      </c>
      <c r="L301" s="47">
        <v>2453195</v>
      </c>
      <c r="M301" s="171">
        <f>L301+K301</f>
        <v>2459136</v>
      </c>
      <c r="N301" s="30">
        <v>10979</v>
      </c>
      <c r="O301" s="30">
        <v>313631</v>
      </c>
      <c r="P301" s="30">
        <v>1131589</v>
      </c>
      <c r="Q301" s="171">
        <f>C301-N301-O301-P301</f>
        <v>127098</v>
      </c>
      <c r="R301" s="156">
        <f t="shared" si="62"/>
        <v>132753</v>
      </c>
      <c r="S301" s="100">
        <f t="shared" ref="S301:S306" si="80">H301-H300</f>
        <v>51</v>
      </c>
      <c r="T301" s="184">
        <f t="shared" si="78"/>
        <v>-818</v>
      </c>
      <c r="U301" s="110"/>
      <c r="V301" s="302"/>
    </row>
    <row r="302" spans="1:22" x14ac:dyDescent="0.25">
      <c r="A302" s="168">
        <v>44193</v>
      </c>
      <c r="B302" s="190">
        <v>7216</v>
      </c>
      <c r="C302" s="190">
        <f t="shared" si="76"/>
        <v>1590513</v>
      </c>
      <c r="D302" s="190">
        <v>218</v>
      </c>
      <c r="E302" s="190">
        <f t="shared" si="77"/>
        <v>42836</v>
      </c>
      <c r="F302" s="190">
        <f t="shared" si="71"/>
        <v>6754</v>
      </c>
      <c r="G302" s="219">
        <v>1414680</v>
      </c>
      <c r="H302" s="190">
        <v>3319</v>
      </c>
      <c r="I302" s="190">
        <v>28978</v>
      </c>
      <c r="J302" s="4">
        <f t="shared" si="79"/>
        <v>4677901</v>
      </c>
      <c r="K302" s="7">
        <v>6049</v>
      </c>
      <c r="L302" s="7">
        <v>2470756</v>
      </c>
      <c r="M302" s="163">
        <f>L302+K302</f>
        <v>2476805</v>
      </c>
      <c r="N302" s="4">
        <v>11048</v>
      </c>
      <c r="O302" s="4">
        <v>315189</v>
      </c>
      <c r="P302" s="4">
        <v>1138116</v>
      </c>
      <c r="Q302" s="163">
        <f>C302-N302-O302-P302</f>
        <v>126160</v>
      </c>
      <c r="R302" s="156">
        <f t="shared" si="62"/>
        <v>132997</v>
      </c>
      <c r="S302" s="57">
        <f t="shared" si="80"/>
        <v>6</v>
      </c>
      <c r="T302" s="149">
        <f t="shared" si="78"/>
        <v>244</v>
      </c>
      <c r="U302" s="110"/>
      <c r="V302" s="302"/>
    </row>
    <row r="303" spans="1:22" x14ac:dyDescent="0.25">
      <c r="A303" s="168">
        <v>44194</v>
      </c>
      <c r="B303" s="190">
        <v>11650</v>
      </c>
      <c r="C303" s="190">
        <f t="shared" si="76"/>
        <v>1602163</v>
      </c>
      <c r="D303" s="190">
        <v>151</v>
      </c>
      <c r="E303" s="190">
        <f t="shared" si="77"/>
        <v>42987</v>
      </c>
      <c r="F303" s="190">
        <f t="shared" si="71"/>
        <v>6205</v>
      </c>
      <c r="G303" s="219">
        <v>1420885</v>
      </c>
      <c r="H303" s="190">
        <v>3345</v>
      </c>
      <c r="I303" s="190">
        <v>45084</v>
      </c>
      <c r="J303" s="4">
        <f t="shared" si="79"/>
        <v>4722985</v>
      </c>
      <c r="K303" s="7">
        <v>6141</v>
      </c>
      <c r="L303" s="7">
        <v>2494970</v>
      </c>
      <c r="M303" s="163">
        <f>L303+K303</f>
        <v>2501111</v>
      </c>
      <c r="N303" s="4">
        <v>11121</v>
      </c>
      <c r="O303" s="4">
        <v>316933</v>
      </c>
      <c r="P303" s="4">
        <v>1144766</v>
      </c>
      <c r="Q303" s="163">
        <f>C303-N303-O303-P303</f>
        <v>129343</v>
      </c>
      <c r="R303" s="156">
        <f t="shared" si="62"/>
        <v>138291</v>
      </c>
      <c r="S303" s="57">
        <f t="shared" si="80"/>
        <v>26</v>
      </c>
      <c r="T303" s="149">
        <f t="shared" si="78"/>
        <v>5294</v>
      </c>
      <c r="U303" s="110"/>
      <c r="V303" s="302"/>
    </row>
    <row r="304" spans="1:22" x14ac:dyDescent="0.25">
      <c r="A304" s="168">
        <v>44195</v>
      </c>
      <c r="B304" s="190">
        <v>11765</v>
      </c>
      <c r="C304" s="190">
        <f t="shared" si="76"/>
        <v>1613928</v>
      </c>
      <c r="D304" s="190">
        <v>145</v>
      </c>
      <c r="E304" s="190">
        <f t="shared" si="77"/>
        <v>43132</v>
      </c>
      <c r="F304" s="190">
        <f t="shared" si="71"/>
        <v>5791</v>
      </c>
      <c r="G304" s="219">
        <v>1426676</v>
      </c>
      <c r="H304" s="190">
        <v>3440</v>
      </c>
      <c r="I304" s="190">
        <v>54126</v>
      </c>
      <c r="J304" s="4">
        <f t="shared" si="79"/>
        <v>4777111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63">
        <f>C304-N304-O304-P304</f>
        <v>132646</v>
      </c>
      <c r="R304" s="156">
        <f t="shared" si="62"/>
        <v>144120</v>
      </c>
      <c r="S304" s="57">
        <f t="shared" si="80"/>
        <v>95</v>
      </c>
      <c r="T304" s="149">
        <f t="shared" si="78"/>
        <v>5829</v>
      </c>
      <c r="U304" s="110"/>
      <c r="V304" s="302"/>
    </row>
    <row r="305" spans="1:23" x14ac:dyDescent="0.25">
      <c r="A305" s="168">
        <v>44196</v>
      </c>
      <c r="B305" s="190">
        <v>11587</v>
      </c>
      <c r="C305" s="190">
        <f t="shared" si="76"/>
        <v>1625515</v>
      </c>
      <c r="D305" s="190">
        <v>83</v>
      </c>
      <c r="E305" s="190">
        <f t="shared" si="77"/>
        <v>43215</v>
      </c>
      <c r="F305" s="190">
        <f t="shared" si="71"/>
        <v>7240</v>
      </c>
      <c r="G305" s="219">
        <v>1433916</v>
      </c>
      <c r="H305" s="190">
        <v>3440</v>
      </c>
      <c r="I305" s="301">
        <v>42835</v>
      </c>
      <c r="J305" s="4">
        <f t="shared" si="79"/>
        <v>4819946</v>
      </c>
      <c r="K305" s="7">
        <v>6253</v>
      </c>
      <c r="L305" s="7">
        <v>2558714</v>
      </c>
      <c r="M305" s="4">
        <f t="shared" ref="M305:M329" si="81">L305+K305</f>
        <v>2564967</v>
      </c>
      <c r="N305" s="4">
        <v>11236</v>
      </c>
      <c r="O305" s="4">
        <v>320315</v>
      </c>
      <c r="P305" s="4">
        <v>1155875</v>
      </c>
      <c r="Q305" s="163">
        <f t="shared" ref="Q305:Q324" si="82">C305-N305-O305-P305</f>
        <v>138089</v>
      </c>
      <c r="R305" s="156">
        <f t="shared" si="62"/>
        <v>148384</v>
      </c>
      <c r="S305" s="57">
        <f t="shared" si="80"/>
        <v>0</v>
      </c>
      <c r="T305" s="149">
        <f t="shared" si="78"/>
        <v>4264</v>
      </c>
      <c r="U305" s="110"/>
      <c r="V305" s="302"/>
    </row>
    <row r="306" spans="1:23" x14ac:dyDescent="0.25">
      <c r="A306" s="168">
        <v>44197</v>
      </c>
      <c r="B306" s="190">
        <v>4079</v>
      </c>
      <c r="C306" s="190">
        <f t="shared" si="76"/>
        <v>1629594</v>
      </c>
      <c r="D306" s="190">
        <v>73</v>
      </c>
      <c r="E306" s="190">
        <f t="shared" si="77"/>
        <v>43288</v>
      </c>
      <c r="F306" s="190">
        <f t="shared" si="71"/>
        <v>6235</v>
      </c>
      <c r="G306" s="219">
        <v>1440151</v>
      </c>
      <c r="H306" s="190">
        <v>3440</v>
      </c>
      <c r="I306" s="301">
        <v>42835</v>
      </c>
      <c r="J306" s="4">
        <f t="shared" si="79"/>
        <v>4862781</v>
      </c>
      <c r="K306" s="7">
        <v>6254</v>
      </c>
      <c r="L306" s="7">
        <v>2565699</v>
      </c>
      <c r="M306" s="4">
        <f t="shared" si="81"/>
        <v>2571953</v>
      </c>
      <c r="N306" s="4">
        <v>11273</v>
      </c>
      <c r="O306" s="4">
        <v>320768</v>
      </c>
      <c r="P306" s="4">
        <v>1157648</v>
      </c>
      <c r="Q306" s="163">
        <f t="shared" si="82"/>
        <v>139905</v>
      </c>
      <c r="R306" s="156">
        <f t="shared" si="62"/>
        <v>146155</v>
      </c>
      <c r="S306" s="57">
        <f t="shared" si="80"/>
        <v>0</v>
      </c>
      <c r="T306" s="149">
        <f t="shared" si="78"/>
        <v>-2229</v>
      </c>
      <c r="U306" s="110"/>
      <c r="V306" s="302"/>
    </row>
    <row r="307" spans="1:23" x14ac:dyDescent="0.25">
      <c r="A307" s="168">
        <v>44198</v>
      </c>
      <c r="B307" s="190">
        <v>5240</v>
      </c>
      <c r="C307" s="190">
        <f t="shared" si="76"/>
        <v>1634834</v>
      </c>
      <c r="D307" s="190">
        <v>56</v>
      </c>
      <c r="E307" s="190">
        <f t="shared" si="77"/>
        <v>43344</v>
      </c>
      <c r="F307" s="190">
        <f t="shared" si="71"/>
        <v>6941</v>
      </c>
      <c r="G307" s="219">
        <v>1447092</v>
      </c>
      <c r="H307" s="190">
        <v>3438</v>
      </c>
      <c r="I307" s="190">
        <v>17270</v>
      </c>
      <c r="J307" s="4">
        <f t="shared" si="79"/>
        <v>4880051</v>
      </c>
      <c r="K307" s="7"/>
      <c r="L307" s="7"/>
      <c r="M307" s="4"/>
      <c r="N307" s="4">
        <v>11297</v>
      </c>
      <c r="O307" s="4">
        <v>321585</v>
      </c>
      <c r="P307" s="4">
        <v>1162294</v>
      </c>
      <c r="Q307" s="163">
        <f t="shared" si="82"/>
        <v>139658</v>
      </c>
      <c r="R307" s="156">
        <f t="shared" si="62"/>
        <v>144398</v>
      </c>
      <c r="S307" s="57">
        <f t="shared" ref="S307:S350" si="83">H307-H306</f>
        <v>-2</v>
      </c>
      <c r="T307" s="149">
        <f t="shared" ref="T307:T318" si="84">(C307-G307-E307)-(C306-E306-G306)</f>
        <v>-1757</v>
      </c>
      <c r="U307" s="110"/>
      <c r="V307" s="302"/>
    </row>
    <row r="308" spans="1:23" x14ac:dyDescent="0.25">
      <c r="A308" s="168">
        <v>44199</v>
      </c>
      <c r="B308" s="190">
        <v>5884</v>
      </c>
      <c r="C308" s="190">
        <f t="shared" si="76"/>
        <v>1640718</v>
      </c>
      <c r="D308" s="190">
        <v>107</v>
      </c>
      <c r="E308" s="190">
        <f t="shared" si="77"/>
        <v>43451</v>
      </c>
      <c r="F308" s="190">
        <f t="shared" si="71"/>
        <v>5868</v>
      </c>
      <c r="G308" s="219">
        <v>1452960</v>
      </c>
      <c r="H308" s="190">
        <v>3433</v>
      </c>
      <c r="I308" s="190">
        <v>22180</v>
      </c>
      <c r="J308" s="4">
        <f t="shared" si="79"/>
        <v>4902231</v>
      </c>
      <c r="K308" s="7"/>
      <c r="L308" s="7"/>
      <c r="M308" s="4"/>
      <c r="N308" s="4">
        <v>11322</v>
      </c>
      <c r="O308" s="4">
        <v>322365</v>
      </c>
      <c r="P308" s="4">
        <v>1165866</v>
      </c>
      <c r="Q308" s="163">
        <f t="shared" si="82"/>
        <v>141165</v>
      </c>
      <c r="R308" s="156">
        <f t="shared" si="62"/>
        <v>144307</v>
      </c>
      <c r="S308" s="57">
        <f t="shared" si="83"/>
        <v>-5</v>
      </c>
      <c r="T308" s="149">
        <f t="shared" si="84"/>
        <v>-91</v>
      </c>
      <c r="U308" s="110"/>
      <c r="V308" s="302"/>
    </row>
    <row r="309" spans="1:23" x14ac:dyDescent="0.25">
      <c r="A309" s="170">
        <v>44200</v>
      </c>
      <c r="B309" s="197">
        <v>8222</v>
      </c>
      <c r="C309" s="197">
        <f t="shared" si="76"/>
        <v>1648940</v>
      </c>
      <c r="D309" s="197">
        <v>152</v>
      </c>
      <c r="E309" s="197">
        <f t="shared" si="77"/>
        <v>43603</v>
      </c>
      <c r="F309" s="197">
        <f t="shared" si="71"/>
        <v>5123</v>
      </c>
      <c r="G309" s="220">
        <v>1458083</v>
      </c>
      <c r="H309" s="197">
        <v>3502</v>
      </c>
      <c r="I309" s="197">
        <v>31819</v>
      </c>
      <c r="J309" s="4">
        <f t="shared" si="79"/>
        <v>4934050</v>
      </c>
      <c r="K309" s="47">
        <v>6347</v>
      </c>
      <c r="L309" s="47">
        <v>2612496</v>
      </c>
      <c r="M309" s="47">
        <f>L309+K309</f>
        <v>2618843</v>
      </c>
      <c r="N309" s="30">
        <v>11385</v>
      </c>
      <c r="O309" s="30">
        <v>323665</v>
      </c>
      <c r="P309" s="30">
        <v>1174600</v>
      </c>
      <c r="Q309" s="171">
        <f t="shared" si="82"/>
        <v>139290</v>
      </c>
      <c r="R309" s="156">
        <f t="shared" si="62"/>
        <v>147254</v>
      </c>
      <c r="S309" s="100">
        <f t="shared" si="83"/>
        <v>69</v>
      </c>
      <c r="T309" s="184">
        <f t="shared" si="84"/>
        <v>2947</v>
      </c>
      <c r="U309" s="110"/>
      <c r="V309" s="302"/>
    </row>
    <row r="310" spans="1:23" x14ac:dyDescent="0.25">
      <c r="A310" s="168">
        <v>44201</v>
      </c>
      <c r="B310" s="190">
        <v>13790</v>
      </c>
      <c r="C310" s="190">
        <f t="shared" si="76"/>
        <v>1662730</v>
      </c>
      <c r="D310" s="190">
        <v>151</v>
      </c>
      <c r="E310" s="190">
        <f t="shared" si="77"/>
        <v>43754</v>
      </c>
      <c r="F310" s="190">
        <f t="shared" si="71"/>
        <v>8533</v>
      </c>
      <c r="G310" s="219">
        <v>1466616</v>
      </c>
      <c r="H310" s="190">
        <v>3460</v>
      </c>
      <c r="I310" s="190">
        <v>50068</v>
      </c>
      <c r="J310" s="4">
        <f t="shared" si="79"/>
        <v>4984118</v>
      </c>
      <c r="K310" s="7">
        <v>6429</v>
      </c>
      <c r="L310" s="7">
        <v>2640401</v>
      </c>
      <c r="M310" s="4">
        <f t="shared" si="81"/>
        <v>2646830</v>
      </c>
      <c r="N310" s="4">
        <v>11472</v>
      </c>
      <c r="O310" s="4">
        <v>325591</v>
      </c>
      <c r="P310" s="4">
        <v>1184842</v>
      </c>
      <c r="Q310" s="163">
        <f t="shared" si="82"/>
        <v>140825</v>
      </c>
      <c r="R310" s="156">
        <f t="shared" ref="R310:R317" si="85">C310-E310-G310</f>
        <v>152360</v>
      </c>
      <c r="S310" s="57">
        <f t="shared" si="83"/>
        <v>-42</v>
      </c>
      <c r="T310" s="149">
        <f t="shared" si="84"/>
        <v>5106</v>
      </c>
      <c r="U310" s="110"/>
      <c r="V310" s="302"/>
    </row>
    <row r="311" spans="1:23" x14ac:dyDescent="0.25">
      <c r="A311" s="168">
        <v>44202</v>
      </c>
      <c r="B311" s="190">
        <v>13441</v>
      </c>
      <c r="C311" s="190">
        <f t="shared" si="76"/>
        <v>1676171</v>
      </c>
      <c r="D311" s="190">
        <v>191</v>
      </c>
      <c r="E311" s="190">
        <f t="shared" si="77"/>
        <v>43945</v>
      </c>
      <c r="F311" s="190">
        <f t="shared" si="71"/>
        <v>7432</v>
      </c>
      <c r="G311" s="219">
        <v>1474048</v>
      </c>
      <c r="H311" s="190">
        <v>3521</v>
      </c>
      <c r="I311" s="190">
        <v>49116</v>
      </c>
      <c r="J311" s="4">
        <f t="shared" si="79"/>
        <v>5033234</v>
      </c>
      <c r="K311" s="7">
        <v>6530</v>
      </c>
      <c r="L311" s="7">
        <v>2668047</v>
      </c>
      <c r="M311" s="4">
        <f t="shared" si="81"/>
        <v>2674577</v>
      </c>
      <c r="N311" s="4">
        <v>11560</v>
      </c>
      <c r="O311" s="4">
        <v>327631</v>
      </c>
      <c r="P311" s="4">
        <v>1194273</v>
      </c>
      <c r="Q311" s="163">
        <f t="shared" si="82"/>
        <v>142707</v>
      </c>
      <c r="R311" s="156">
        <f t="shared" si="85"/>
        <v>158178</v>
      </c>
      <c r="S311" s="57">
        <f t="shared" si="83"/>
        <v>61</v>
      </c>
      <c r="T311" s="149">
        <f t="shared" si="84"/>
        <v>5818</v>
      </c>
      <c r="U311" s="110"/>
      <c r="V311" s="302"/>
    </row>
    <row r="312" spans="1:23" x14ac:dyDescent="0.25">
      <c r="A312" s="168">
        <v>44203</v>
      </c>
      <c r="B312" s="190">
        <v>13835</v>
      </c>
      <c r="C312" s="190">
        <f t="shared" si="76"/>
        <v>1690006</v>
      </c>
      <c r="D312" s="190">
        <v>146</v>
      </c>
      <c r="E312" s="190">
        <f t="shared" si="77"/>
        <v>44091</v>
      </c>
      <c r="F312" s="190">
        <f t="shared" si="71"/>
        <v>10746</v>
      </c>
      <c r="G312" s="219">
        <v>1484794</v>
      </c>
      <c r="H312" s="190">
        <v>3559</v>
      </c>
      <c r="I312" s="190">
        <v>49166</v>
      </c>
      <c r="J312" s="4">
        <f t="shared" si="79"/>
        <v>5082400</v>
      </c>
      <c r="K312" s="7">
        <v>6628</v>
      </c>
      <c r="L312" s="7">
        <v>2696083</v>
      </c>
      <c r="M312" s="4">
        <f t="shared" si="81"/>
        <v>2702711</v>
      </c>
      <c r="N312" s="4">
        <v>11682</v>
      </c>
      <c r="O312" s="4">
        <v>329806</v>
      </c>
      <c r="P312" s="4">
        <v>1200435</v>
      </c>
      <c r="Q312" s="163">
        <f t="shared" si="82"/>
        <v>148083</v>
      </c>
      <c r="R312" s="156">
        <f t="shared" si="85"/>
        <v>161121</v>
      </c>
      <c r="S312" s="57">
        <f t="shared" si="83"/>
        <v>38</v>
      </c>
      <c r="T312" s="149">
        <f t="shared" si="84"/>
        <v>2943</v>
      </c>
      <c r="U312" s="110"/>
      <c r="V312" s="302"/>
    </row>
    <row r="313" spans="1:23" x14ac:dyDescent="0.25">
      <c r="A313" s="168">
        <v>44204</v>
      </c>
      <c r="B313" s="190">
        <v>13346</v>
      </c>
      <c r="C313" s="190">
        <f t="shared" si="76"/>
        <v>1703352</v>
      </c>
      <c r="D313" s="190">
        <v>151</v>
      </c>
      <c r="E313" s="190">
        <f t="shared" si="77"/>
        <v>44242</v>
      </c>
      <c r="F313" s="190">
        <f t="shared" si="71"/>
        <v>10102</v>
      </c>
      <c r="G313" s="219">
        <v>1494896</v>
      </c>
      <c r="H313" s="190">
        <v>3602</v>
      </c>
      <c r="I313" s="190">
        <v>58329</v>
      </c>
      <c r="J313" s="4">
        <f t="shared" si="79"/>
        <v>5140729</v>
      </c>
      <c r="K313" s="7">
        <v>6768</v>
      </c>
      <c r="L313" s="7">
        <v>2723301</v>
      </c>
      <c r="M313" s="4">
        <f t="shared" si="81"/>
        <v>2730069</v>
      </c>
      <c r="N313" s="4">
        <v>11779</v>
      </c>
      <c r="O313" s="4">
        <v>332037</v>
      </c>
      <c r="P313" s="4">
        <v>1203533</v>
      </c>
      <c r="Q313" s="163">
        <f t="shared" si="82"/>
        <v>156003</v>
      </c>
      <c r="R313" s="156">
        <f t="shared" si="85"/>
        <v>164214</v>
      </c>
      <c r="S313" s="57">
        <f t="shared" si="83"/>
        <v>43</v>
      </c>
      <c r="T313" s="149">
        <f t="shared" si="84"/>
        <v>3093</v>
      </c>
      <c r="U313" s="110"/>
      <c r="V313" s="302"/>
    </row>
    <row r="314" spans="1:23" x14ac:dyDescent="0.25">
      <c r="A314" s="168">
        <v>44205</v>
      </c>
      <c r="B314" s="190">
        <v>11057</v>
      </c>
      <c r="C314" s="190">
        <f t="shared" si="76"/>
        <v>1714409</v>
      </c>
      <c r="D314" s="190">
        <v>144</v>
      </c>
      <c r="E314" s="190">
        <f t="shared" si="77"/>
        <v>44386</v>
      </c>
      <c r="F314" s="190">
        <f t="shared" si="71"/>
        <v>9434</v>
      </c>
      <c r="G314" s="219">
        <v>1504330</v>
      </c>
      <c r="H314" s="190">
        <v>3597</v>
      </c>
      <c r="I314" s="190">
        <v>31990</v>
      </c>
      <c r="J314" s="4">
        <f t="shared" si="79"/>
        <v>5172719</v>
      </c>
      <c r="K314" s="7">
        <v>6802</v>
      </c>
      <c r="L314" s="7">
        <v>2743144</v>
      </c>
      <c r="M314" s="4">
        <f t="shared" si="81"/>
        <v>2749946</v>
      </c>
      <c r="N314" s="4">
        <v>11857</v>
      </c>
      <c r="O314" s="4">
        <v>333247</v>
      </c>
      <c r="P314" s="4">
        <v>1209389</v>
      </c>
      <c r="Q314" s="163">
        <f t="shared" si="82"/>
        <v>159916</v>
      </c>
      <c r="R314" s="156">
        <f t="shared" si="85"/>
        <v>165693</v>
      </c>
      <c r="S314" s="57">
        <f t="shared" si="83"/>
        <v>-5</v>
      </c>
      <c r="T314" s="149">
        <f t="shared" si="84"/>
        <v>1479</v>
      </c>
      <c r="U314" s="110"/>
      <c r="V314" s="302"/>
    </row>
    <row r="315" spans="1:23" x14ac:dyDescent="0.25">
      <c r="A315" s="168">
        <v>44206</v>
      </c>
      <c r="B315" s="190">
        <v>7808</v>
      </c>
      <c r="C315" s="190">
        <f t="shared" si="76"/>
        <v>1722217</v>
      </c>
      <c r="D315" s="190">
        <v>78</v>
      </c>
      <c r="E315" s="190">
        <f t="shared" si="77"/>
        <v>44464</v>
      </c>
      <c r="F315" s="190">
        <f t="shared" si="71"/>
        <v>7420</v>
      </c>
      <c r="G315" s="219">
        <v>1511750</v>
      </c>
      <c r="H315" s="190">
        <v>3612</v>
      </c>
      <c r="I315" s="190">
        <v>38365</v>
      </c>
      <c r="J315" s="4">
        <f t="shared" si="79"/>
        <v>5211084</v>
      </c>
      <c r="K315" s="7">
        <v>6832</v>
      </c>
      <c r="L315" s="7">
        <v>2767568</v>
      </c>
      <c r="M315" s="4">
        <f t="shared" si="81"/>
        <v>2774400</v>
      </c>
      <c r="N315" s="4">
        <v>11922</v>
      </c>
      <c r="O315" s="4">
        <v>334269</v>
      </c>
      <c r="P315" s="4">
        <v>1213524</v>
      </c>
      <c r="Q315" s="163">
        <f t="shared" si="82"/>
        <v>162502</v>
      </c>
      <c r="R315" s="156">
        <f t="shared" si="85"/>
        <v>166003</v>
      </c>
      <c r="S315" s="57">
        <f t="shared" si="83"/>
        <v>15</v>
      </c>
      <c r="T315" s="149">
        <f t="shared" si="84"/>
        <v>310</v>
      </c>
      <c r="U315" s="110"/>
      <c r="V315" s="302"/>
    </row>
    <row r="316" spans="1:23" x14ac:dyDescent="0.25">
      <c r="A316" s="170">
        <v>44207</v>
      </c>
      <c r="B316" s="197">
        <v>8704</v>
      </c>
      <c r="C316" s="197">
        <f t="shared" si="76"/>
        <v>1730921</v>
      </c>
      <c r="D316" s="197">
        <v>160</v>
      </c>
      <c r="E316" s="197">
        <f t="shared" si="77"/>
        <v>44624</v>
      </c>
      <c r="F316" s="197">
        <f t="shared" si="71"/>
        <v>6965</v>
      </c>
      <c r="G316" s="220">
        <v>1518715</v>
      </c>
      <c r="H316" s="197">
        <v>3606</v>
      </c>
      <c r="I316" s="197">
        <v>32363</v>
      </c>
      <c r="J316" s="4">
        <f t="shared" si="79"/>
        <v>5243447</v>
      </c>
      <c r="K316" s="47">
        <v>6966</v>
      </c>
      <c r="L316" s="47">
        <v>2785278</v>
      </c>
      <c r="M316" s="30">
        <f t="shared" si="81"/>
        <v>2792244</v>
      </c>
      <c r="N316" s="30">
        <v>11973</v>
      </c>
      <c r="O316" s="30">
        <v>335669</v>
      </c>
      <c r="P316" s="30">
        <v>1223533</v>
      </c>
      <c r="Q316" s="171">
        <f t="shared" si="82"/>
        <v>159746</v>
      </c>
      <c r="R316" s="156">
        <f t="shared" si="85"/>
        <v>167582</v>
      </c>
      <c r="S316" s="57">
        <f t="shared" si="83"/>
        <v>-6</v>
      </c>
      <c r="T316" s="149">
        <f t="shared" si="84"/>
        <v>1579</v>
      </c>
      <c r="U316" s="110"/>
      <c r="V316" s="302"/>
    </row>
    <row r="317" spans="1:23" x14ac:dyDescent="0.25">
      <c r="A317" s="168">
        <v>44208</v>
      </c>
      <c r="B317" s="190">
        <v>13783</v>
      </c>
      <c r="C317" s="190">
        <f t="shared" si="76"/>
        <v>1744704</v>
      </c>
      <c r="D317" s="190">
        <v>192</v>
      </c>
      <c r="E317" s="190">
        <f t="shared" si="77"/>
        <v>44816</v>
      </c>
      <c r="F317" s="190">
        <f t="shared" si="71"/>
        <v>9146</v>
      </c>
      <c r="G317" s="219">
        <v>1527861</v>
      </c>
      <c r="H317" s="190">
        <v>3619</v>
      </c>
      <c r="I317" s="190">
        <v>54031</v>
      </c>
      <c r="J317" s="4">
        <f t="shared" si="79"/>
        <v>5297478</v>
      </c>
      <c r="K317" s="7">
        <v>7093</v>
      </c>
      <c r="L317" s="7">
        <v>2816031</v>
      </c>
      <c r="M317" s="4">
        <f t="shared" si="81"/>
        <v>2823124</v>
      </c>
      <c r="N317" s="4">
        <v>12085</v>
      </c>
      <c r="O317" s="4">
        <v>337864</v>
      </c>
      <c r="P317" s="4">
        <v>1234734</v>
      </c>
      <c r="Q317" s="163">
        <f t="shared" si="82"/>
        <v>160021</v>
      </c>
      <c r="R317" s="232">
        <f t="shared" si="85"/>
        <v>172027</v>
      </c>
      <c r="S317" s="57">
        <f t="shared" si="83"/>
        <v>13</v>
      </c>
      <c r="T317" s="149">
        <f t="shared" si="84"/>
        <v>4445</v>
      </c>
      <c r="U317" s="110"/>
      <c r="V317" s="302"/>
    </row>
    <row r="318" spans="1:23" x14ac:dyDescent="0.25">
      <c r="A318" s="168">
        <v>44209</v>
      </c>
      <c r="B318" s="190">
        <v>12725</v>
      </c>
      <c r="C318" s="190">
        <f t="shared" si="76"/>
        <v>1757429</v>
      </c>
      <c r="D318" s="190">
        <v>134</v>
      </c>
      <c r="E318" s="190">
        <f t="shared" si="77"/>
        <v>44950</v>
      </c>
      <c r="F318" s="190">
        <f t="shared" si="71"/>
        <v>8562</v>
      </c>
      <c r="G318" s="219">
        <v>1536423</v>
      </c>
      <c r="H318" s="190">
        <v>3636</v>
      </c>
      <c r="I318" s="190">
        <v>50648</v>
      </c>
      <c r="J318" s="4">
        <f t="shared" si="79"/>
        <v>5348126</v>
      </c>
      <c r="K318" s="7">
        <v>7265</v>
      </c>
      <c r="L318" s="7">
        <v>2845101</v>
      </c>
      <c r="M318" s="4">
        <f t="shared" si="81"/>
        <v>2852366</v>
      </c>
      <c r="N318" s="4">
        <v>12177</v>
      </c>
      <c r="O318" s="4">
        <v>339755</v>
      </c>
      <c r="P318" s="4">
        <v>1245296</v>
      </c>
      <c r="Q318" s="163">
        <f t="shared" si="82"/>
        <v>160201</v>
      </c>
      <c r="R318" s="156">
        <f t="shared" ref="R318:R331" si="86">C318-E318-G318</f>
        <v>176056</v>
      </c>
      <c r="S318" s="57">
        <f t="shared" si="83"/>
        <v>17</v>
      </c>
      <c r="T318" s="149">
        <f t="shared" si="84"/>
        <v>4029</v>
      </c>
      <c r="U318" s="110"/>
      <c r="V318" s="302"/>
      <c r="W318" s="110"/>
    </row>
    <row r="319" spans="1:23" x14ac:dyDescent="0.25">
      <c r="A319" s="168">
        <v>44210</v>
      </c>
      <c r="B319" s="190">
        <v>13286</v>
      </c>
      <c r="C319" s="190">
        <f t="shared" si="76"/>
        <v>1770715</v>
      </c>
      <c r="D319" s="244">
        <v>142</v>
      </c>
      <c r="E319" s="190">
        <f t="shared" si="77"/>
        <v>45092</v>
      </c>
      <c r="F319" s="190">
        <f t="shared" si="71"/>
        <v>13067</v>
      </c>
      <c r="G319" s="219">
        <v>1549490</v>
      </c>
      <c r="H319" s="190">
        <v>3634</v>
      </c>
      <c r="I319" s="190">
        <v>50729</v>
      </c>
      <c r="J319" s="4">
        <f t="shared" si="79"/>
        <v>5398855</v>
      </c>
      <c r="K319" s="7">
        <v>7473</v>
      </c>
      <c r="L319" s="7">
        <v>2874691</v>
      </c>
      <c r="M319" s="4">
        <f t="shared" si="81"/>
        <v>2882164</v>
      </c>
      <c r="N319" s="4">
        <v>12303</v>
      </c>
      <c r="O319" s="4">
        <v>342210</v>
      </c>
      <c r="P319" s="4">
        <v>1255146</v>
      </c>
      <c r="Q319" s="163">
        <f t="shared" si="82"/>
        <v>161056</v>
      </c>
      <c r="R319" s="156">
        <f t="shared" si="86"/>
        <v>176133</v>
      </c>
      <c r="S319" s="57">
        <f t="shared" si="83"/>
        <v>-2</v>
      </c>
      <c r="T319" s="149">
        <f t="shared" ref="T319:T334" si="87">(C319-G319-E319)-(C318-E318-G318)</f>
        <v>77</v>
      </c>
      <c r="U319" s="110"/>
      <c r="V319" s="302"/>
    </row>
    <row r="320" spans="1:23" x14ac:dyDescent="0.25">
      <c r="A320" s="168">
        <v>44211</v>
      </c>
      <c r="B320" s="190">
        <v>12332</v>
      </c>
      <c r="C320" s="190">
        <f t="shared" si="76"/>
        <v>1783047</v>
      </c>
      <c r="D320" s="190">
        <v>103</v>
      </c>
      <c r="E320" s="190">
        <f t="shared" si="77"/>
        <v>45195</v>
      </c>
      <c r="F320" s="190">
        <f t="shared" si="71"/>
        <v>12473</v>
      </c>
      <c r="G320" s="219">
        <v>1561963</v>
      </c>
      <c r="H320" s="190">
        <v>3578</v>
      </c>
      <c r="I320" s="190">
        <v>52120</v>
      </c>
      <c r="J320" s="4">
        <f t="shared" si="79"/>
        <v>5450975</v>
      </c>
      <c r="K320" s="7">
        <v>7640</v>
      </c>
      <c r="L320" s="7">
        <v>2906590</v>
      </c>
      <c r="M320" s="4">
        <f t="shared" si="81"/>
        <v>2914230</v>
      </c>
      <c r="N320" s="4">
        <v>12408</v>
      </c>
      <c r="O320" s="4">
        <v>344202</v>
      </c>
      <c r="P320" s="4">
        <v>1264935</v>
      </c>
      <c r="Q320" s="163">
        <f t="shared" si="82"/>
        <v>161502</v>
      </c>
      <c r="R320" s="156">
        <f t="shared" si="86"/>
        <v>175889</v>
      </c>
      <c r="S320" s="57">
        <f t="shared" si="83"/>
        <v>-56</v>
      </c>
      <c r="T320" s="149">
        <f t="shared" si="87"/>
        <v>-244</v>
      </c>
      <c r="U320" s="110"/>
      <c r="V320" s="302"/>
    </row>
    <row r="321" spans="1:22" x14ac:dyDescent="0.25">
      <c r="A321" s="168">
        <v>44212</v>
      </c>
      <c r="B321" s="190">
        <v>8932</v>
      </c>
      <c r="C321" s="190">
        <f t="shared" si="76"/>
        <v>1791979</v>
      </c>
      <c r="D321" s="190">
        <v>68</v>
      </c>
      <c r="E321" s="190">
        <f t="shared" si="77"/>
        <v>45263</v>
      </c>
      <c r="F321" s="190">
        <f t="shared" si="71"/>
        <v>11141</v>
      </c>
      <c r="G321" s="219">
        <v>1573104</v>
      </c>
      <c r="H321" s="190">
        <v>3578</v>
      </c>
      <c r="I321" s="190">
        <v>43513</v>
      </c>
      <c r="J321" s="4">
        <f t="shared" si="79"/>
        <v>5494488</v>
      </c>
      <c r="K321" s="7">
        <v>7674</v>
      </c>
      <c r="L321" s="7">
        <v>2934432</v>
      </c>
      <c r="M321" s="4">
        <f t="shared" si="81"/>
        <v>2942106</v>
      </c>
      <c r="N321" s="4">
        <v>12474</v>
      </c>
      <c r="O321" s="4">
        <v>345365</v>
      </c>
      <c r="P321" s="4">
        <v>1271065</v>
      </c>
      <c r="Q321" s="163">
        <f t="shared" si="82"/>
        <v>163075</v>
      </c>
      <c r="R321" s="156">
        <f t="shared" si="86"/>
        <v>173612</v>
      </c>
      <c r="S321" s="57">
        <f t="shared" si="83"/>
        <v>0</v>
      </c>
      <c r="T321" s="149">
        <f t="shared" si="87"/>
        <v>-2277</v>
      </c>
      <c r="U321" s="110"/>
      <c r="V321" s="302"/>
    </row>
    <row r="322" spans="1:22" x14ac:dyDescent="0.25">
      <c r="A322" s="168">
        <v>44213</v>
      </c>
      <c r="B322" s="190">
        <v>7264</v>
      </c>
      <c r="C322" s="190">
        <f t="shared" si="76"/>
        <v>1799243</v>
      </c>
      <c r="D322" s="190">
        <v>112</v>
      </c>
      <c r="E322" s="190">
        <f t="shared" si="77"/>
        <v>45375</v>
      </c>
      <c r="F322" s="190">
        <f t="shared" si="71"/>
        <v>10361</v>
      </c>
      <c r="G322" s="219">
        <v>1583465</v>
      </c>
      <c r="H322" s="190">
        <v>3547</v>
      </c>
      <c r="I322" s="190">
        <v>39591</v>
      </c>
      <c r="J322" s="4">
        <f t="shared" si="79"/>
        <v>5534079</v>
      </c>
      <c r="K322" s="7">
        <v>7844</v>
      </c>
      <c r="L322" s="7">
        <v>2961095</v>
      </c>
      <c r="M322" s="4">
        <f t="shared" si="81"/>
        <v>2968939</v>
      </c>
      <c r="N322" s="4">
        <v>12530</v>
      </c>
      <c r="O322" s="4">
        <v>346241</v>
      </c>
      <c r="P322" s="4">
        <v>1275780</v>
      </c>
      <c r="Q322" s="163">
        <f t="shared" si="82"/>
        <v>164692</v>
      </c>
      <c r="R322" s="156">
        <f t="shared" si="86"/>
        <v>170403</v>
      </c>
      <c r="S322" s="57">
        <f t="shared" si="83"/>
        <v>-31</v>
      </c>
      <c r="T322" s="149">
        <f t="shared" si="87"/>
        <v>-3209</v>
      </c>
      <c r="U322" s="110"/>
      <c r="V322" s="302"/>
    </row>
    <row r="323" spans="1:22" x14ac:dyDescent="0.25">
      <c r="A323" s="168">
        <v>44214</v>
      </c>
      <c r="B323" s="190">
        <v>8185</v>
      </c>
      <c r="C323" s="190">
        <f t="shared" si="76"/>
        <v>1807428</v>
      </c>
      <c r="D323" s="190">
        <v>424</v>
      </c>
      <c r="E323" s="190">
        <f t="shared" si="77"/>
        <v>45799</v>
      </c>
      <c r="F323" s="190">
        <f t="shared" si="71"/>
        <v>11303</v>
      </c>
      <c r="G323" s="219">
        <v>1594768</v>
      </c>
      <c r="H323" s="190">
        <v>3564</v>
      </c>
      <c r="I323" s="190">
        <v>41451</v>
      </c>
      <c r="J323" s="4">
        <f t="shared" si="79"/>
        <v>5575530</v>
      </c>
      <c r="K323" s="7">
        <v>8070</v>
      </c>
      <c r="L323" s="7">
        <v>2987077</v>
      </c>
      <c r="M323" s="4">
        <f t="shared" si="81"/>
        <v>2995147</v>
      </c>
      <c r="N323" s="4">
        <v>12585</v>
      </c>
      <c r="O323" s="4">
        <v>347936</v>
      </c>
      <c r="P323" s="4">
        <v>1285430</v>
      </c>
      <c r="Q323" s="163">
        <f t="shared" si="82"/>
        <v>161477</v>
      </c>
      <c r="R323" s="156">
        <f t="shared" si="86"/>
        <v>166861</v>
      </c>
      <c r="S323" s="57">
        <f t="shared" si="83"/>
        <v>17</v>
      </c>
      <c r="T323" s="149">
        <f t="shared" si="87"/>
        <v>-3542</v>
      </c>
      <c r="U323" s="110"/>
      <c r="V323" s="302"/>
    </row>
    <row r="324" spans="1:22" x14ac:dyDescent="0.25">
      <c r="A324" s="168">
        <v>44215</v>
      </c>
      <c r="B324" s="190">
        <v>12141</v>
      </c>
      <c r="C324" s="190">
        <f t="shared" si="76"/>
        <v>1819569</v>
      </c>
      <c r="D324" s="190">
        <v>235</v>
      </c>
      <c r="E324" s="190">
        <f t="shared" si="77"/>
        <v>46034</v>
      </c>
      <c r="F324" s="190">
        <f t="shared" si="71"/>
        <v>9605</v>
      </c>
      <c r="G324" s="219">
        <v>1604373</v>
      </c>
      <c r="H324" s="190">
        <v>3562</v>
      </c>
      <c r="I324" s="190">
        <v>49566</v>
      </c>
      <c r="J324" s="4">
        <f t="shared" si="79"/>
        <v>5625096</v>
      </c>
      <c r="K324" s="7">
        <v>8115</v>
      </c>
      <c r="L324" s="7">
        <v>3016503</v>
      </c>
      <c r="M324" s="4">
        <f t="shared" si="81"/>
        <v>3024618</v>
      </c>
      <c r="N324" s="4">
        <v>12688</v>
      </c>
      <c r="O324" s="4">
        <v>349683</v>
      </c>
      <c r="P324" s="4">
        <v>1295213</v>
      </c>
      <c r="Q324" s="163">
        <f t="shared" si="82"/>
        <v>161985</v>
      </c>
      <c r="R324" s="156">
        <f t="shared" si="86"/>
        <v>169162</v>
      </c>
      <c r="S324" s="57">
        <f t="shared" si="83"/>
        <v>-2</v>
      </c>
      <c r="T324" s="149">
        <f t="shared" si="87"/>
        <v>2301</v>
      </c>
      <c r="U324" s="110"/>
      <c r="V324" s="302"/>
    </row>
    <row r="325" spans="1:22" x14ac:dyDescent="0.25">
      <c r="A325" s="261">
        <v>44216</v>
      </c>
      <c r="B325" s="262">
        <v>12112</v>
      </c>
      <c r="C325" s="190">
        <f t="shared" si="76"/>
        <v>1831681</v>
      </c>
      <c r="D325" s="219">
        <v>149</v>
      </c>
      <c r="E325" s="190">
        <f t="shared" si="77"/>
        <v>46183</v>
      </c>
      <c r="F325" s="190">
        <f t="shared" si="71"/>
        <v>9400</v>
      </c>
      <c r="G325" s="219">
        <v>1613773</v>
      </c>
      <c r="H325" s="190">
        <v>3605</v>
      </c>
      <c r="I325" s="190">
        <v>54998</v>
      </c>
      <c r="J325" s="4">
        <f t="shared" si="79"/>
        <v>5680094</v>
      </c>
      <c r="K325" s="7">
        <v>8185</v>
      </c>
      <c r="L325" s="7">
        <v>3071885</v>
      </c>
      <c r="M325" s="4">
        <f t="shared" si="81"/>
        <v>3080070</v>
      </c>
      <c r="N325" s="4"/>
      <c r="O325" s="4"/>
      <c r="P325" s="4"/>
      <c r="Q325" s="4"/>
      <c r="R325" s="258">
        <f t="shared" si="86"/>
        <v>171725</v>
      </c>
      <c r="S325" s="57">
        <f t="shared" si="83"/>
        <v>43</v>
      </c>
      <c r="T325" s="149">
        <f t="shared" si="87"/>
        <v>2563</v>
      </c>
      <c r="U325" s="110"/>
      <c r="V325" s="302"/>
    </row>
    <row r="326" spans="1:22" x14ac:dyDescent="0.25">
      <c r="A326" s="168">
        <v>44217</v>
      </c>
      <c r="B326" s="212">
        <v>11396</v>
      </c>
      <c r="C326" s="190">
        <f t="shared" si="76"/>
        <v>1843077</v>
      </c>
      <c r="D326" s="190">
        <v>142</v>
      </c>
      <c r="E326" s="190">
        <f t="shared" si="77"/>
        <v>46325</v>
      </c>
      <c r="F326" s="190">
        <f t="shared" si="71"/>
        <v>11982</v>
      </c>
      <c r="G326" s="219">
        <v>1625755</v>
      </c>
      <c r="H326" s="190">
        <v>3616</v>
      </c>
      <c r="I326" s="190">
        <v>53963</v>
      </c>
      <c r="J326" s="4">
        <f t="shared" si="79"/>
        <v>5734057</v>
      </c>
      <c r="K326" s="7">
        <v>8272</v>
      </c>
      <c r="L326" s="7">
        <v>3085519</v>
      </c>
      <c r="M326" s="4">
        <f t="shared" si="81"/>
        <v>3093791</v>
      </c>
      <c r="N326" s="4"/>
      <c r="O326" s="4"/>
      <c r="P326" s="4"/>
      <c r="Q326" s="4"/>
      <c r="R326" s="258">
        <f t="shared" si="86"/>
        <v>170997</v>
      </c>
      <c r="S326" s="57">
        <f t="shared" si="83"/>
        <v>11</v>
      </c>
      <c r="T326" s="149">
        <f t="shared" si="87"/>
        <v>-728</v>
      </c>
      <c r="U326" s="110"/>
      <c r="V326" s="302"/>
    </row>
    <row r="327" spans="1:22" x14ac:dyDescent="0.25">
      <c r="A327" s="168">
        <v>44218</v>
      </c>
      <c r="B327" s="190">
        <v>10753</v>
      </c>
      <c r="C327" s="190">
        <f t="shared" si="76"/>
        <v>1853830</v>
      </c>
      <c r="D327" s="190">
        <v>220</v>
      </c>
      <c r="E327" s="190">
        <f t="shared" si="77"/>
        <v>46545</v>
      </c>
      <c r="F327" s="190">
        <f t="shared" si="71"/>
        <v>11071</v>
      </c>
      <c r="G327" s="219">
        <v>1636826</v>
      </c>
      <c r="H327" s="190">
        <v>3631</v>
      </c>
      <c r="I327" s="190">
        <v>55439</v>
      </c>
      <c r="J327" s="4">
        <f t="shared" si="79"/>
        <v>5789496</v>
      </c>
      <c r="K327" s="7">
        <v>8396</v>
      </c>
      <c r="L327" s="7">
        <v>3122500</v>
      </c>
      <c r="M327" s="4">
        <f t="shared" si="81"/>
        <v>3130896</v>
      </c>
      <c r="N327" s="4"/>
      <c r="O327" s="4"/>
      <c r="P327" s="4"/>
      <c r="Q327" s="4"/>
      <c r="R327" s="258">
        <f t="shared" si="86"/>
        <v>170459</v>
      </c>
      <c r="S327" s="57">
        <f t="shared" si="83"/>
        <v>15</v>
      </c>
      <c r="T327" s="149">
        <f t="shared" si="87"/>
        <v>-538</v>
      </c>
      <c r="U327" s="110"/>
      <c r="V327" s="302"/>
    </row>
    <row r="328" spans="1:22" x14ac:dyDescent="0.25">
      <c r="A328" s="168">
        <v>44219</v>
      </c>
      <c r="B328" s="190">
        <v>8362</v>
      </c>
      <c r="C328" s="190">
        <f t="shared" si="76"/>
        <v>1862192</v>
      </c>
      <c r="D328" s="190">
        <v>162</v>
      </c>
      <c r="E328" s="190">
        <f t="shared" si="77"/>
        <v>46707</v>
      </c>
      <c r="F328" s="190">
        <f t="shared" si="71"/>
        <v>9842</v>
      </c>
      <c r="G328" s="219">
        <v>1646668</v>
      </c>
      <c r="H328" s="190">
        <v>3618</v>
      </c>
      <c r="I328" s="190">
        <v>46643</v>
      </c>
      <c r="J328" s="4">
        <f t="shared" si="79"/>
        <v>5836139</v>
      </c>
      <c r="K328" s="7">
        <v>8444</v>
      </c>
      <c r="L328" s="7">
        <v>3152824</v>
      </c>
      <c r="M328" s="4">
        <f t="shared" si="81"/>
        <v>3161268</v>
      </c>
      <c r="N328" s="4"/>
      <c r="O328" s="4"/>
      <c r="P328" s="4"/>
      <c r="Q328" s="4"/>
      <c r="R328" s="258">
        <f t="shared" si="86"/>
        <v>168817</v>
      </c>
      <c r="S328" s="57">
        <f t="shared" si="83"/>
        <v>-13</v>
      </c>
      <c r="T328" s="149">
        <f t="shared" si="87"/>
        <v>-1642</v>
      </c>
      <c r="U328" s="110"/>
      <c r="V328" s="302"/>
    </row>
    <row r="329" spans="1:22" x14ac:dyDescent="0.25">
      <c r="A329" s="168">
        <v>44220</v>
      </c>
      <c r="B329" s="190">
        <v>5031</v>
      </c>
      <c r="C329" s="190">
        <f t="shared" si="76"/>
        <v>1867223</v>
      </c>
      <c r="D329" s="190">
        <v>90</v>
      </c>
      <c r="E329" s="190">
        <f t="shared" si="77"/>
        <v>46797</v>
      </c>
      <c r="F329" s="190">
        <f t="shared" si="71"/>
        <v>9481</v>
      </c>
      <c r="G329" s="219">
        <v>1656149</v>
      </c>
      <c r="H329" s="190">
        <v>3619</v>
      </c>
      <c r="I329" s="190">
        <v>29659</v>
      </c>
      <c r="J329" s="4">
        <f t="shared" si="79"/>
        <v>5865798</v>
      </c>
      <c r="K329" s="7">
        <v>8475</v>
      </c>
      <c r="L329" s="7">
        <v>3173796</v>
      </c>
      <c r="M329" s="4">
        <f t="shared" si="81"/>
        <v>3182271</v>
      </c>
      <c r="N329" s="4"/>
      <c r="O329" s="4"/>
      <c r="P329" s="4"/>
      <c r="Q329" s="4"/>
      <c r="R329" s="258">
        <f t="shared" si="86"/>
        <v>164277</v>
      </c>
      <c r="S329" s="57">
        <f t="shared" si="83"/>
        <v>1</v>
      </c>
      <c r="T329" s="149">
        <f t="shared" si="87"/>
        <v>-4540</v>
      </c>
      <c r="U329" s="110"/>
      <c r="V329" s="302"/>
    </row>
    <row r="330" spans="1:22" x14ac:dyDescent="0.25">
      <c r="A330" s="168">
        <v>44221</v>
      </c>
      <c r="B330" s="190">
        <v>7578</v>
      </c>
      <c r="C330" s="190">
        <f t="shared" si="76"/>
        <v>1874801</v>
      </c>
      <c r="D330" s="190">
        <v>208</v>
      </c>
      <c r="E330" s="190">
        <f t="shared" si="77"/>
        <v>47005</v>
      </c>
      <c r="F330" s="190">
        <f t="shared" si="71"/>
        <v>10378</v>
      </c>
      <c r="G330" s="219">
        <v>1666527</v>
      </c>
      <c r="H330" s="190">
        <v>3598</v>
      </c>
      <c r="I330" s="190">
        <v>36906</v>
      </c>
      <c r="J330" s="4">
        <f t="shared" si="79"/>
        <v>5902704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258">
        <f t="shared" si="86"/>
        <v>161269</v>
      </c>
      <c r="S330" s="57">
        <f t="shared" si="83"/>
        <v>-21</v>
      </c>
      <c r="T330" s="149">
        <f t="shared" si="87"/>
        <v>-3008</v>
      </c>
      <c r="U330" s="110"/>
      <c r="V330" s="302"/>
    </row>
    <row r="331" spans="1:22" x14ac:dyDescent="0.25">
      <c r="A331" s="168">
        <v>44222</v>
      </c>
      <c r="B331" s="190">
        <v>10409</v>
      </c>
      <c r="C331" s="190">
        <f t="shared" si="76"/>
        <v>1885210</v>
      </c>
      <c r="D331" s="190">
        <v>219</v>
      </c>
      <c r="E331" s="190">
        <f t="shared" si="77"/>
        <v>47224</v>
      </c>
      <c r="F331" s="190">
        <f t="shared" si="71"/>
        <v>8028</v>
      </c>
      <c r="G331" s="219">
        <v>1674555</v>
      </c>
      <c r="H331" s="190">
        <v>3614</v>
      </c>
      <c r="I331" s="190">
        <v>55123</v>
      </c>
      <c r="J331" s="4">
        <f t="shared" si="79"/>
        <v>5957827</v>
      </c>
      <c r="K331" s="7">
        <v>8865</v>
      </c>
      <c r="L331" s="7">
        <v>3232986</v>
      </c>
      <c r="M331" s="7">
        <f t="shared" ref="M331:M395" si="88">L331+K331</f>
        <v>3241851</v>
      </c>
      <c r="N331" s="4"/>
      <c r="O331" s="4"/>
      <c r="P331" s="4"/>
      <c r="Q331" s="4"/>
      <c r="R331" s="21">
        <f t="shared" si="86"/>
        <v>163431</v>
      </c>
      <c r="S331" s="57">
        <f t="shared" si="83"/>
        <v>16</v>
      </c>
      <c r="T331" s="149">
        <f t="shared" si="87"/>
        <v>2162</v>
      </c>
      <c r="U331" s="110"/>
      <c r="V331" s="302"/>
    </row>
    <row r="332" spans="1:22" x14ac:dyDescent="0.25">
      <c r="A332" s="170">
        <v>44223</v>
      </c>
      <c r="B332" s="207">
        <v>10843</v>
      </c>
      <c r="C332" s="190">
        <f t="shared" si="76"/>
        <v>1896053</v>
      </c>
      <c r="D332" s="190">
        <v>182</v>
      </c>
      <c r="E332" s="190">
        <f t="shared" si="77"/>
        <v>47406</v>
      </c>
      <c r="F332" s="190">
        <f t="shared" si="71"/>
        <v>8008</v>
      </c>
      <c r="G332" s="219">
        <v>1682563</v>
      </c>
      <c r="H332" s="190">
        <v>3627</v>
      </c>
      <c r="I332" s="190">
        <v>49154</v>
      </c>
      <c r="J332" s="4">
        <f t="shared" si="79"/>
        <v>6006981</v>
      </c>
      <c r="K332" s="7">
        <v>8965</v>
      </c>
      <c r="L332" s="7">
        <v>3261828</v>
      </c>
      <c r="M332" s="7">
        <f t="shared" si="88"/>
        <v>3270793</v>
      </c>
      <c r="N332" s="4"/>
      <c r="O332" s="4"/>
      <c r="P332" s="4"/>
      <c r="Q332" s="4"/>
      <c r="R332" s="21">
        <f>C332-E332-G332</f>
        <v>166084</v>
      </c>
      <c r="S332" s="57">
        <f t="shared" si="83"/>
        <v>13</v>
      </c>
      <c r="T332" s="149">
        <f t="shared" si="87"/>
        <v>2653</v>
      </c>
      <c r="U332" s="110"/>
      <c r="V332" s="302"/>
    </row>
    <row r="333" spans="1:22" x14ac:dyDescent="0.25">
      <c r="A333" s="168">
        <v>44224</v>
      </c>
      <c r="B333" s="263">
        <v>9471</v>
      </c>
      <c r="C333" s="190">
        <f t="shared" ref="C333:C339" si="89">C332+B333</f>
        <v>1905524</v>
      </c>
      <c r="D333" s="190">
        <v>166</v>
      </c>
      <c r="E333" s="190">
        <f t="shared" ref="E333:E363" si="90">E332+D333</f>
        <v>47572</v>
      </c>
      <c r="F333" s="190">
        <f t="shared" ref="F333:F363" si="91">G333-G332</f>
        <v>10583</v>
      </c>
      <c r="G333" s="219">
        <v>1693146</v>
      </c>
      <c r="H333" s="190">
        <v>3607</v>
      </c>
      <c r="I333" s="190">
        <v>46742</v>
      </c>
      <c r="J333" s="4">
        <f t="shared" si="79"/>
        <v>6053723</v>
      </c>
      <c r="K333" s="7">
        <v>9050</v>
      </c>
      <c r="L333" s="7">
        <v>3289093</v>
      </c>
      <c r="M333" s="7">
        <f t="shared" si="88"/>
        <v>3298143</v>
      </c>
      <c r="N333" s="4"/>
      <c r="O333" s="4"/>
      <c r="P333" s="4"/>
      <c r="Q333" s="4"/>
      <c r="R333" s="21">
        <f>C333-E333-G333</f>
        <v>164806</v>
      </c>
      <c r="S333" s="57">
        <f t="shared" si="83"/>
        <v>-20</v>
      </c>
      <c r="T333" s="149">
        <f t="shared" si="87"/>
        <v>-1278</v>
      </c>
      <c r="U333" s="110"/>
      <c r="V333" s="302"/>
    </row>
    <row r="334" spans="1:22" x14ac:dyDescent="0.25">
      <c r="A334" s="168">
        <v>44225</v>
      </c>
      <c r="B334" s="190">
        <v>9838</v>
      </c>
      <c r="C334" s="190">
        <f t="shared" si="89"/>
        <v>1915362</v>
      </c>
      <c r="D334" s="190">
        <v>174</v>
      </c>
      <c r="E334" s="190">
        <f t="shared" si="90"/>
        <v>47746</v>
      </c>
      <c r="F334" s="190">
        <f t="shared" si="91"/>
        <v>10313</v>
      </c>
      <c r="G334" s="219">
        <v>1703459</v>
      </c>
      <c r="H334" s="190">
        <v>3628</v>
      </c>
      <c r="I334" s="190">
        <v>45809</v>
      </c>
      <c r="J334" s="4">
        <f t="shared" si="79"/>
        <v>6099532</v>
      </c>
      <c r="K334" s="7">
        <v>9141</v>
      </c>
      <c r="L334" s="7">
        <v>3315527</v>
      </c>
      <c r="M334" s="7">
        <f t="shared" si="88"/>
        <v>3324668</v>
      </c>
      <c r="N334" s="4"/>
      <c r="O334" s="4"/>
      <c r="P334" s="4"/>
      <c r="Q334" s="4"/>
      <c r="R334" s="4">
        <f>C334-E334-G334</f>
        <v>164157</v>
      </c>
      <c r="S334" s="57">
        <f t="shared" si="83"/>
        <v>21</v>
      </c>
      <c r="T334" s="149">
        <f t="shared" si="87"/>
        <v>-649</v>
      </c>
      <c r="U334" s="110"/>
      <c r="V334" s="302"/>
    </row>
    <row r="335" spans="1:22" x14ac:dyDescent="0.25">
      <c r="A335" s="168">
        <v>44226</v>
      </c>
      <c r="B335" s="190">
        <v>6902</v>
      </c>
      <c r="C335" s="190">
        <f t="shared" si="89"/>
        <v>1922264</v>
      </c>
      <c r="D335" s="190">
        <v>156</v>
      </c>
      <c r="E335" s="190">
        <f t="shared" si="90"/>
        <v>47902</v>
      </c>
      <c r="F335" s="190">
        <f t="shared" si="91"/>
        <v>9409</v>
      </c>
      <c r="G335" s="219">
        <v>1712868</v>
      </c>
      <c r="H335" s="190">
        <v>3624</v>
      </c>
      <c r="I335" s="190">
        <v>40578</v>
      </c>
      <c r="J335" s="4">
        <f t="shared" si="79"/>
        <v>6140110</v>
      </c>
      <c r="K335" s="7">
        <v>9295</v>
      </c>
      <c r="L335" s="7">
        <v>3342833</v>
      </c>
      <c r="M335" s="7">
        <f t="shared" si="88"/>
        <v>3352128</v>
      </c>
      <c r="N335" s="4"/>
      <c r="O335" s="4"/>
      <c r="P335" s="4"/>
      <c r="Q335" s="4"/>
      <c r="R335" s="4">
        <f t="shared" ref="R335:R345" si="92">C335-E335-G335</f>
        <v>161494</v>
      </c>
      <c r="S335" s="57">
        <f t="shared" si="83"/>
        <v>-4</v>
      </c>
      <c r="T335" s="149">
        <f t="shared" ref="T335:T345" si="93">(C335-G335-E335)-(C334-E334-G334)</f>
        <v>-2663</v>
      </c>
      <c r="U335" s="110"/>
      <c r="V335" s="302"/>
    </row>
    <row r="336" spans="1:22" x14ac:dyDescent="0.25">
      <c r="A336" s="168">
        <v>44227</v>
      </c>
      <c r="B336" s="190">
        <v>4975</v>
      </c>
      <c r="C336" s="190">
        <f t="shared" si="89"/>
        <v>1927239</v>
      </c>
      <c r="D336" s="190">
        <v>43</v>
      </c>
      <c r="E336" s="190">
        <f t="shared" si="90"/>
        <v>47945</v>
      </c>
      <c r="F336" s="190">
        <f t="shared" si="91"/>
        <v>8782</v>
      </c>
      <c r="G336" s="219">
        <v>1721650</v>
      </c>
      <c r="H336" s="190">
        <v>3617</v>
      </c>
      <c r="I336" s="190">
        <v>34412</v>
      </c>
      <c r="J336" s="4">
        <f t="shared" si="79"/>
        <v>6174522</v>
      </c>
      <c r="K336" s="7">
        <v>9403</v>
      </c>
      <c r="L336" s="7">
        <v>3366882</v>
      </c>
      <c r="M336" s="7">
        <f t="shared" si="88"/>
        <v>3376285</v>
      </c>
      <c r="N336" s="4"/>
      <c r="O336" s="4"/>
      <c r="P336" s="4"/>
      <c r="Q336" s="4"/>
      <c r="R336" s="4">
        <f t="shared" si="92"/>
        <v>157644</v>
      </c>
      <c r="S336" s="57">
        <f t="shared" si="83"/>
        <v>-7</v>
      </c>
      <c r="T336" s="149">
        <f t="shared" si="93"/>
        <v>-3850</v>
      </c>
      <c r="U336" s="110"/>
      <c r="V336" s="302"/>
    </row>
    <row r="337" spans="1:24" x14ac:dyDescent="0.25">
      <c r="A337" s="168">
        <v>44228</v>
      </c>
      <c r="B337" s="190">
        <v>6614</v>
      </c>
      <c r="C337" s="190">
        <f t="shared" si="89"/>
        <v>1933853</v>
      </c>
      <c r="D337" s="190">
        <v>275</v>
      </c>
      <c r="E337" s="190">
        <f t="shared" si="90"/>
        <v>48220</v>
      </c>
      <c r="F337" s="190">
        <f t="shared" si="91"/>
        <v>8349</v>
      </c>
      <c r="G337" s="219">
        <v>1729999</v>
      </c>
      <c r="H337" s="190">
        <v>3554</v>
      </c>
      <c r="I337" s="190">
        <v>34947</v>
      </c>
      <c r="J337" s="4">
        <f t="shared" si="79"/>
        <v>6209469</v>
      </c>
      <c r="K337" s="7">
        <v>9467</v>
      </c>
      <c r="L337" s="7">
        <v>3389599</v>
      </c>
      <c r="M337" s="4">
        <f t="shared" si="88"/>
        <v>3399066</v>
      </c>
      <c r="N337" s="4"/>
      <c r="O337" s="4"/>
      <c r="P337" s="4"/>
      <c r="Q337" s="4"/>
      <c r="R337" s="4">
        <f t="shared" si="92"/>
        <v>155634</v>
      </c>
      <c r="S337" s="57">
        <f t="shared" si="83"/>
        <v>-63</v>
      </c>
      <c r="T337" s="149">
        <f t="shared" si="93"/>
        <v>-2010</v>
      </c>
      <c r="U337" s="110"/>
      <c r="V337" s="302"/>
      <c r="W337" s="231"/>
      <c r="X337" s="231"/>
    </row>
    <row r="338" spans="1:24" x14ac:dyDescent="0.25">
      <c r="A338" s="168">
        <v>44229</v>
      </c>
      <c r="B338" s="190">
        <v>9695</v>
      </c>
      <c r="C338" s="190">
        <f t="shared" si="89"/>
        <v>1943548</v>
      </c>
      <c r="D338" s="190">
        <v>176</v>
      </c>
      <c r="E338" s="190">
        <f t="shared" si="90"/>
        <v>48396</v>
      </c>
      <c r="F338" s="190">
        <f t="shared" si="91"/>
        <v>8769</v>
      </c>
      <c r="G338" s="219">
        <v>1738768</v>
      </c>
      <c r="H338" s="190">
        <v>3586</v>
      </c>
      <c r="I338" s="190">
        <v>66202</v>
      </c>
      <c r="J338" s="4">
        <f t="shared" si="79"/>
        <v>6275671</v>
      </c>
      <c r="K338" s="7">
        <v>9653</v>
      </c>
      <c r="L338" s="7">
        <v>3427133</v>
      </c>
      <c r="M338" s="4">
        <f t="shared" si="88"/>
        <v>3436786</v>
      </c>
      <c r="N338" s="4"/>
      <c r="O338" s="4"/>
      <c r="P338" s="4"/>
      <c r="Q338" s="4"/>
      <c r="R338" s="4">
        <f t="shared" si="92"/>
        <v>156384</v>
      </c>
      <c r="S338" s="57">
        <f t="shared" si="83"/>
        <v>32</v>
      </c>
      <c r="T338" s="149">
        <f t="shared" si="93"/>
        <v>750</v>
      </c>
      <c r="U338" s="110"/>
      <c r="V338" s="302"/>
    </row>
    <row r="339" spans="1:24" x14ac:dyDescent="0.25">
      <c r="A339" s="168">
        <v>44230</v>
      </c>
      <c r="B339" s="190">
        <v>9196</v>
      </c>
      <c r="C339" s="190">
        <f t="shared" si="89"/>
        <v>1952744</v>
      </c>
      <c r="D339" s="190">
        <v>113</v>
      </c>
      <c r="E339" s="190">
        <f t="shared" si="90"/>
        <v>48509</v>
      </c>
      <c r="F339" s="190">
        <f t="shared" si="91"/>
        <v>6440</v>
      </c>
      <c r="G339" s="219">
        <v>1745208</v>
      </c>
      <c r="H339" s="190">
        <v>3571</v>
      </c>
      <c r="I339" s="190">
        <v>48160</v>
      </c>
      <c r="J339" s="4">
        <f t="shared" si="79"/>
        <v>6323831</v>
      </c>
      <c r="K339" s="7">
        <v>9845</v>
      </c>
      <c r="L339" s="7">
        <v>3462532</v>
      </c>
      <c r="M339" s="4">
        <f t="shared" si="88"/>
        <v>3472377</v>
      </c>
      <c r="N339" s="4"/>
      <c r="O339" s="4"/>
      <c r="P339" s="4"/>
      <c r="Q339" s="4"/>
      <c r="R339" s="4">
        <f t="shared" si="92"/>
        <v>159027</v>
      </c>
      <c r="S339" s="57">
        <f t="shared" si="83"/>
        <v>-15</v>
      </c>
      <c r="T339" s="149">
        <f t="shared" si="93"/>
        <v>2643</v>
      </c>
      <c r="U339" s="110"/>
      <c r="V339" s="302"/>
    </row>
    <row r="340" spans="1:24" x14ac:dyDescent="0.25">
      <c r="A340" s="168">
        <v>44231</v>
      </c>
      <c r="B340" s="263">
        <v>8891</v>
      </c>
      <c r="C340" s="190">
        <f t="shared" ref="C340:C374" si="94">C339+B340</f>
        <v>1961635</v>
      </c>
      <c r="D340" s="190">
        <v>162</v>
      </c>
      <c r="E340" s="190">
        <f t="shared" si="90"/>
        <v>48671</v>
      </c>
      <c r="F340" s="190">
        <f t="shared" si="91"/>
        <v>9497</v>
      </c>
      <c r="G340" s="219">
        <v>1754705</v>
      </c>
      <c r="H340" s="190">
        <v>3570</v>
      </c>
      <c r="I340" s="190">
        <v>52557</v>
      </c>
      <c r="J340" s="4">
        <f t="shared" si="79"/>
        <v>6376388</v>
      </c>
      <c r="K340" s="7">
        <v>9900</v>
      </c>
      <c r="L340" s="7">
        <v>3486103</v>
      </c>
      <c r="M340" s="4">
        <f t="shared" si="88"/>
        <v>3496003</v>
      </c>
      <c r="N340" s="4"/>
      <c r="O340" s="4"/>
      <c r="P340" s="4"/>
      <c r="Q340" s="4"/>
      <c r="R340" s="4">
        <f t="shared" si="92"/>
        <v>158259</v>
      </c>
      <c r="S340" s="57">
        <f t="shared" si="83"/>
        <v>-1</v>
      </c>
      <c r="T340" s="149">
        <f t="shared" si="93"/>
        <v>-768</v>
      </c>
      <c r="U340" s="110"/>
      <c r="V340" s="302"/>
    </row>
    <row r="341" spans="1:24" x14ac:dyDescent="0.25">
      <c r="A341" s="168">
        <v>44232</v>
      </c>
      <c r="B341" s="190">
        <v>8374</v>
      </c>
      <c r="C341" s="190">
        <f t="shared" si="94"/>
        <v>1970009</v>
      </c>
      <c r="D341" s="190">
        <v>285</v>
      </c>
      <c r="E341" s="190">
        <f t="shared" si="90"/>
        <v>48956</v>
      </c>
      <c r="F341" s="190">
        <f t="shared" si="91"/>
        <v>9057</v>
      </c>
      <c r="G341" s="219">
        <v>1763762</v>
      </c>
      <c r="H341" s="190">
        <v>3550</v>
      </c>
      <c r="I341" s="190">
        <v>47745</v>
      </c>
      <c r="J341" s="4">
        <f t="shared" si="79"/>
        <v>6424133</v>
      </c>
      <c r="K341" s="7">
        <v>10282</v>
      </c>
      <c r="L341" s="7">
        <v>3524708</v>
      </c>
      <c r="M341" s="4">
        <f t="shared" si="88"/>
        <v>3534990</v>
      </c>
      <c r="N341" s="4"/>
      <c r="O341" s="4"/>
      <c r="P341" s="4"/>
      <c r="Q341" s="4"/>
      <c r="R341" s="4">
        <f t="shared" si="92"/>
        <v>157291</v>
      </c>
      <c r="S341" s="57">
        <f t="shared" si="83"/>
        <v>-20</v>
      </c>
      <c r="T341" s="149">
        <f t="shared" si="93"/>
        <v>-968</v>
      </c>
      <c r="U341" s="110"/>
      <c r="V341" s="302"/>
    </row>
    <row r="342" spans="1:24" x14ac:dyDescent="0.25">
      <c r="A342" s="168">
        <v>44233</v>
      </c>
      <c r="B342" s="190">
        <v>6680</v>
      </c>
      <c r="C342" s="190">
        <f t="shared" si="94"/>
        <v>1976689</v>
      </c>
      <c r="D342" s="190">
        <v>125</v>
      </c>
      <c r="E342" s="190">
        <f t="shared" si="90"/>
        <v>49081</v>
      </c>
      <c r="F342" s="190">
        <f t="shared" si="91"/>
        <v>8297</v>
      </c>
      <c r="G342" s="219">
        <v>1772059</v>
      </c>
      <c r="H342" s="190">
        <v>3550</v>
      </c>
      <c r="I342" s="190">
        <v>42244</v>
      </c>
      <c r="J342" s="4">
        <f t="shared" si="79"/>
        <v>6466377</v>
      </c>
      <c r="K342" s="7">
        <v>10351</v>
      </c>
      <c r="L342" s="7">
        <v>3551197</v>
      </c>
      <c r="M342" s="4">
        <f t="shared" si="88"/>
        <v>3561548</v>
      </c>
      <c r="N342" s="4"/>
      <c r="O342" s="4"/>
      <c r="P342" s="4"/>
      <c r="Q342" s="4"/>
      <c r="R342" s="4">
        <f t="shared" si="92"/>
        <v>155549</v>
      </c>
      <c r="S342" s="57">
        <f t="shared" si="83"/>
        <v>0</v>
      </c>
      <c r="T342" s="149">
        <f t="shared" si="93"/>
        <v>-1742</v>
      </c>
      <c r="U342" s="110"/>
      <c r="V342" s="302"/>
    </row>
    <row r="343" spans="1:24" x14ac:dyDescent="0.25">
      <c r="A343" s="168">
        <v>44234</v>
      </c>
      <c r="B343" s="190">
        <v>3658</v>
      </c>
      <c r="C343" s="190">
        <f t="shared" si="94"/>
        <v>1980347</v>
      </c>
      <c r="D343" s="190">
        <v>61</v>
      </c>
      <c r="E343" s="190">
        <f t="shared" si="90"/>
        <v>49142</v>
      </c>
      <c r="F343" s="190">
        <f t="shared" si="91"/>
        <v>6906</v>
      </c>
      <c r="G343" s="219">
        <v>1778965</v>
      </c>
      <c r="H343" s="190">
        <v>3550</v>
      </c>
      <c r="I343" s="190">
        <v>24721</v>
      </c>
      <c r="J343" s="4">
        <f t="shared" si="79"/>
        <v>6491098</v>
      </c>
      <c r="K343" s="7">
        <v>10480</v>
      </c>
      <c r="L343" s="7">
        <v>3568763</v>
      </c>
      <c r="M343" s="4">
        <f t="shared" si="88"/>
        <v>3579243</v>
      </c>
      <c r="N343" s="4"/>
      <c r="O343" s="4"/>
      <c r="P343" s="4"/>
      <c r="Q343" s="4"/>
      <c r="R343" s="4">
        <f t="shared" si="92"/>
        <v>152240</v>
      </c>
      <c r="S343" s="57">
        <f t="shared" si="83"/>
        <v>0</v>
      </c>
      <c r="T343" s="149">
        <f t="shared" si="93"/>
        <v>-3309</v>
      </c>
      <c r="U343" s="110"/>
      <c r="V343" s="302"/>
    </row>
    <row r="344" spans="1:24" x14ac:dyDescent="0.25">
      <c r="A344" s="168">
        <v>44235</v>
      </c>
      <c r="B344" s="190">
        <v>5154</v>
      </c>
      <c r="C344" s="190">
        <f t="shared" si="94"/>
        <v>1985501</v>
      </c>
      <c r="D344" s="190">
        <v>227</v>
      </c>
      <c r="E344" s="190">
        <f t="shared" si="90"/>
        <v>49369</v>
      </c>
      <c r="F344" s="190">
        <f t="shared" si="91"/>
        <v>7213</v>
      </c>
      <c r="G344" s="219">
        <v>1786178</v>
      </c>
      <c r="H344" s="190">
        <v>3526</v>
      </c>
      <c r="I344" s="190">
        <v>30651</v>
      </c>
      <c r="J344" s="4">
        <f t="shared" si="79"/>
        <v>6521749</v>
      </c>
      <c r="K344" s="7">
        <v>10625</v>
      </c>
      <c r="L344" s="7">
        <v>3587360</v>
      </c>
      <c r="M344" s="4">
        <f t="shared" si="88"/>
        <v>3597985</v>
      </c>
      <c r="N344" s="4"/>
      <c r="O344" s="4"/>
      <c r="P344" s="4"/>
      <c r="Q344" s="4"/>
      <c r="R344" s="4">
        <f t="shared" si="92"/>
        <v>149954</v>
      </c>
      <c r="S344" s="57">
        <f t="shared" si="83"/>
        <v>-24</v>
      </c>
      <c r="T344" s="149">
        <f t="shared" si="93"/>
        <v>-2286</v>
      </c>
      <c r="U344" s="110"/>
      <c r="V344" s="302"/>
    </row>
    <row r="345" spans="1:24" x14ac:dyDescent="0.25">
      <c r="A345" s="168">
        <v>44236</v>
      </c>
      <c r="B345" s="190">
        <v>7794</v>
      </c>
      <c r="C345" s="190">
        <f t="shared" si="94"/>
        <v>1993295</v>
      </c>
      <c r="D345" s="190">
        <v>168</v>
      </c>
      <c r="E345" s="190">
        <f t="shared" si="90"/>
        <v>49537</v>
      </c>
      <c r="F345" s="190">
        <f t="shared" si="91"/>
        <v>6143</v>
      </c>
      <c r="G345" s="219">
        <v>1792321</v>
      </c>
      <c r="H345" s="190">
        <v>3553</v>
      </c>
      <c r="I345" s="190">
        <v>49781</v>
      </c>
      <c r="J345" s="4">
        <f t="shared" si="79"/>
        <v>6571530</v>
      </c>
      <c r="K345" s="7">
        <v>10844</v>
      </c>
      <c r="L345" s="7">
        <v>3619021</v>
      </c>
      <c r="M345" s="4">
        <f t="shared" si="88"/>
        <v>3629865</v>
      </c>
      <c r="N345" s="4"/>
      <c r="O345" s="4"/>
      <c r="P345" s="4"/>
      <c r="Q345" s="4"/>
      <c r="R345" s="4">
        <f t="shared" si="92"/>
        <v>151437</v>
      </c>
      <c r="S345" s="57">
        <f t="shared" si="83"/>
        <v>27</v>
      </c>
      <c r="T345" s="149">
        <f t="shared" si="93"/>
        <v>1483</v>
      </c>
      <c r="U345" s="110"/>
      <c r="V345" s="302"/>
    </row>
    <row r="346" spans="1:24" x14ac:dyDescent="0.25">
      <c r="A346" s="168">
        <v>44237</v>
      </c>
      <c r="B346" s="190">
        <v>7739</v>
      </c>
      <c r="C346" s="190">
        <f t="shared" si="94"/>
        <v>2001034</v>
      </c>
      <c r="D346" s="190">
        <v>109</v>
      </c>
      <c r="E346" s="190">
        <f t="shared" si="90"/>
        <v>49646</v>
      </c>
      <c r="F346" s="190">
        <f t="shared" si="91"/>
        <v>5799</v>
      </c>
      <c r="G346" s="219">
        <v>1798120</v>
      </c>
      <c r="H346" s="190">
        <v>3561</v>
      </c>
      <c r="I346" s="190">
        <v>50352</v>
      </c>
      <c r="J346" s="4">
        <f t="shared" si="79"/>
        <v>6621882</v>
      </c>
      <c r="K346" s="7">
        <v>10852</v>
      </c>
      <c r="L346" s="7">
        <v>3639228</v>
      </c>
      <c r="M346" s="4">
        <f t="shared" si="88"/>
        <v>3650080</v>
      </c>
      <c r="N346" s="4"/>
      <c r="O346" s="4"/>
      <c r="P346" s="4"/>
      <c r="Q346" s="4"/>
      <c r="R346" s="4">
        <f t="shared" ref="R346:R352" si="95">C346-E346-G346</f>
        <v>153268</v>
      </c>
      <c r="S346" s="57">
        <f t="shared" si="83"/>
        <v>8</v>
      </c>
      <c r="T346" s="149">
        <f t="shared" ref="T346:T367" si="96">(C346-G346-E346)-(C345-E345-G345)</f>
        <v>1831</v>
      </c>
      <c r="U346" s="110"/>
      <c r="V346" s="302"/>
    </row>
    <row r="347" spans="1:24" x14ac:dyDescent="0.25">
      <c r="A347" s="168">
        <v>44238</v>
      </c>
      <c r="B347" s="212">
        <v>7311</v>
      </c>
      <c r="C347" s="190">
        <f t="shared" si="94"/>
        <v>2008345</v>
      </c>
      <c r="D347" s="212">
        <v>195</v>
      </c>
      <c r="E347" s="190">
        <f t="shared" si="90"/>
        <v>49841</v>
      </c>
      <c r="F347" s="190">
        <f t="shared" si="91"/>
        <v>8140</v>
      </c>
      <c r="G347" s="219">
        <v>1806260</v>
      </c>
      <c r="H347" s="190">
        <v>3541</v>
      </c>
      <c r="I347" s="190">
        <v>51007</v>
      </c>
      <c r="J347" s="4">
        <f t="shared" si="79"/>
        <v>6672889</v>
      </c>
      <c r="K347" s="7">
        <v>11150</v>
      </c>
      <c r="L347" s="7">
        <v>3684608</v>
      </c>
      <c r="M347" s="4">
        <f t="shared" si="88"/>
        <v>3695758</v>
      </c>
      <c r="N347" s="4"/>
      <c r="O347" s="4"/>
      <c r="P347" s="4"/>
      <c r="Q347" s="4"/>
      <c r="R347" s="4">
        <f t="shared" si="95"/>
        <v>152244</v>
      </c>
      <c r="S347" s="57">
        <f t="shared" si="83"/>
        <v>-20</v>
      </c>
      <c r="T347" s="149">
        <f t="shared" si="96"/>
        <v>-1024</v>
      </c>
      <c r="U347" s="110"/>
      <c r="V347" s="302"/>
    </row>
    <row r="348" spans="1:24" x14ac:dyDescent="0.25">
      <c r="A348" s="168">
        <v>44239</v>
      </c>
      <c r="B348" s="190">
        <v>7151</v>
      </c>
      <c r="C348" s="190">
        <f t="shared" si="94"/>
        <v>2015496</v>
      </c>
      <c r="D348" s="208">
        <v>155</v>
      </c>
      <c r="E348" s="190">
        <f t="shared" si="90"/>
        <v>49996</v>
      </c>
      <c r="F348" s="190">
        <f t="shared" si="91"/>
        <v>7900</v>
      </c>
      <c r="G348" s="219">
        <v>1814160</v>
      </c>
      <c r="H348" s="190">
        <v>3538</v>
      </c>
      <c r="I348" s="190">
        <v>49074</v>
      </c>
      <c r="J348" s="4">
        <f t="shared" si="79"/>
        <v>6721963</v>
      </c>
      <c r="K348" s="7">
        <v>11298</v>
      </c>
      <c r="L348" s="7">
        <v>3716607</v>
      </c>
      <c r="M348" s="4">
        <f t="shared" si="88"/>
        <v>3727905</v>
      </c>
      <c r="N348" s="4"/>
      <c r="O348" s="4"/>
      <c r="P348" s="4"/>
      <c r="Q348" s="4"/>
      <c r="R348" s="21">
        <f t="shared" si="95"/>
        <v>151340</v>
      </c>
      <c r="S348" s="57">
        <f t="shared" si="83"/>
        <v>-3</v>
      </c>
      <c r="T348" s="149">
        <f t="shared" si="96"/>
        <v>-904</v>
      </c>
      <c r="U348" s="110"/>
      <c r="V348" s="302"/>
    </row>
    <row r="349" spans="1:24" x14ac:dyDescent="0.25">
      <c r="A349" s="168">
        <v>44240</v>
      </c>
      <c r="B349" s="190">
        <v>6057</v>
      </c>
      <c r="C349" s="190">
        <f t="shared" si="94"/>
        <v>2021553</v>
      </c>
      <c r="D349" s="208">
        <v>158</v>
      </c>
      <c r="E349" s="190">
        <f t="shared" si="90"/>
        <v>50154</v>
      </c>
      <c r="F349" s="190">
        <f t="shared" si="91"/>
        <v>6805</v>
      </c>
      <c r="G349" s="219">
        <v>1820965</v>
      </c>
      <c r="H349" s="190">
        <v>3514</v>
      </c>
      <c r="I349" s="190">
        <v>54719</v>
      </c>
      <c r="J349" s="4">
        <f t="shared" si="79"/>
        <v>6776682</v>
      </c>
      <c r="K349" s="7"/>
      <c r="L349" s="7"/>
      <c r="M349" s="4"/>
      <c r="N349" s="4"/>
      <c r="O349" s="4"/>
      <c r="P349" s="4"/>
      <c r="Q349" s="4"/>
      <c r="R349" s="21">
        <f t="shared" si="95"/>
        <v>150434</v>
      </c>
      <c r="S349" s="57">
        <f t="shared" si="83"/>
        <v>-24</v>
      </c>
      <c r="T349" s="149">
        <f t="shared" si="96"/>
        <v>-906</v>
      </c>
      <c r="U349" s="110"/>
      <c r="V349" s="302"/>
    </row>
    <row r="350" spans="1:24" x14ac:dyDescent="0.25">
      <c r="A350" s="168">
        <v>44241</v>
      </c>
      <c r="B350" s="190">
        <v>4245</v>
      </c>
      <c r="C350" s="190">
        <f t="shared" si="94"/>
        <v>2025798</v>
      </c>
      <c r="D350" s="208">
        <v>48</v>
      </c>
      <c r="E350" s="190">
        <f t="shared" si="90"/>
        <v>50202</v>
      </c>
      <c r="F350" s="190">
        <f t="shared" si="91"/>
        <v>6153</v>
      </c>
      <c r="G350" s="219">
        <v>1827118</v>
      </c>
      <c r="H350" s="190">
        <v>3547</v>
      </c>
      <c r="I350" s="190">
        <v>41673</v>
      </c>
      <c r="J350" s="4">
        <f t="shared" si="79"/>
        <v>6818355</v>
      </c>
      <c r="K350" s="7">
        <v>11438</v>
      </c>
      <c r="L350" s="7">
        <v>3778940</v>
      </c>
      <c r="M350" s="4">
        <f t="shared" si="88"/>
        <v>3790378</v>
      </c>
      <c r="N350" s="4"/>
      <c r="O350" s="4"/>
      <c r="P350" s="4"/>
      <c r="Q350" s="4"/>
      <c r="R350" s="21">
        <f t="shared" si="95"/>
        <v>148478</v>
      </c>
      <c r="S350" s="57">
        <f t="shared" si="83"/>
        <v>33</v>
      </c>
      <c r="T350" s="149">
        <f t="shared" si="96"/>
        <v>-1956</v>
      </c>
      <c r="U350" s="110"/>
      <c r="V350" s="302"/>
    </row>
    <row r="351" spans="1:24" x14ac:dyDescent="0.25">
      <c r="A351" s="168">
        <v>44242</v>
      </c>
      <c r="B351" s="190">
        <v>3259</v>
      </c>
      <c r="C351" s="190">
        <f t="shared" si="94"/>
        <v>2029057</v>
      </c>
      <c r="D351" s="208">
        <v>91</v>
      </c>
      <c r="E351" s="190">
        <f t="shared" si="90"/>
        <v>50293</v>
      </c>
      <c r="F351" s="190">
        <f t="shared" si="91"/>
        <v>6324</v>
      </c>
      <c r="G351" s="219">
        <v>1833442</v>
      </c>
      <c r="H351" s="190">
        <v>3538</v>
      </c>
      <c r="I351" s="190">
        <v>30040</v>
      </c>
      <c r="J351" s="4">
        <f t="shared" si="79"/>
        <v>6848395</v>
      </c>
      <c r="K351" s="7">
        <v>11525</v>
      </c>
      <c r="L351" s="7">
        <v>3807948</v>
      </c>
      <c r="M351" s="4">
        <f t="shared" si="88"/>
        <v>3819473</v>
      </c>
      <c r="N351" s="4"/>
      <c r="O351" s="4"/>
      <c r="P351" s="4"/>
      <c r="Q351" s="4"/>
      <c r="R351" s="21">
        <f t="shared" si="95"/>
        <v>145322</v>
      </c>
      <c r="S351" s="57">
        <f t="shared" ref="S351:S367" si="97">H351-H350</f>
        <v>-9</v>
      </c>
      <c r="T351" s="149">
        <f t="shared" si="96"/>
        <v>-3156</v>
      </c>
      <c r="U351" s="110"/>
      <c r="V351" s="302"/>
    </row>
    <row r="352" spans="1:24" x14ac:dyDescent="0.25">
      <c r="A352" s="168">
        <v>44243</v>
      </c>
      <c r="B352" s="190">
        <v>4003</v>
      </c>
      <c r="C352" s="190">
        <f t="shared" si="94"/>
        <v>2033060</v>
      </c>
      <c r="D352" s="208">
        <v>105</v>
      </c>
      <c r="E352" s="190">
        <f t="shared" si="90"/>
        <v>50398</v>
      </c>
      <c r="F352" s="190">
        <f t="shared" si="91"/>
        <v>4849</v>
      </c>
      <c r="G352" s="219">
        <v>1838291</v>
      </c>
      <c r="H352" s="190">
        <v>3581</v>
      </c>
      <c r="I352" s="190">
        <v>36282</v>
      </c>
      <c r="J352" s="4">
        <f t="shared" si="79"/>
        <v>6884677</v>
      </c>
      <c r="K352" s="7">
        <v>11677</v>
      </c>
      <c r="L352" s="7">
        <v>3832083</v>
      </c>
      <c r="M352" s="4">
        <f t="shared" si="88"/>
        <v>3843760</v>
      </c>
      <c r="N352" s="4"/>
      <c r="O352" s="4"/>
      <c r="P352" s="4"/>
      <c r="Q352" s="4"/>
      <c r="R352" s="21">
        <f t="shared" si="95"/>
        <v>144371</v>
      </c>
      <c r="S352" s="57">
        <f t="shared" si="97"/>
        <v>43</v>
      </c>
      <c r="T352" s="149">
        <f t="shared" si="96"/>
        <v>-951</v>
      </c>
      <c r="U352" s="110"/>
      <c r="V352" s="302"/>
    </row>
    <row r="353" spans="1:22" x14ac:dyDescent="0.25">
      <c r="A353" s="168">
        <v>44244</v>
      </c>
      <c r="B353" s="190">
        <v>6064</v>
      </c>
      <c r="C353" s="190">
        <f t="shared" si="94"/>
        <v>2039124</v>
      </c>
      <c r="D353" s="190">
        <v>183</v>
      </c>
      <c r="E353" s="190">
        <f t="shared" si="90"/>
        <v>50581</v>
      </c>
      <c r="F353" s="190">
        <f t="shared" si="91"/>
        <v>4587</v>
      </c>
      <c r="G353" s="219">
        <v>1842878</v>
      </c>
      <c r="H353" s="190">
        <v>3573</v>
      </c>
      <c r="I353" s="190">
        <v>45882</v>
      </c>
      <c r="J353" s="4">
        <f t="shared" si="79"/>
        <v>6930559</v>
      </c>
      <c r="K353" s="7">
        <v>11782</v>
      </c>
      <c r="L353" s="7">
        <v>3860961</v>
      </c>
      <c r="M353" s="4">
        <f t="shared" si="88"/>
        <v>3872743</v>
      </c>
      <c r="N353" s="4"/>
      <c r="O353" s="4"/>
      <c r="P353" s="4"/>
      <c r="Q353" s="4"/>
      <c r="R353" s="21">
        <f t="shared" ref="R353:R367" si="98">C353-E353-G353</f>
        <v>145665</v>
      </c>
      <c r="S353" s="57">
        <f t="shared" si="97"/>
        <v>-8</v>
      </c>
      <c r="T353" s="149">
        <f t="shared" si="96"/>
        <v>1294</v>
      </c>
      <c r="U353" s="110"/>
      <c r="V353" s="302"/>
    </row>
    <row r="354" spans="1:22" x14ac:dyDescent="0.25">
      <c r="A354" s="168">
        <v>44245</v>
      </c>
      <c r="B354" s="190">
        <v>7671</v>
      </c>
      <c r="C354" s="190">
        <f t="shared" si="94"/>
        <v>2046795</v>
      </c>
      <c r="D354" s="190">
        <v>242</v>
      </c>
      <c r="E354" s="190">
        <f t="shared" si="90"/>
        <v>50823</v>
      </c>
      <c r="F354" s="190">
        <f t="shared" si="91"/>
        <v>6573</v>
      </c>
      <c r="G354" s="219">
        <v>1849451</v>
      </c>
      <c r="H354" s="190">
        <v>3595</v>
      </c>
      <c r="I354" s="190">
        <v>54375</v>
      </c>
      <c r="J354" s="4">
        <f t="shared" si="79"/>
        <v>6984934</v>
      </c>
      <c r="K354" s="7">
        <v>11889</v>
      </c>
      <c r="L354" s="7">
        <v>3886419</v>
      </c>
      <c r="M354" s="4">
        <f t="shared" si="88"/>
        <v>3898308</v>
      </c>
      <c r="N354" s="4"/>
      <c r="O354" s="4"/>
      <c r="P354" s="4"/>
      <c r="Q354" s="4"/>
      <c r="R354" s="4">
        <f t="shared" si="98"/>
        <v>146521</v>
      </c>
      <c r="S354" s="57">
        <f t="shared" si="97"/>
        <v>22</v>
      </c>
      <c r="T354" s="149">
        <f t="shared" si="96"/>
        <v>856</v>
      </c>
      <c r="U354" s="110"/>
      <c r="V354" s="302"/>
    </row>
    <row r="355" spans="1:22" x14ac:dyDescent="0.25">
      <c r="A355" s="168">
        <v>44246</v>
      </c>
      <c r="B355" s="190">
        <v>7886</v>
      </c>
      <c r="C355" s="190">
        <f t="shared" si="94"/>
        <v>2054681</v>
      </c>
      <c r="D355" s="190">
        <v>143</v>
      </c>
      <c r="E355" s="190">
        <f t="shared" si="90"/>
        <v>50966</v>
      </c>
      <c r="F355" s="190">
        <f t="shared" si="91"/>
        <v>6194</v>
      </c>
      <c r="G355" s="219">
        <v>1855645</v>
      </c>
      <c r="H355" s="190">
        <v>3608</v>
      </c>
      <c r="I355" s="190">
        <v>59570</v>
      </c>
      <c r="J355" s="4">
        <f t="shared" si="79"/>
        <v>7044504</v>
      </c>
      <c r="K355" s="7">
        <v>12025</v>
      </c>
      <c r="L355" s="7">
        <v>3936801</v>
      </c>
      <c r="M355" s="4">
        <f t="shared" si="88"/>
        <v>3948826</v>
      </c>
      <c r="N355" s="4"/>
      <c r="O355" s="4"/>
      <c r="P355" s="4"/>
      <c r="Q355" s="4"/>
      <c r="R355" s="4">
        <f t="shared" si="98"/>
        <v>148070</v>
      </c>
      <c r="S355" s="57">
        <f t="shared" si="97"/>
        <v>13</v>
      </c>
      <c r="T355" s="149">
        <f t="shared" si="96"/>
        <v>1549</v>
      </c>
      <c r="U355" s="110"/>
      <c r="V355" s="302"/>
    </row>
    <row r="356" spans="1:22" x14ac:dyDescent="0.25">
      <c r="A356" s="168">
        <v>44247</v>
      </c>
      <c r="B356" s="190">
        <v>5944</v>
      </c>
      <c r="C356" s="190">
        <f t="shared" si="94"/>
        <v>2060625</v>
      </c>
      <c r="D356" s="190">
        <v>122</v>
      </c>
      <c r="E356" s="190">
        <f t="shared" si="90"/>
        <v>51088</v>
      </c>
      <c r="F356" s="190">
        <f t="shared" si="91"/>
        <v>5788</v>
      </c>
      <c r="G356" s="219">
        <v>1861433</v>
      </c>
      <c r="H356" s="190">
        <v>3605</v>
      </c>
      <c r="I356" s="190">
        <v>51122</v>
      </c>
      <c r="J356" s="4">
        <f t="shared" si="79"/>
        <v>7095626</v>
      </c>
      <c r="K356" s="7">
        <v>12151</v>
      </c>
      <c r="L356" s="7">
        <v>3966620</v>
      </c>
      <c r="M356" s="4">
        <f t="shared" si="88"/>
        <v>3978771</v>
      </c>
      <c r="N356" s="4"/>
      <c r="O356" s="4"/>
      <c r="P356" s="4"/>
      <c r="Q356" s="4"/>
      <c r="R356" s="4">
        <f t="shared" si="98"/>
        <v>148104</v>
      </c>
      <c r="S356" s="57">
        <f t="shared" si="97"/>
        <v>-3</v>
      </c>
      <c r="T356" s="149">
        <f t="shared" si="96"/>
        <v>34</v>
      </c>
      <c r="U356" s="110"/>
      <c r="V356" s="302"/>
    </row>
    <row r="357" spans="1:22" x14ac:dyDescent="0.25">
      <c r="A357" s="168">
        <v>44248</v>
      </c>
      <c r="B357" s="190">
        <v>3709</v>
      </c>
      <c r="C357" s="190">
        <f t="shared" si="94"/>
        <v>2064334</v>
      </c>
      <c r="D357" s="190">
        <v>77</v>
      </c>
      <c r="E357" s="190">
        <f t="shared" si="90"/>
        <v>51165</v>
      </c>
      <c r="F357" s="190">
        <f t="shared" si="91"/>
        <v>5068</v>
      </c>
      <c r="G357" s="219">
        <v>1866501</v>
      </c>
      <c r="H357" s="190">
        <v>3605</v>
      </c>
      <c r="I357" s="190">
        <v>25350</v>
      </c>
      <c r="J357" s="4">
        <f t="shared" si="79"/>
        <v>7120976</v>
      </c>
      <c r="K357" s="7">
        <v>12205</v>
      </c>
      <c r="L357" s="7">
        <v>3982551</v>
      </c>
      <c r="M357" s="4">
        <f t="shared" si="88"/>
        <v>3994756</v>
      </c>
      <c r="N357" s="4"/>
      <c r="O357" s="4"/>
      <c r="P357" s="4"/>
      <c r="Q357" s="4"/>
      <c r="R357" s="4">
        <f t="shared" si="98"/>
        <v>146668</v>
      </c>
      <c r="S357" s="57">
        <f t="shared" si="97"/>
        <v>0</v>
      </c>
      <c r="T357" s="149">
        <f t="shared" si="96"/>
        <v>-1436</v>
      </c>
      <c r="U357" s="110"/>
      <c r="V357" s="302"/>
    </row>
    <row r="358" spans="1:22" x14ac:dyDescent="0.25">
      <c r="A358" s="168">
        <v>44249</v>
      </c>
      <c r="B358" s="190">
        <v>5417</v>
      </c>
      <c r="C358" s="190">
        <f t="shared" si="94"/>
        <v>2069751</v>
      </c>
      <c r="D358" s="190">
        <v>161</v>
      </c>
      <c r="E358" s="190">
        <f t="shared" si="90"/>
        <v>51326</v>
      </c>
      <c r="F358" s="190">
        <f t="shared" si="91"/>
        <v>5712</v>
      </c>
      <c r="G358" s="219">
        <v>1872213</v>
      </c>
      <c r="H358" s="190">
        <v>3550</v>
      </c>
      <c r="I358" s="190">
        <v>42145</v>
      </c>
      <c r="J358" s="4">
        <f t="shared" si="79"/>
        <v>7163121</v>
      </c>
      <c r="K358" s="7">
        <v>12284</v>
      </c>
      <c r="L358" s="7">
        <v>4011747</v>
      </c>
      <c r="M358" s="4">
        <f t="shared" si="88"/>
        <v>4024031</v>
      </c>
      <c r="N358" s="4"/>
      <c r="O358" s="4"/>
      <c r="P358" s="4"/>
      <c r="Q358" s="4"/>
      <c r="R358" s="4">
        <f t="shared" si="98"/>
        <v>146212</v>
      </c>
      <c r="S358" s="57">
        <f t="shared" si="97"/>
        <v>-55</v>
      </c>
      <c r="T358" s="149">
        <f t="shared" si="96"/>
        <v>-456</v>
      </c>
      <c r="U358" s="110"/>
      <c r="V358" s="302"/>
    </row>
    <row r="359" spans="1:22" x14ac:dyDescent="0.25">
      <c r="A359" s="168">
        <v>44250</v>
      </c>
      <c r="B359" s="190">
        <v>7477</v>
      </c>
      <c r="C359" s="190">
        <f t="shared" si="94"/>
        <v>2077228</v>
      </c>
      <c r="D359" s="190">
        <v>155</v>
      </c>
      <c r="E359" s="190">
        <f t="shared" si="90"/>
        <v>51481</v>
      </c>
      <c r="F359" s="190">
        <f t="shared" si="91"/>
        <v>5685</v>
      </c>
      <c r="G359" s="219">
        <v>1877898</v>
      </c>
      <c r="H359" s="190">
        <v>3529</v>
      </c>
      <c r="I359" s="190">
        <v>50888</v>
      </c>
      <c r="J359" s="4">
        <f t="shared" si="79"/>
        <v>7214009</v>
      </c>
      <c r="K359" s="24">
        <v>12458</v>
      </c>
      <c r="L359" s="24">
        <v>4042409</v>
      </c>
      <c r="M359" s="4">
        <f t="shared" si="88"/>
        <v>4054867</v>
      </c>
      <c r="R359" s="4">
        <f t="shared" si="98"/>
        <v>147849</v>
      </c>
      <c r="S359" s="57">
        <f t="shared" si="97"/>
        <v>-21</v>
      </c>
      <c r="T359" s="149">
        <f t="shared" si="96"/>
        <v>1637</v>
      </c>
      <c r="U359" s="110"/>
      <c r="V359" s="302"/>
    </row>
    <row r="360" spans="1:22" x14ac:dyDescent="0.25">
      <c r="A360" s="170">
        <v>44251</v>
      </c>
      <c r="B360" s="197">
        <v>8183</v>
      </c>
      <c r="C360" s="197">
        <f t="shared" si="94"/>
        <v>2085411</v>
      </c>
      <c r="D360" s="197">
        <v>140</v>
      </c>
      <c r="E360" s="197">
        <f t="shared" si="90"/>
        <v>51621</v>
      </c>
      <c r="F360" s="197">
        <f t="shared" si="91"/>
        <v>4670</v>
      </c>
      <c r="G360" s="220">
        <v>1882568</v>
      </c>
      <c r="H360" s="197">
        <v>3504</v>
      </c>
      <c r="I360" s="197">
        <v>46790</v>
      </c>
      <c r="J360" s="4">
        <f t="shared" si="79"/>
        <v>7260799</v>
      </c>
      <c r="K360" s="24">
        <v>12463</v>
      </c>
      <c r="L360" s="24">
        <v>4062615</v>
      </c>
      <c r="M360" s="30">
        <f t="shared" si="88"/>
        <v>4075078</v>
      </c>
      <c r="R360" s="30">
        <f t="shared" si="98"/>
        <v>151222</v>
      </c>
      <c r="S360" s="100">
        <f t="shared" si="97"/>
        <v>-25</v>
      </c>
      <c r="T360" s="184">
        <f t="shared" si="96"/>
        <v>3373</v>
      </c>
      <c r="U360" s="110"/>
      <c r="V360" s="302"/>
    </row>
    <row r="361" spans="1:22" x14ac:dyDescent="0.25">
      <c r="A361" s="168">
        <v>44252</v>
      </c>
      <c r="B361" s="190">
        <v>8234</v>
      </c>
      <c r="C361" s="190">
        <f t="shared" si="94"/>
        <v>2093645</v>
      </c>
      <c r="D361" s="190">
        <v>145</v>
      </c>
      <c r="E361" s="190">
        <f t="shared" si="90"/>
        <v>51766</v>
      </c>
      <c r="F361" s="190">
        <f t="shared" si="91"/>
        <v>5279</v>
      </c>
      <c r="G361" s="219">
        <v>1887847</v>
      </c>
      <c r="H361" s="190">
        <v>3467</v>
      </c>
      <c r="I361" s="190">
        <v>50336</v>
      </c>
      <c r="J361" s="4">
        <f t="shared" si="79"/>
        <v>7311135</v>
      </c>
      <c r="K361" s="7">
        <v>12512</v>
      </c>
      <c r="L361" s="7">
        <v>4093490</v>
      </c>
      <c r="M361" s="4">
        <f t="shared" si="88"/>
        <v>4106002</v>
      </c>
      <c r="N361" s="4"/>
      <c r="O361" s="4"/>
      <c r="P361" s="4"/>
      <c r="Q361" s="4"/>
      <c r="R361" s="4">
        <f t="shared" si="98"/>
        <v>154032</v>
      </c>
      <c r="S361" s="57">
        <f t="shared" si="97"/>
        <v>-37</v>
      </c>
      <c r="T361" s="149">
        <f t="shared" si="96"/>
        <v>2810</v>
      </c>
      <c r="U361" s="110"/>
      <c r="V361" s="302"/>
    </row>
    <row r="362" spans="1:22" x14ac:dyDescent="0.25">
      <c r="A362" s="168">
        <v>44253</v>
      </c>
      <c r="B362" s="190">
        <v>5083</v>
      </c>
      <c r="C362" s="190">
        <f t="shared" si="94"/>
        <v>2098728</v>
      </c>
      <c r="D362" s="190">
        <v>92</v>
      </c>
      <c r="E362" s="190">
        <f t="shared" si="90"/>
        <v>51858</v>
      </c>
      <c r="F362" s="190">
        <f t="shared" si="91"/>
        <v>4987</v>
      </c>
      <c r="G362" s="219">
        <v>1892834</v>
      </c>
      <c r="H362" s="190">
        <v>3475</v>
      </c>
      <c r="I362" s="190">
        <v>43445</v>
      </c>
      <c r="J362" s="4">
        <f t="shared" ref="J362:J372" si="99">J363-I363</f>
        <v>7354580</v>
      </c>
      <c r="K362" s="7">
        <v>12668</v>
      </c>
      <c r="L362" s="7">
        <v>4129185</v>
      </c>
      <c r="M362" s="4">
        <f t="shared" si="88"/>
        <v>4141853</v>
      </c>
      <c r="N362" s="4"/>
      <c r="O362" s="4"/>
      <c r="P362" s="4"/>
      <c r="Q362" s="4"/>
      <c r="R362" s="4">
        <f t="shared" si="98"/>
        <v>154036</v>
      </c>
      <c r="S362" s="57">
        <f t="shared" si="97"/>
        <v>8</v>
      </c>
      <c r="T362" s="149">
        <f t="shared" si="96"/>
        <v>4</v>
      </c>
      <c r="U362" s="110"/>
      <c r="V362" s="302"/>
    </row>
    <row r="363" spans="1:22" x14ac:dyDescent="0.25">
      <c r="A363" s="168">
        <v>44254</v>
      </c>
      <c r="B363" s="190">
        <v>5469</v>
      </c>
      <c r="C363" s="190">
        <f t="shared" si="94"/>
        <v>2104197</v>
      </c>
      <c r="D363" s="190">
        <v>59</v>
      </c>
      <c r="E363" s="190">
        <f t="shared" si="90"/>
        <v>51917</v>
      </c>
      <c r="F363" s="190">
        <f t="shared" si="91"/>
        <v>6253</v>
      </c>
      <c r="G363" s="219">
        <v>1899087</v>
      </c>
      <c r="H363" s="190">
        <v>3494</v>
      </c>
      <c r="I363" s="190">
        <v>40095</v>
      </c>
      <c r="J363" s="4">
        <f t="shared" si="99"/>
        <v>7394675</v>
      </c>
      <c r="K363" s="7">
        <v>12698</v>
      </c>
      <c r="L363" s="7">
        <v>4146549</v>
      </c>
      <c r="M363" s="4">
        <f t="shared" si="88"/>
        <v>4159247</v>
      </c>
      <c r="N363" s="4"/>
      <c r="O363" s="4"/>
      <c r="P363" s="4"/>
      <c r="Q363" s="4"/>
      <c r="R363" s="4">
        <f t="shared" si="98"/>
        <v>153193</v>
      </c>
      <c r="S363" s="57">
        <f t="shared" si="97"/>
        <v>19</v>
      </c>
      <c r="T363" s="149">
        <f t="shared" si="96"/>
        <v>-843</v>
      </c>
      <c r="U363" s="110"/>
      <c r="V363" s="302"/>
    </row>
    <row r="364" spans="1:22" x14ac:dyDescent="0.25">
      <c r="A364" s="168">
        <v>44255</v>
      </c>
      <c r="B364" s="190">
        <v>3168</v>
      </c>
      <c r="C364" s="190">
        <f t="shared" si="94"/>
        <v>2107365</v>
      </c>
      <c r="D364" s="190">
        <v>19</v>
      </c>
      <c r="E364" s="190">
        <f t="shared" ref="E364:E378" si="100">E363+D364</f>
        <v>51936</v>
      </c>
      <c r="F364" s="190">
        <f t="shared" ref="F364:F378" si="101">G364-G363</f>
        <v>5934</v>
      </c>
      <c r="G364" s="219">
        <v>1905021</v>
      </c>
      <c r="H364" s="190">
        <v>3505</v>
      </c>
      <c r="I364" s="190">
        <v>30915</v>
      </c>
      <c r="J364" s="4">
        <f t="shared" si="99"/>
        <v>7425590</v>
      </c>
      <c r="K364" s="7">
        <v>12841</v>
      </c>
      <c r="L364" s="7">
        <v>4175784</v>
      </c>
      <c r="M364" s="4">
        <f t="shared" si="88"/>
        <v>4188625</v>
      </c>
      <c r="N364" s="4"/>
      <c r="O364" s="4"/>
      <c r="P364" s="4"/>
      <c r="Q364" s="4"/>
      <c r="R364" s="4">
        <f t="shared" si="98"/>
        <v>150408</v>
      </c>
      <c r="S364" s="57">
        <f t="shared" si="97"/>
        <v>11</v>
      </c>
      <c r="T364" s="149">
        <f t="shared" si="96"/>
        <v>-2785</v>
      </c>
      <c r="U364" s="110"/>
      <c r="V364" s="302"/>
    </row>
    <row r="365" spans="1:22" x14ac:dyDescent="0.25">
      <c r="A365" s="168">
        <v>44256</v>
      </c>
      <c r="B365" s="190">
        <v>4658</v>
      </c>
      <c r="C365" s="190">
        <f t="shared" si="94"/>
        <v>2112023</v>
      </c>
      <c r="D365" s="190">
        <v>112</v>
      </c>
      <c r="E365" s="190">
        <f t="shared" si="100"/>
        <v>52048</v>
      </c>
      <c r="F365" s="190">
        <f t="shared" si="101"/>
        <v>6317</v>
      </c>
      <c r="G365" s="219">
        <v>1911338</v>
      </c>
      <c r="H365" s="190">
        <v>3505</v>
      </c>
      <c r="I365" s="190">
        <v>30136</v>
      </c>
      <c r="J365" s="4">
        <f t="shared" si="99"/>
        <v>7455726</v>
      </c>
      <c r="K365" s="7">
        <v>12890</v>
      </c>
      <c r="L365" s="7">
        <v>4195306</v>
      </c>
      <c r="M365" s="4">
        <f t="shared" si="88"/>
        <v>4208196</v>
      </c>
      <c r="N365" s="4"/>
      <c r="O365" s="4"/>
      <c r="P365" s="4"/>
      <c r="Q365" s="4"/>
      <c r="R365" s="4">
        <f t="shared" si="98"/>
        <v>148637</v>
      </c>
      <c r="S365" s="57">
        <f t="shared" si="97"/>
        <v>0</v>
      </c>
      <c r="T365" s="149">
        <f t="shared" si="96"/>
        <v>-1771</v>
      </c>
      <c r="U365" s="110"/>
      <c r="V365" s="302"/>
    </row>
    <row r="366" spans="1:22" x14ac:dyDescent="0.25">
      <c r="A366" s="168">
        <v>44257</v>
      </c>
      <c r="B366" s="190">
        <v>6653</v>
      </c>
      <c r="C366" s="190">
        <f t="shared" si="94"/>
        <v>2118676</v>
      </c>
      <c r="D366" s="190">
        <v>116</v>
      </c>
      <c r="E366" s="190">
        <f t="shared" si="100"/>
        <v>52164</v>
      </c>
      <c r="F366" s="190">
        <f t="shared" si="101"/>
        <v>5598</v>
      </c>
      <c r="G366" s="219">
        <v>1916936</v>
      </c>
      <c r="H366" s="190">
        <v>3527</v>
      </c>
      <c r="I366" s="190">
        <v>43912</v>
      </c>
      <c r="J366" s="4">
        <f t="shared" si="99"/>
        <v>7499638</v>
      </c>
      <c r="K366" s="7">
        <v>12962</v>
      </c>
      <c r="L366" s="7">
        <v>4221954</v>
      </c>
      <c r="M366" s="4">
        <f t="shared" si="88"/>
        <v>4234916</v>
      </c>
      <c r="N366" s="4"/>
      <c r="O366" s="4"/>
      <c r="P366" s="4"/>
      <c r="Q366" s="4"/>
      <c r="R366" s="4">
        <f t="shared" si="98"/>
        <v>149576</v>
      </c>
      <c r="S366" s="57">
        <f t="shared" si="97"/>
        <v>22</v>
      </c>
      <c r="T366" s="149">
        <f t="shared" si="96"/>
        <v>939</v>
      </c>
      <c r="U366" s="110"/>
      <c r="V366" s="302"/>
    </row>
    <row r="367" spans="1:22" x14ac:dyDescent="0.25">
      <c r="A367" s="168">
        <v>44258</v>
      </c>
      <c r="B367" s="190">
        <v>7855</v>
      </c>
      <c r="C367" s="190">
        <f t="shared" si="94"/>
        <v>2126531</v>
      </c>
      <c r="D367" s="190">
        <v>262</v>
      </c>
      <c r="E367" s="190">
        <f t="shared" si="100"/>
        <v>52426</v>
      </c>
      <c r="F367" s="190">
        <f t="shared" si="101"/>
        <v>4653</v>
      </c>
      <c r="G367" s="219">
        <v>1921589</v>
      </c>
      <c r="H367" s="190">
        <v>3521</v>
      </c>
      <c r="I367" s="190">
        <v>54559</v>
      </c>
      <c r="J367" s="4">
        <f t="shared" si="99"/>
        <v>7554197</v>
      </c>
      <c r="K367" s="7">
        <v>13013</v>
      </c>
      <c r="L367" s="7">
        <v>4258155</v>
      </c>
      <c r="M367" s="4">
        <f t="shared" si="88"/>
        <v>4271168</v>
      </c>
      <c r="N367" s="4"/>
      <c r="O367" s="4"/>
      <c r="P367" s="4"/>
      <c r="Q367" s="4"/>
      <c r="R367" s="4">
        <f t="shared" si="98"/>
        <v>152516</v>
      </c>
      <c r="S367" s="57">
        <f t="shared" si="97"/>
        <v>-6</v>
      </c>
      <c r="T367" s="149">
        <f t="shared" si="96"/>
        <v>2940</v>
      </c>
      <c r="U367" s="110"/>
      <c r="V367" s="302"/>
    </row>
    <row r="368" spans="1:22" x14ac:dyDescent="0.25">
      <c r="A368" s="168">
        <v>44259</v>
      </c>
      <c r="B368" s="190">
        <v>7432</v>
      </c>
      <c r="C368" s="190">
        <f t="shared" si="94"/>
        <v>2133963</v>
      </c>
      <c r="D368" s="190">
        <v>191</v>
      </c>
      <c r="E368" s="190">
        <f t="shared" si="100"/>
        <v>52617</v>
      </c>
      <c r="F368" s="190">
        <f t="shared" si="101"/>
        <v>6788</v>
      </c>
      <c r="G368" s="219">
        <v>1928377</v>
      </c>
      <c r="H368" s="190">
        <v>3489</v>
      </c>
      <c r="I368" s="190">
        <v>52553</v>
      </c>
      <c r="J368" s="4">
        <f t="shared" si="99"/>
        <v>7606750</v>
      </c>
      <c r="K368" s="7">
        <v>13099</v>
      </c>
      <c r="L368" s="7">
        <v>4288679</v>
      </c>
      <c r="M368" s="4">
        <f t="shared" si="88"/>
        <v>4301778</v>
      </c>
      <c r="N368" s="4"/>
      <c r="O368" s="4"/>
      <c r="P368" s="4"/>
      <c r="Q368" s="4"/>
      <c r="R368" s="4">
        <f t="shared" ref="R368:R383" si="102">C368-E368-G368</f>
        <v>152969</v>
      </c>
      <c r="S368" s="57">
        <f t="shared" ref="S368:S382" si="103">H368-H367</f>
        <v>-32</v>
      </c>
      <c r="T368" s="149">
        <f t="shared" ref="T368:T382" si="104">(C368-G368-E368)-(C367-E367-G367)</f>
        <v>453</v>
      </c>
      <c r="U368" s="110"/>
      <c r="V368" s="302"/>
    </row>
    <row r="369" spans="1:22" x14ac:dyDescent="0.25">
      <c r="A369" s="168">
        <v>44260</v>
      </c>
      <c r="B369" s="190">
        <v>7891</v>
      </c>
      <c r="C369" s="190">
        <f t="shared" si="94"/>
        <v>2141854</v>
      </c>
      <c r="D369" s="190">
        <v>140</v>
      </c>
      <c r="E369" s="190">
        <f t="shared" si="100"/>
        <v>52757</v>
      </c>
      <c r="F369" s="190">
        <f t="shared" si="101"/>
        <v>6468</v>
      </c>
      <c r="G369" s="219">
        <v>1934845</v>
      </c>
      <c r="H369" s="190">
        <v>3485</v>
      </c>
      <c r="I369" s="190">
        <v>42063</v>
      </c>
      <c r="J369" s="4">
        <f t="shared" si="99"/>
        <v>7648813</v>
      </c>
      <c r="K369" s="7">
        <v>13197</v>
      </c>
      <c r="L369" s="7">
        <v>4316933</v>
      </c>
      <c r="M369" s="4">
        <f t="shared" si="88"/>
        <v>4330130</v>
      </c>
      <c r="N369" s="4"/>
      <c r="O369" s="4"/>
      <c r="P369" s="4"/>
      <c r="Q369" s="4"/>
      <c r="R369" s="4">
        <f t="shared" si="102"/>
        <v>154252</v>
      </c>
      <c r="S369" s="57">
        <f t="shared" si="103"/>
        <v>-4</v>
      </c>
      <c r="T369" s="149">
        <f t="shared" si="104"/>
        <v>1283</v>
      </c>
      <c r="U369" s="110"/>
      <c r="V369" s="302"/>
    </row>
    <row r="370" spans="1:22" x14ac:dyDescent="0.25">
      <c r="A370" s="168">
        <v>44261</v>
      </c>
      <c r="B370" s="190">
        <v>4860</v>
      </c>
      <c r="C370" s="190">
        <f t="shared" si="94"/>
        <v>2146714</v>
      </c>
      <c r="D370" s="190">
        <v>86</v>
      </c>
      <c r="E370" s="190">
        <f t="shared" si="100"/>
        <v>52843</v>
      </c>
      <c r="F370" s="190">
        <f t="shared" si="101"/>
        <v>5472</v>
      </c>
      <c r="G370" s="219">
        <v>1940317</v>
      </c>
      <c r="H370" s="190">
        <v>3475</v>
      </c>
      <c r="I370" s="190">
        <v>37730</v>
      </c>
      <c r="J370" s="4">
        <f t="shared" si="99"/>
        <v>7686543</v>
      </c>
      <c r="K370" s="7"/>
      <c r="L370" s="7"/>
      <c r="M370" s="4"/>
      <c r="N370" s="4"/>
      <c r="O370" s="4"/>
      <c r="P370" s="4"/>
      <c r="Q370" s="4"/>
      <c r="R370" s="4">
        <f t="shared" si="102"/>
        <v>153554</v>
      </c>
      <c r="S370" s="57">
        <f t="shared" si="103"/>
        <v>-10</v>
      </c>
      <c r="T370" s="149">
        <f t="shared" si="104"/>
        <v>-698</v>
      </c>
      <c r="U370" s="110"/>
      <c r="V370" s="302"/>
    </row>
    <row r="371" spans="1:22" x14ac:dyDescent="0.25">
      <c r="A371" s="168">
        <v>44262</v>
      </c>
      <c r="B371" s="190">
        <v>2922</v>
      </c>
      <c r="C371" s="190">
        <f t="shared" si="94"/>
        <v>2149636</v>
      </c>
      <c r="D371" s="190">
        <v>10</v>
      </c>
      <c r="E371" s="190">
        <f t="shared" si="100"/>
        <v>52853</v>
      </c>
      <c r="F371" s="190">
        <f t="shared" si="101"/>
        <v>5499</v>
      </c>
      <c r="G371" s="219">
        <v>1945816</v>
      </c>
      <c r="H371" s="190">
        <v>3467</v>
      </c>
      <c r="I371" s="190">
        <v>22839</v>
      </c>
      <c r="J371" s="4">
        <f t="shared" si="99"/>
        <v>7709382</v>
      </c>
      <c r="K371" s="7">
        <v>13283</v>
      </c>
      <c r="L371" s="7">
        <v>4351403</v>
      </c>
      <c r="M371" s="4">
        <f t="shared" si="88"/>
        <v>4364686</v>
      </c>
      <c r="N371" s="4"/>
      <c r="O371" s="4"/>
      <c r="P371" s="4"/>
      <c r="Q371" s="4"/>
      <c r="R371" s="4">
        <f t="shared" si="102"/>
        <v>150967</v>
      </c>
      <c r="S371" s="57">
        <f t="shared" si="103"/>
        <v>-8</v>
      </c>
      <c r="T371" s="149">
        <f t="shared" si="104"/>
        <v>-2587</v>
      </c>
      <c r="U371" s="110"/>
      <c r="V371" s="302"/>
    </row>
    <row r="372" spans="1:22" x14ac:dyDescent="0.25">
      <c r="A372" s="168">
        <v>44263</v>
      </c>
      <c r="B372" s="190">
        <v>5058</v>
      </c>
      <c r="C372" s="190">
        <f t="shared" si="94"/>
        <v>2154694</v>
      </c>
      <c r="D372" s="304">
        <v>239</v>
      </c>
      <c r="E372" s="190">
        <f t="shared" si="100"/>
        <v>53092</v>
      </c>
      <c r="F372" s="190">
        <f t="shared" si="101"/>
        <v>5724</v>
      </c>
      <c r="G372" s="219">
        <v>1951540</v>
      </c>
      <c r="H372" s="190">
        <v>3484</v>
      </c>
      <c r="I372" s="190">
        <v>28407</v>
      </c>
      <c r="J372" s="4">
        <f t="shared" si="99"/>
        <v>7737789</v>
      </c>
      <c r="K372" s="7">
        <v>13343</v>
      </c>
      <c r="L372" s="7">
        <v>4368459</v>
      </c>
      <c r="M372" s="4">
        <f t="shared" si="88"/>
        <v>4381802</v>
      </c>
      <c r="N372" s="4"/>
      <c r="O372" s="4"/>
      <c r="P372" s="4"/>
      <c r="Q372" s="4"/>
      <c r="R372" s="4">
        <f t="shared" si="102"/>
        <v>150062</v>
      </c>
      <c r="S372" s="57">
        <f t="shared" si="103"/>
        <v>17</v>
      </c>
      <c r="T372" s="149">
        <f t="shared" si="104"/>
        <v>-905</v>
      </c>
      <c r="U372" s="110"/>
      <c r="V372" s="302"/>
    </row>
    <row r="373" spans="1:22" x14ac:dyDescent="0.25">
      <c r="A373" s="168">
        <v>44264</v>
      </c>
      <c r="B373" s="190">
        <v>7307</v>
      </c>
      <c r="C373" s="190">
        <f t="shared" si="94"/>
        <v>2162001</v>
      </c>
      <c r="D373" s="190">
        <v>131</v>
      </c>
      <c r="E373" s="190">
        <f t="shared" si="100"/>
        <v>53223</v>
      </c>
      <c r="F373" s="190">
        <f t="shared" si="101"/>
        <v>5051</v>
      </c>
      <c r="G373" s="219">
        <v>1956591</v>
      </c>
      <c r="H373" s="190">
        <v>3525</v>
      </c>
      <c r="I373" s="190">
        <v>42565</v>
      </c>
      <c r="J373" s="4">
        <f t="shared" ref="J373:J387" si="105">J374-I374</f>
        <v>7780354</v>
      </c>
      <c r="K373" s="7">
        <v>13426</v>
      </c>
      <c r="L373" s="7">
        <v>4392812</v>
      </c>
      <c r="M373" s="4">
        <f t="shared" si="88"/>
        <v>4406238</v>
      </c>
      <c r="N373" s="4"/>
      <c r="O373" s="4"/>
      <c r="P373" s="4"/>
      <c r="Q373" s="4"/>
      <c r="R373" s="4">
        <f t="shared" si="102"/>
        <v>152187</v>
      </c>
      <c r="S373" s="57">
        <f t="shared" si="103"/>
        <v>41</v>
      </c>
      <c r="T373" s="149">
        <f t="shared" si="104"/>
        <v>2125</v>
      </c>
      <c r="U373" s="110"/>
      <c r="V373" s="302"/>
    </row>
    <row r="374" spans="1:22" x14ac:dyDescent="0.25">
      <c r="A374" s="168">
        <v>44265</v>
      </c>
      <c r="B374" s="190">
        <v>7693</v>
      </c>
      <c r="C374" s="190">
        <f t="shared" si="94"/>
        <v>2169694</v>
      </c>
      <c r="D374" s="190">
        <v>107</v>
      </c>
      <c r="E374" s="190">
        <f t="shared" si="100"/>
        <v>53330</v>
      </c>
      <c r="F374" s="190">
        <f t="shared" si="101"/>
        <v>5049</v>
      </c>
      <c r="G374" s="219">
        <v>1961640</v>
      </c>
      <c r="H374" s="190">
        <v>3491</v>
      </c>
      <c r="I374" s="190">
        <v>45460</v>
      </c>
      <c r="J374" s="4">
        <f t="shared" si="105"/>
        <v>7825814</v>
      </c>
      <c r="K374" s="7">
        <v>13539</v>
      </c>
      <c r="L374" s="7">
        <v>4419508</v>
      </c>
      <c r="M374" s="4">
        <f t="shared" si="88"/>
        <v>4433047</v>
      </c>
      <c r="N374" s="4"/>
      <c r="O374" s="4"/>
      <c r="P374" s="4"/>
      <c r="Q374" s="4"/>
      <c r="R374" s="4">
        <f t="shared" si="102"/>
        <v>154724</v>
      </c>
      <c r="S374" s="57">
        <f t="shared" si="103"/>
        <v>-34</v>
      </c>
      <c r="T374" s="149">
        <f t="shared" si="104"/>
        <v>2537</v>
      </c>
      <c r="U374" s="110"/>
      <c r="V374" s="302"/>
    </row>
    <row r="375" spans="1:22" x14ac:dyDescent="0.25">
      <c r="A375" s="168">
        <v>44266</v>
      </c>
      <c r="B375" s="190">
        <v>8204</v>
      </c>
      <c r="C375" s="190">
        <f t="shared" ref="C375:C392" si="106">C374+B375</f>
        <v>2177898</v>
      </c>
      <c r="D375" s="190">
        <v>134</v>
      </c>
      <c r="E375" s="190">
        <f t="shared" si="100"/>
        <v>53464</v>
      </c>
      <c r="F375" s="190">
        <f t="shared" si="101"/>
        <v>6822</v>
      </c>
      <c r="G375" s="219">
        <v>1968462</v>
      </c>
      <c r="H375" s="190">
        <v>3438</v>
      </c>
      <c r="I375" s="190">
        <v>50248</v>
      </c>
      <c r="J375" s="4">
        <f t="shared" si="105"/>
        <v>7876062</v>
      </c>
      <c r="K375" s="7">
        <v>13624</v>
      </c>
      <c r="L375" s="7">
        <v>4452083</v>
      </c>
      <c r="M375" s="4">
        <f t="shared" si="88"/>
        <v>4465707</v>
      </c>
      <c r="N375" s="4"/>
      <c r="O375" s="4"/>
      <c r="P375" s="4"/>
      <c r="Q375" s="4"/>
      <c r="R375" s="4">
        <f t="shared" si="102"/>
        <v>155972</v>
      </c>
      <c r="S375" s="57">
        <f t="shared" si="103"/>
        <v>-53</v>
      </c>
      <c r="T375" s="149">
        <f t="shared" si="104"/>
        <v>1248</v>
      </c>
      <c r="U375" s="110"/>
      <c r="V375" s="302"/>
    </row>
    <row r="376" spans="1:22" x14ac:dyDescent="0.25">
      <c r="A376" s="168">
        <v>44267</v>
      </c>
      <c r="B376" s="190">
        <v>7849</v>
      </c>
      <c r="C376" s="190">
        <f t="shared" si="106"/>
        <v>2185747</v>
      </c>
      <c r="D376" s="190">
        <v>86</v>
      </c>
      <c r="E376" s="190">
        <f t="shared" si="100"/>
        <v>53550</v>
      </c>
      <c r="F376" s="190">
        <f t="shared" si="101"/>
        <v>6404</v>
      </c>
      <c r="G376" s="219">
        <v>1974866</v>
      </c>
      <c r="H376" s="190">
        <v>3417</v>
      </c>
      <c r="I376" s="190">
        <v>53578</v>
      </c>
      <c r="J376" s="4">
        <f t="shared" si="105"/>
        <v>7929640</v>
      </c>
      <c r="K376" s="7">
        <v>13823</v>
      </c>
      <c r="L376" s="7">
        <v>4476389</v>
      </c>
      <c r="M376" s="4">
        <f t="shared" si="88"/>
        <v>4490212</v>
      </c>
      <c r="N376" s="4"/>
      <c r="O376" s="4"/>
      <c r="P376" s="4"/>
      <c r="Q376" s="4"/>
      <c r="R376" s="4">
        <f t="shared" si="102"/>
        <v>157331</v>
      </c>
      <c r="S376" s="57">
        <f t="shared" si="103"/>
        <v>-21</v>
      </c>
      <c r="T376" s="149">
        <f t="shared" si="104"/>
        <v>1359</v>
      </c>
      <c r="U376" s="110"/>
      <c r="V376" s="302"/>
    </row>
    <row r="377" spans="1:22" x14ac:dyDescent="0.25">
      <c r="A377" s="168">
        <v>44268</v>
      </c>
      <c r="B377" s="190">
        <v>6278</v>
      </c>
      <c r="C377" s="190">
        <f t="shared" si="106"/>
        <v>2192025</v>
      </c>
      <c r="D377" s="190">
        <v>68</v>
      </c>
      <c r="E377" s="190">
        <f t="shared" si="100"/>
        <v>53618</v>
      </c>
      <c r="F377" s="190">
        <f t="shared" si="101"/>
        <v>6291</v>
      </c>
      <c r="G377" s="219">
        <v>1981157</v>
      </c>
      <c r="H377" s="190">
        <v>3454</v>
      </c>
      <c r="I377" s="190">
        <v>42812</v>
      </c>
      <c r="J377" s="4">
        <f t="shared" si="105"/>
        <v>7972452</v>
      </c>
      <c r="K377" s="7">
        <v>13891</v>
      </c>
      <c r="L377" s="7">
        <v>4502329</v>
      </c>
      <c r="M377" s="4">
        <f t="shared" si="88"/>
        <v>4516220</v>
      </c>
      <c r="N377" s="4"/>
      <c r="O377" s="4"/>
      <c r="P377" s="4"/>
      <c r="Q377" s="4"/>
      <c r="R377" s="4">
        <f t="shared" si="102"/>
        <v>157250</v>
      </c>
      <c r="S377" s="57">
        <f t="shared" si="103"/>
        <v>37</v>
      </c>
      <c r="T377" s="149">
        <f t="shared" si="104"/>
        <v>-81</v>
      </c>
      <c r="U377" s="110"/>
      <c r="V377" s="302"/>
    </row>
    <row r="378" spans="1:22" x14ac:dyDescent="0.25">
      <c r="A378" s="168">
        <v>44269</v>
      </c>
      <c r="B378" s="190">
        <v>3697</v>
      </c>
      <c r="C378" s="190">
        <f t="shared" si="106"/>
        <v>2195722</v>
      </c>
      <c r="D378" s="190">
        <v>24</v>
      </c>
      <c r="E378" s="190">
        <f t="shared" si="100"/>
        <v>53642</v>
      </c>
      <c r="F378" s="190">
        <f t="shared" si="101"/>
        <v>5746</v>
      </c>
      <c r="G378" s="219">
        <v>1986903</v>
      </c>
      <c r="H378" s="190">
        <v>3479</v>
      </c>
      <c r="I378" s="4">
        <v>26221</v>
      </c>
      <c r="J378" s="4">
        <f t="shared" si="105"/>
        <v>7998673</v>
      </c>
      <c r="K378" s="7">
        <v>13964</v>
      </c>
      <c r="L378" s="7">
        <v>4518854</v>
      </c>
      <c r="M378" s="4">
        <f t="shared" si="88"/>
        <v>4532818</v>
      </c>
      <c r="N378" s="4"/>
      <c r="O378" s="4"/>
      <c r="P378" s="4"/>
      <c r="Q378" s="4"/>
      <c r="R378" s="4">
        <f t="shared" si="102"/>
        <v>155177</v>
      </c>
      <c r="S378" s="57">
        <f t="shared" si="103"/>
        <v>25</v>
      </c>
      <c r="T378" s="149">
        <f t="shared" si="104"/>
        <v>-2073</v>
      </c>
      <c r="U378" s="110"/>
      <c r="V378" s="302"/>
    </row>
    <row r="379" spans="1:22" x14ac:dyDescent="0.25">
      <c r="A379" s="168">
        <v>44270</v>
      </c>
      <c r="B379" s="190">
        <v>6164</v>
      </c>
      <c r="C379" s="190">
        <f t="shared" si="106"/>
        <v>2201886</v>
      </c>
      <c r="D379" s="190">
        <v>166</v>
      </c>
      <c r="E379" s="190">
        <f t="shared" ref="E379:E398" si="107">E378+D379</f>
        <v>53808</v>
      </c>
      <c r="F379" s="190">
        <f t="shared" ref="F379:F384" si="108">G379-G378</f>
        <v>6312</v>
      </c>
      <c r="G379" s="219">
        <v>1993215</v>
      </c>
      <c r="H379" s="190">
        <v>3469</v>
      </c>
      <c r="I379" s="4">
        <v>34040</v>
      </c>
      <c r="J379" s="4">
        <f t="shared" si="105"/>
        <v>8032713</v>
      </c>
      <c r="K379" s="7">
        <v>14058</v>
      </c>
      <c r="L379" s="7">
        <v>4540295</v>
      </c>
      <c r="M379" s="4">
        <f t="shared" si="88"/>
        <v>4554353</v>
      </c>
      <c r="N379" s="4"/>
      <c r="O379" s="4"/>
      <c r="P379" s="4"/>
      <c r="Q379" s="4"/>
      <c r="R379" s="4">
        <f t="shared" si="102"/>
        <v>154863</v>
      </c>
      <c r="S379" s="57">
        <f t="shared" si="103"/>
        <v>-10</v>
      </c>
      <c r="T379" s="149">
        <f t="shared" si="104"/>
        <v>-314</v>
      </c>
      <c r="U379" s="303"/>
      <c r="V379" s="302"/>
    </row>
    <row r="380" spans="1:22" x14ac:dyDescent="0.25">
      <c r="A380" s="168">
        <v>44271</v>
      </c>
      <c r="B380" s="190">
        <v>8235</v>
      </c>
      <c r="C380" s="190">
        <f t="shared" si="106"/>
        <v>2210121</v>
      </c>
      <c r="D380" s="190">
        <v>202</v>
      </c>
      <c r="E380" s="190">
        <f t="shared" si="107"/>
        <v>54010</v>
      </c>
      <c r="F380" s="190">
        <f t="shared" si="108"/>
        <v>5379</v>
      </c>
      <c r="G380" s="219">
        <v>1998594</v>
      </c>
      <c r="H380" s="190">
        <v>3469</v>
      </c>
      <c r="I380" s="4">
        <v>49875</v>
      </c>
      <c r="J380" s="4">
        <f t="shared" si="105"/>
        <v>8082588</v>
      </c>
      <c r="K380" s="7">
        <v>14170</v>
      </c>
      <c r="L380" s="7">
        <v>4569928</v>
      </c>
      <c r="M380" s="4">
        <f t="shared" si="88"/>
        <v>4584098</v>
      </c>
      <c r="N380" s="4"/>
      <c r="O380" s="4"/>
      <c r="P380" s="4"/>
      <c r="Q380" s="4"/>
      <c r="R380" s="4">
        <f t="shared" si="102"/>
        <v>157517</v>
      </c>
      <c r="S380" s="57">
        <f t="shared" si="103"/>
        <v>0</v>
      </c>
      <c r="T380" s="149">
        <f t="shared" si="104"/>
        <v>2654</v>
      </c>
    </row>
    <row r="381" spans="1:22" x14ac:dyDescent="0.25">
      <c r="A381" s="168">
        <v>44272</v>
      </c>
      <c r="B381" s="190">
        <v>8304</v>
      </c>
      <c r="C381" s="190">
        <f t="shared" si="106"/>
        <v>2218425</v>
      </c>
      <c r="D381" s="190">
        <v>195</v>
      </c>
      <c r="E381" s="190">
        <f t="shared" si="107"/>
        <v>54205</v>
      </c>
      <c r="F381" s="190">
        <f t="shared" si="108"/>
        <v>4527</v>
      </c>
      <c r="G381" s="219">
        <v>2003121</v>
      </c>
      <c r="H381" s="190">
        <v>3485</v>
      </c>
      <c r="I381" s="4">
        <v>55017</v>
      </c>
      <c r="J381" s="4">
        <f t="shared" si="105"/>
        <v>8137605</v>
      </c>
      <c r="K381" s="7">
        <v>14274</v>
      </c>
      <c r="L381" s="7">
        <v>4602424</v>
      </c>
      <c r="M381" s="4">
        <f t="shared" si="88"/>
        <v>4616698</v>
      </c>
      <c r="N381" s="4"/>
      <c r="O381" s="4"/>
      <c r="P381" s="4"/>
      <c r="Q381" s="4"/>
      <c r="R381" s="4">
        <f t="shared" si="102"/>
        <v>161099</v>
      </c>
      <c r="S381" s="57">
        <f t="shared" si="103"/>
        <v>16</v>
      </c>
      <c r="T381" s="149">
        <f t="shared" si="104"/>
        <v>3582</v>
      </c>
    </row>
    <row r="382" spans="1:22" x14ac:dyDescent="0.25">
      <c r="A382" s="168">
        <v>44273</v>
      </c>
      <c r="B382" s="190">
        <v>8328</v>
      </c>
      <c r="C382" s="190">
        <f t="shared" si="106"/>
        <v>2226753</v>
      </c>
      <c r="D382" s="364">
        <v>153</v>
      </c>
      <c r="E382" s="190">
        <f t="shared" si="107"/>
        <v>54358</v>
      </c>
      <c r="F382" s="190">
        <f t="shared" si="108"/>
        <v>6756</v>
      </c>
      <c r="G382" s="219">
        <v>2009877</v>
      </c>
      <c r="H382" s="190">
        <v>3522</v>
      </c>
      <c r="I382" s="4">
        <v>52192</v>
      </c>
      <c r="J382" s="4">
        <f t="shared" si="105"/>
        <v>8189797</v>
      </c>
      <c r="K382" s="7">
        <v>14378</v>
      </c>
      <c r="L382" s="7">
        <v>4634650</v>
      </c>
      <c r="M382" s="4">
        <f t="shared" si="88"/>
        <v>4649028</v>
      </c>
      <c r="N382" s="4"/>
      <c r="O382" s="4"/>
      <c r="P382" s="4"/>
      <c r="Q382" s="4"/>
      <c r="R382" s="4">
        <f t="shared" si="102"/>
        <v>162518</v>
      </c>
      <c r="S382" s="57">
        <f t="shared" si="103"/>
        <v>37</v>
      </c>
      <c r="T382" s="149">
        <f t="shared" si="104"/>
        <v>1419</v>
      </c>
      <c r="V382" s="231"/>
    </row>
    <row r="383" spans="1:22" x14ac:dyDescent="0.25">
      <c r="A383" s="168">
        <v>44274</v>
      </c>
      <c r="B383" s="190">
        <v>8160</v>
      </c>
      <c r="C383" s="190">
        <f t="shared" si="106"/>
        <v>2234913</v>
      </c>
      <c r="D383" s="190">
        <v>113</v>
      </c>
      <c r="E383" s="190">
        <f t="shared" si="107"/>
        <v>54471</v>
      </c>
      <c r="F383" s="190">
        <f t="shared" si="108"/>
        <v>6852</v>
      </c>
      <c r="G383" s="219">
        <v>2016729</v>
      </c>
      <c r="H383" s="190">
        <v>3534</v>
      </c>
      <c r="I383" s="4">
        <v>61579</v>
      </c>
      <c r="J383" s="4">
        <f t="shared" si="105"/>
        <v>8251376</v>
      </c>
      <c r="K383" s="7">
        <v>14496</v>
      </c>
      <c r="L383" s="7">
        <v>4671212</v>
      </c>
      <c r="M383" s="4">
        <f t="shared" si="88"/>
        <v>4685708</v>
      </c>
      <c r="N383" s="4"/>
      <c r="O383" s="4"/>
      <c r="P383" s="4"/>
      <c r="Q383" s="4"/>
      <c r="R383" s="4">
        <f t="shared" si="102"/>
        <v>163713</v>
      </c>
      <c r="S383" s="57">
        <f t="shared" ref="S383:S398" si="109">H383-H382</f>
        <v>12</v>
      </c>
      <c r="T383" s="149">
        <f t="shared" ref="T383:T397" si="110">(C383-G383-E383)-(C382-E382-G382)</f>
        <v>1195</v>
      </c>
    </row>
    <row r="384" spans="1:22" x14ac:dyDescent="0.25">
      <c r="A384" s="168">
        <v>44275</v>
      </c>
      <c r="B384" s="190">
        <v>6826</v>
      </c>
      <c r="C384" s="190">
        <f t="shared" si="106"/>
        <v>2241739</v>
      </c>
      <c r="D384" s="190">
        <v>42</v>
      </c>
      <c r="E384" s="190">
        <f t="shared" si="107"/>
        <v>54513</v>
      </c>
      <c r="F384" s="190">
        <f t="shared" si="108"/>
        <v>6935</v>
      </c>
      <c r="G384" s="219">
        <v>2023664</v>
      </c>
      <c r="H384" s="190">
        <v>3534</v>
      </c>
      <c r="I384" s="4">
        <v>57789</v>
      </c>
      <c r="J384" s="4">
        <f t="shared" si="105"/>
        <v>8309165</v>
      </c>
      <c r="K384" s="7">
        <v>14641</v>
      </c>
      <c r="L384" s="7">
        <v>4709648</v>
      </c>
      <c r="M384" s="4">
        <f t="shared" si="88"/>
        <v>4724289</v>
      </c>
      <c r="N384" s="4"/>
      <c r="O384" s="4"/>
      <c r="P384" s="4"/>
      <c r="Q384" s="4"/>
      <c r="R384" s="4">
        <f t="shared" ref="R384:R397" si="111">C384-E384-G384</f>
        <v>163562</v>
      </c>
      <c r="S384" s="57">
        <f t="shared" si="109"/>
        <v>0</v>
      </c>
      <c r="T384" s="149">
        <f t="shared" si="110"/>
        <v>-151</v>
      </c>
    </row>
    <row r="385" spans="1:20" x14ac:dyDescent="0.25">
      <c r="A385" s="168">
        <v>44276</v>
      </c>
      <c r="B385" s="190">
        <v>4032</v>
      </c>
      <c r="C385" s="190">
        <f t="shared" si="106"/>
        <v>2245771</v>
      </c>
      <c r="D385" s="190">
        <v>28</v>
      </c>
      <c r="E385" s="190">
        <f t="shared" si="107"/>
        <v>54541</v>
      </c>
      <c r="F385" s="190">
        <f t="shared" ref="F385:F398" si="112">G385-G384</f>
        <v>6489</v>
      </c>
      <c r="G385" s="219">
        <v>2030153</v>
      </c>
      <c r="H385" s="190">
        <v>3534</v>
      </c>
      <c r="I385" s="4">
        <v>31233</v>
      </c>
      <c r="J385" s="4">
        <f t="shared" si="105"/>
        <v>8340398</v>
      </c>
      <c r="K385" s="7">
        <v>14672</v>
      </c>
      <c r="L385" s="7">
        <v>4732074</v>
      </c>
      <c r="M385" s="4">
        <f t="shared" si="88"/>
        <v>4746746</v>
      </c>
      <c r="N385" s="4"/>
      <c r="O385" s="4"/>
      <c r="P385" s="4"/>
      <c r="Q385" s="4"/>
      <c r="R385" s="4">
        <f t="shared" si="111"/>
        <v>161077</v>
      </c>
      <c r="S385" s="57">
        <f t="shared" si="109"/>
        <v>0</v>
      </c>
      <c r="T385" s="149">
        <f t="shared" si="110"/>
        <v>-2485</v>
      </c>
    </row>
    <row r="386" spans="1:20" x14ac:dyDescent="0.25">
      <c r="A386" s="168">
        <v>44277</v>
      </c>
      <c r="B386" s="190">
        <v>6401</v>
      </c>
      <c r="C386" s="190">
        <f t="shared" si="106"/>
        <v>2252172</v>
      </c>
      <c r="D386" s="190">
        <v>125</v>
      </c>
      <c r="E386" s="190">
        <f t="shared" si="107"/>
        <v>54666</v>
      </c>
      <c r="F386" s="190">
        <f t="shared" si="112"/>
        <v>7533</v>
      </c>
      <c r="G386" s="219">
        <v>2037686</v>
      </c>
      <c r="H386" s="190">
        <v>3530</v>
      </c>
      <c r="I386" s="4">
        <v>43438</v>
      </c>
      <c r="J386" s="4">
        <f t="shared" si="105"/>
        <v>8383836</v>
      </c>
      <c r="K386" s="7">
        <v>14773</v>
      </c>
      <c r="L386" s="7">
        <v>4756568</v>
      </c>
      <c r="M386" s="4">
        <f t="shared" si="88"/>
        <v>4771341</v>
      </c>
      <c r="N386" s="4"/>
      <c r="O386" s="4"/>
      <c r="P386" s="4"/>
      <c r="Q386" s="4"/>
      <c r="R386" s="4">
        <f t="shared" si="111"/>
        <v>159820</v>
      </c>
      <c r="S386" s="57">
        <f t="shared" si="109"/>
        <v>-4</v>
      </c>
      <c r="T386" s="149">
        <f t="shared" si="110"/>
        <v>-1257</v>
      </c>
    </row>
    <row r="387" spans="1:20" x14ac:dyDescent="0.25">
      <c r="A387" s="168">
        <v>44278</v>
      </c>
      <c r="B387" s="190">
        <v>9405</v>
      </c>
      <c r="C387" s="190">
        <f t="shared" si="106"/>
        <v>2261577</v>
      </c>
      <c r="D387" s="190">
        <v>153</v>
      </c>
      <c r="E387" s="190">
        <f t="shared" si="107"/>
        <v>54819</v>
      </c>
      <c r="F387" s="190">
        <f t="shared" si="112"/>
        <v>6271</v>
      </c>
      <c r="G387" s="219">
        <v>2043957</v>
      </c>
      <c r="H387" s="190">
        <v>3591</v>
      </c>
      <c r="I387" s="4">
        <v>49703</v>
      </c>
      <c r="J387" s="4">
        <f t="shared" si="105"/>
        <v>8433539</v>
      </c>
      <c r="K387" s="7">
        <v>14892</v>
      </c>
      <c r="L387" s="7">
        <v>4786032</v>
      </c>
      <c r="M387" s="4">
        <f t="shared" si="88"/>
        <v>4800924</v>
      </c>
      <c r="N387" s="4"/>
      <c r="O387" s="4"/>
      <c r="P387" s="4"/>
      <c r="Q387" s="4"/>
      <c r="R387" s="4">
        <f t="shared" si="111"/>
        <v>162801</v>
      </c>
      <c r="S387" s="57">
        <f t="shared" si="109"/>
        <v>61</v>
      </c>
      <c r="T387" s="149">
        <f t="shared" si="110"/>
        <v>2981</v>
      </c>
    </row>
    <row r="388" spans="1:20" x14ac:dyDescent="0.25">
      <c r="A388" s="168">
        <v>44279</v>
      </c>
      <c r="B388" s="190">
        <v>8300</v>
      </c>
      <c r="C388" s="190">
        <f t="shared" si="106"/>
        <v>2269877</v>
      </c>
      <c r="D388" s="190">
        <v>123</v>
      </c>
      <c r="E388" s="190">
        <f t="shared" si="107"/>
        <v>54942</v>
      </c>
      <c r="F388" s="190">
        <f t="shared" si="112"/>
        <v>5078</v>
      </c>
      <c r="G388" s="219">
        <v>2049035</v>
      </c>
      <c r="H388" s="190">
        <v>3574</v>
      </c>
      <c r="I388" s="4">
        <v>44058</v>
      </c>
      <c r="J388" s="4">
        <f>J389-I389</f>
        <v>8477597</v>
      </c>
      <c r="K388" s="7">
        <v>15009</v>
      </c>
      <c r="L388" s="7">
        <v>4813948</v>
      </c>
      <c r="M388" s="4">
        <f t="shared" si="88"/>
        <v>4828957</v>
      </c>
      <c r="N388" s="4"/>
      <c r="O388" s="4"/>
      <c r="P388" s="4"/>
      <c r="Q388" s="4"/>
      <c r="R388" s="4">
        <f t="shared" si="111"/>
        <v>165900</v>
      </c>
      <c r="S388" s="57">
        <f t="shared" si="109"/>
        <v>-17</v>
      </c>
      <c r="T388" s="149">
        <f t="shared" si="110"/>
        <v>3099</v>
      </c>
    </row>
    <row r="389" spans="1:20" x14ac:dyDescent="0.25">
      <c r="A389" s="168">
        <v>44280</v>
      </c>
      <c r="B389" s="190">
        <v>8238</v>
      </c>
      <c r="C389" s="190">
        <f t="shared" si="106"/>
        <v>2278115</v>
      </c>
      <c r="D389" s="190">
        <v>146</v>
      </c>
      <c r="E389" s="190">
        <f t="shared" si="107"/>
        <v>55088</v>
      </c>
      <c r="F389" s="190">
        <f t="shared" si="112"/>
        <v>7437</v>
      </c>
      <c r="G389" s="219">
        <v>2056472</v>
      </c>
      <c r="H389" s="190">
        <v>3585</v>
      </c>
      <c r="I389" s="4">
        <v>40224</v>
      </c>
      <c r="J389" s="4">
        <v>8517821</v>
      </c>
      <c r="K389" s="8">
        <v>15109</v>
      </c>
      <c r="L389" s="7">
        <v>4837873</v>
      </c>
      <c r="M389" s="4">
        <f t="shared" si="88"/>
        <v>4852982</v>
      </c>
      <c r="N389" s="4"/>
      <c r="O389" s="4"/>
      <c r="P389" s="4"/>
      <c r="Q389" s="4"/>
      <c r="R389" s="4">
        <f t="shared" si="111"/>
        <v>166555</v>
      </c>
      <c r="S389" s="57">
        <f t="shared" si="109"/>
        <v>11</v>
      </c>
      <c r="T389" s="149">
        <f t="shared" si="110"/>
        <v>655</v>
      </c>
    </row>
    <row r="390" spans="1:20" x14ac:dyDescent="0.25">
      <c r="A390" s="168">
        <v>44281</v>
      </c>
      <c r="B390" s="190">
        <v>12936</v>
      </c>
      <c r="C390" s="190">
        <f t="shared" si="106"/>
        <v>2291051</v>
      </c>
      <c r="D390" s="190">
        <v>143</v>
      </c>
      <c r="E390" s="190">
        <f t="shared" si="107"/>
        <v>55231</v>
      </c>
      <c r="F390" s="190">
        <f t="shared" si="112"/>
        <v>8007</v>
      </c>
      <c r="G390" s="219">
        <v>2064479</v>
      </c>
      <c r="H390" s="190">
        <v>3508</v>
      </c>
      <c r="I390" s="4">
        <v>88074</v>
      </c>
      <c r="J390" s="4">
        <f>J389+I390</f>
        <v>8605895</v>
      </c>
      <c r="K390" s="8">
        <v>15194</v>
      </c>
      <c r="L390" s="7">
        <v>4887389</v>
      </c>
      <c r="M390" s="4">
        <f t="shared" si="88"/>
        <v>4902583</v>
      </c>
      <c r="N390" s="4"/>
      <c r="O390" s="4"/>
      <c r="P390" s="4"/>
      <c r="Q390" s="4"/>
      <c r="R390" s="4">
        <f t="shared" si="111"/>
        <v>171341</v>
      </c>
      <c r="S390" s="57">
        <f t="shared" si="109"/>
        <v>-77</v>
      </c>
      <c r="T390" s="149">
        <f t="shared" si="110"/>
        <v>4786</v>
      </c>
    </row>
    <row r="391" spans="1:20" x14ac:dyDescent="0.25">
      <c r="A391" s="168">
        <v>44282</v>
      </c>
      <c r="B391" s="190">
        <v>10338</v>
      </c>
      <c r="C391" s="190">
        <f t="shared" si="106"/>
        <v>2301389</v>
      </c>
      <c r="D391" s="190">
        <v>133</v>
      </c>
      <c r="E391" s="190">
        <f t="shared" si="107"/>
        <v>55364</v>
      </c>
      <c r="F391" s="190">
        <f t="shared" si="112"/>
        <v>7749</v>
      </c>
      <c r="G391" s="219">
        <v>2072228</v>
      </c>
      <c r="H391" s="190">
        <v>3506</v>
      </c>
      <c r="I391" s="4">
        <v>44828</v>
      </c>
      <c r="J391" s="4">
        <f>J390+I391</f>
        <v>8650723</v>
      </c>
      <c r="K391" s="7">
        <v>15244</v>
      </c>
      <c r="L391" s="7">
        <v>4915050</v>
      </c>
      <c r="M391" s="4">
        <f t="shared" si="88"/>
        <v>4930294</v>
      </c>
      <c r="N391" s="4"/>
      <c r="O391" s="4"/>
      <c r="P391" s="4"/>
      <c r="Q391" s="4"/>
      <c r="R391" s="4">
        <f t="shared" si="111"/>
        <v>173797</v>
      </c>
      <c r="S391" s="57">
        <f t="shared" si="109"/>
        <v>-2</v>
      </c>
      <c r="T391" s="149">
        <f t="shared" si="110"/>
        <v>2456</v>
      </c>
    </row>
    <row r="392" spans="1:20" x14ac:dyDescent="0.25">
      <c r="A392" s="168">
        <v>44283</v>
      </c>
      <c r="B392" s="190">
        <v>7208</v>
      </c>
      <c r="C392" s="190">
        <f t="shared" si="106"/>
        <v>2308597</v>
      </c>
      <c r="D392" s="190">
        <v>81</v>
      </c>
      <c r="E392" s="190">
        <f t="shared" si="107"/>
        <v>55445</v>
      </c>
      <c r="F392" s="190">
        <f t="shared" si="112"/>
        <v>7287</v>
      </c>
      <c r="G392" s="219">
        <v>2079515</v>
      </c>
      <c r="H392" s="190">
        <v>3505</v>
      </c>
      <c r="I392" s="4">
        <v>37193</v>
      </c>
      <c r="J392" s="4">
        <f>J391+I392</f>
        <v>8687916</v>
      </c>
      <c r="K392" s="7">
        <v>15262</v>
      </c>
      <c r="L392" s="7">
        <v>4937915</v>
      </c>
      <c r="M392" s="4">
        <f t="shared" si="88"/>
        <v>4953177</v>
      </c>
      <c r="N392" s="4"/>
      <c r="O392" s="4"/>
      <c r="P392" s="4"/>
      <c r="Q392" s="4"/>
      <c r="R392" s="4">
        <f t="shared" si="111"/>
        <v>173637</v>
      </c>
      <c r="S392" s="57">
        <f t="shared" si="109"/>
        <v>-1</v>
      </c>
      <c r="T392" s="149">
        <f t="shared" si="110"/>
        <v>-160</v>
      </c>
    </row>
    <row r="393" spans="1:20" x14ac:dyDescent="0.25">
      <c r="A393" s="168">
        <v>44284</v>
      </c>
      <c r="B393" s="190">
        <v>14014</v>
      </c>
      <c r="C393" s="190">
        <f t="shared" ref="C393:C397" si="113">C392+B393</f>
        <v>2322611</v>
      </c>
      <c r="D393" s="190">
        <v>163</v>
      </c>
      <c r="E393" s="190">
        <f t="shared" si="107"/>
        <v>55608</v>
      </c>
      <c r="F393" s="190">
        <f t="shared" si="112"/>
        <v>8741</v>
      </c>
      <c r="G393" s="219">
        <v>2088256</v>
      </c>
      <c r="H393" s="190">
        <v>3639</v>
      </c>
      <c r="I393" s="4">
        <v>57830</v>
      </c>
      <c r="J393" s="4">
        <f t="shared" ref="J393:J405" si="114">J392+I393</f>
        <v>8745746</v>
      </c>
      <c r="K393" s="7">
        <v>15319</v>
      </c>
      <c r="L393" s="7">
        <v>4975797</v>
      </c>
      <c r="M393" s="4">
        <f t="shared" si="88"/>
        <v>4991116</v>
      </c>
      <c r="N393" s="4"/>
      <c r="O393" s="4"/>
      <c r="P393" s="4"/>
      <c r="Q393" s="4"/>
      <c r="R393" s="4">
        <f t="shared" si="111"/>
        <v>178747</v>
      </c>
      <c r="S393" s="57">
        <f t="shared" si="109"/>
        <v>134</v>
      </c>
      <c r="T393" s="149">
        <f t="shared" si="110"/>
        <v>5110</v>
      </c>
    </row>
    <row r="394" spans="1:20" x14ac:dyDescent="0.25">
      <c r="A394" s="168">
        <v>44285</v>
      </c>
      <c r="B394" s="190">
        <v>10154</v>
      </c>
      <c r="C394" s="190">
        <f t="shared" si="113"/>
        <v>2332765</v>
      </c>
      <c r="D394" s="190">
        <v>125</v>
      </c>
      <c r="E394" s="190">
        <f t="shared" si="107"/>
        <v>55733</v>
      </c>
      <c r="F394" s="190">
        <f t="shared" si="112"/>
        <v>7597</v>
      </c>
      <c r="G394" s="219">
        <v>2095853</v>
      </c>
      <c r="H394" s="190">
        <v>3702</v>
      </c>
      <c r="I394" s="4">
        <v>78400</v>
      </c>
      <c r="J394" s="4">
        <f t="shared" si="114"/>
        <v>8824146</v>
      </c>
      <c r="K394" s="7">
        <v>15377</v>
      </c>
      <c r="L394" s="7">
        <v>5003806</v>
      </c>
      <c r="M394" s="4">
        <f t="shared" si="88"/>
        <v>5019183</v>
      </c>
      <c r="N394" s="4"/>
      <c r="O394" s="4"/>
      <c r="P394" s="4"/>
      <c r="Q394" s="4"/>
      <c r="R394" s="4">
        <f t="shared" si="111"/>
        <v>181179</v>
      </c>
      <c r="S394" s="57">
        <f t="shared" si="109"/>
        <v>63</v>
      </c>
      <c r="T394" s="149">
        <f t="shared" si="110"/>
        <v>2432</v>
      </c>
    </row>
    <row r="395" spans="1:20" ht="15.75" customHeight="1" x14ac:dyDescent="0.25">
      <c r="A395" s="168">
        <v>44286</v>
      </c>
      <c r="B395" s="190">
        <v>16056</v>
      </c>
      <c r="C395" s="190">
        <f t="shared" si="113"/>
        <v>2348821</v>
      </c>
      <c r="D395" s="190">
        <v>124</v>
      </c>
      <c r="E395" s="190">
        <f t="shared" si="107"/>
        <v>55857</v>
      </c>
      <c r="F395" s="190">
        <f t="shared" si="112"/>
        <v>6763</v>
      </c>
      <c r="G395" s="219">
        <v>2102616</v>
      </c>
      <c r="H395" s="190">
        <v>3638</v>
      </c>
      <c r="I395" s="4">
        <v>56334</v>
      </c>
      <c r="J395" s="4">
        <f t="shared" si="114"/>
        <v>8880480</v>
      </c>
      <c r="K395" s="7">
        <v>15549</v>
      </c>
      <c r="L395" s="7">
        <v>5041337</v>
      </c>
      <c r="M395" s="4">
        <f t="shared" si="88"/>
        <v>5056886</v>
      </c>
      <c r="N395" s="4"/>
      <c r="O395" s="4"/>
      <c r="P395" s="4"/>
      <c r="Q395" s="4"/>
      <c r="R395" s="4">
        <f t="shared" si="111"/>
        <v>190348</v>
      </c>
      <c r="S395" s="57">
        <f t="shared" si="109"/>
        <v>-64</v>
      </c>
      <c r="T395" s="149">
        <f t="shared" si="110"/>
        <v>9169</v>
      </c>
    </row>
    <row r="396" spans="1:20" x14ac:dyDescent="0.25">
      <c r="A396" s="168">
        <v>44287</v>
      </c>
      <c r="B396" s="190">
        <v>14430</v>
      </c>
      <c r="C396" s="190">
        <f t="shared" si="113"/>
        <v>2363251</v>
      </c>
      <c r="D396" s="190">
        <v>83</v>
      </c>
      <c r="E396" s="190">
        <f t="shared" si="107"/>
        <v>55940</v>
      </c>
      <c r="F396" s="190">
        <f t="shared" si="112"/>
        <v>9650</v>
      </c>
      <c r="G396" s="219">
        <v>2112266</v>
      </c>
      <c r="H396" s="190">
        <v>3639</v>
      </c>
      <c r="I396" s="4">
        <v>52292</v>
      </c>
      <c r="J396" s="4">
        <f t="shared" si="114"/>
        <v>8932772</v>
      </c>
      <c r="K396" s="7">
        <v>15599</v>
      </c>
      <c r="L396" s="7">
        <v>5072149</v>
      </c>
      <c r="M396" s="4">
        <f t="shared" ref="M396:M403" si="115">L396+K396</f>
        <v>5087748</v>
      </c>
      <c r="N396" s="4"/>
      <c r="O396" s="4"/>
      <c r="P396" s="4"/>
      <c r="Q396" s="4"/>
      <c r="R396" s="4">
        <f t="shared" si="111"/>
        <v>195045</v>
      </c>
      <c r="S396" s="57">
        <f t="shared" si="109"/>
        <v>1</v>
      </c>
      <c r="T396" s="149">
        <f t="shared" si="110"/>
        <v>4697</v>
      </c>
    </row>
    <row r="397" spans="1:20" x14ac:dyDescent="0.25">
      <c r="A397" s="168">
        <v>44288</v>
      </c>
      <c r="B397" s="190">
        <v>9902</v>
      </c>
      <c r="C397" s="190">
        <f t="shared" si="113"/>
        <v>2373153</v>
      </c>
      <c r="D397" s="190">
        <v>82</v>
      </c>
      <c r="E397" s="190">
        <f t="shared" si="107"/>
        <v>56022</v>
      </c>
      <c r="F397" s="190">
        <f t="shared" si="112"/>
        <v>9688</v>
      </c>
      <c r="G397" s="219">
        <v>2121954</v>
      </c>
      <c r="H397" s="190">
        <v>3619</v>
      </c>
      <c r="I397" s="4">
        <v>50043</v>
      </c>
      <c r="J397" s="4">
        <f t="shared" si="114"/>
        <v>8982815</v>
      </c>
      <c r="K397" s="7">
        <v>15670</v>
      </c>
      <c r="L397" s="7">
        <v>5096601</v>
      </c>
      <c r="M397" s="4">
        <f t="shared" si="115"/>
        <v>5112271</v>
      </c>
      <c r="N397" s="4"/>
      <c r="O397" s="4"/>
      <c r="P397" s="4"/>
      <c r="Q397" s="4"/>
      <c r="R397" s="4">
        <f t="shared" si="111"/>
        <v>195177</v>
      </c>
      <c r="S397" s="57">
        <f t="shared" si="109"/>
        <v>-20</v>
      </c>
      <c r="T397" s="149">
        <f t="shared" si="110"/>
        <v>132</v>
      </c>
    </row>
    <row r="398" spans="1:20" x14ac:dyDescent="0.25">
      <c r="A398" s="168">
        <v>44289</v>
      </c>
      <c r="B398" s="190">
        <v>10384</v>
      </c>
      <c r="C398" s="190">
        <f t="shared" ref="C398:C405" si="116">C397+B398</f>
        <v>2383537</v>
      </c>
      <c r="D398" s="190">
        <v>83</v>
      </c>
      <c r="E398" s="190">
        <f t="shared" si="107"/>
        <v>56105</v>
      </c>
      <c r="F398" s="190">
        <f t="shared" si="112"/>
        <v>8686</v>
      </c>
      <c r="G398" s="219">
        <v>2130640</v>
      </c>
      <c r="H398" s="190">
        <v>3618</v>
      </c>
      <c r="I398" s="4">
        <v>54024</v>
      </c>
      <c r="J398" s="4">
        <f t="shared" si="114"/>
        <v>9036839</v>
      </c>
      <c r="K398" s="7">
        <v>15685</v>
      </c>
      <c r="L398" s="7">
        <v>5127710</v>
      </c>
      <c r="M398" s="4">
        <f t="shared" si="115"/>
        <v>5143395</v>
      </c>
      <c r="N398" s="4"/>
      <c r="O398" s="4"/>
      <c r="P398" s="4"/>
      <c r="Q398" s="4"/>
      <c r="R398" s="4">
        <f t="shared" ref="R398:R403" si="117">C398-E398-G398</f>
        <v>196792</v>
      </c>
      <c r="S398" s="57">
        <f t="shared" si="109"/>
        <v>-1</v>
      </c>
      <c r="T398" s="149">
        <f t="shared" ref="T398:T403" si="118">(C398-G398-E398)-(C397-E397-G397)</f>
        <v>1615</v>
      </c>
    </row>
    <row r="399" spans="1:20" x14ac:dyDescent="0.25">
      <c r="A399" s="168">
        <v>44290</v>
      </c>
      <c r="B399" s="190">
        <v>9955</v>
      </c>
      <c r="C399" s="190">
        <f t="shared" si="116"/>
        <v>2393492</v>
      </c>
      <c r="D399" s="190">
        <v>93</v>
      </c>
      <c r="E399" s="190">
        <f t="shared" ref="E399" si="119">E398+D399</f>
        <v>56198</v>
      </c>
      <c r="F399" s="190">
        <f t="shared" ref="F399" si="120">G399-G398</f>
        <v>9840</v>
      </c>
      <c r="G399" s="219">
        <v>2140480</v>
      </c>
      <c r="H399" s="190">
        <v>3626</v>
      </c>
      <c r="I399" s="4">
        <v>33159</v>
      </c>
      <c r="J399" s="4">
        <f t="shared" si="114"/>
        <v>9069998</v>
      </c>
      <c r="K399" s="377">
        <v>15697</v>
      </c>
      <c r="L399" s="7">
        <v>5144935</v>
      </c>
      <c r="M399" s="4">
        <f t="shared" si="115"/>
        <v>5160632</v>
      </c>
      <c r="N399" s="4"/>
      <c r="O399" s="4"/>
      <c r="P399" s="4"/>
      <c r="Q399" s="4"/>
      <c r="R399" s="4">
        <f t="shared" si="117"/>
        <v>196814</v>
      </c>
      <c r="S399" s="57">
        <f t="shared" ref="S399" si="121">H399-H398</f>
        <v>8</v>
      </c>
      <c r="T399" s="149">
        <f t="shared" si="118"/>
        <v>22</v>
      </c>
    </row>
    <row r="400" spans="1:20" x14ac:dyDescent="0.25">
      <c r="A400" s="168">
        <v>44291</v>
      </c>
      <c r="B400" s="190">
        <v>13667</v>
      </c>
      <c r="C400" s="190">
        <f t="shared" si="116"/>
        <v>2407159</v>
      </c>
      <c r="D400" s="190">
        <v>272</v>
      </c>
      <c r="E400" s="190">
        <f t="shared" ref="E400:E402" si="122">E399+D400</f>
        <v>56470</v>
      </c>
      <c r="F400" s="190">
        <f t="shared" ref="F400:F402" si="123">G400-G399</f>
        <v>13029</v>
      </c>
      <c r="G400" s="219">
        <v>2153509</v>
      </c>
      <c r="H400" s="190">
        <v>3652</v>
      </c>
      <c r="I400" s="4">
        <v>46037</v>
      </c>
      <c r="J400" s="4">
        <f t="shared" si="114"/>
        <v>9116035</v>
      </c>
      <c r="K400" s="7">
        <v>15817</v>
      </c>
      <c r="L400" s="7">
        <v>5170951</v>
      </c>
      <c r="M400" s="4">
        <f t="shared" si="115"/>
        <v>5186768</v>
      </c>
      <c r="N400" s="4"/>
      <c r="O400" s="4"/>
      <c r="P400" s="4"/>
      <c r="Q400" s="4"/>
      <c r="R400" s="4">
        <f t="shared" si="117"/>
        <v>197180</v>
      </c>
      <c r="S400" s="57">
        <f t="shared" ref="S400" si="124">H400-H399</f>
        <v>26</v>
      </c>
      <c r="T400" s="149">
        <f t="shared" si="118"/>
        <v>366</v>
      </c>
    </row>
    <row r="401" spans="1:21" ht="16.5" customHeight="1" x14ac:dyDescent="0.25">
      <c r="A401" s="168">
        <v>44292</v>
      </c>
      <c r="B401" s="207">
        <v>20870</v>
      </c>
      <c r="C401" s="190">
        <f t="shared" si="116"/>
        <v>2428029</v>
      </c>
      <c r="D401" s="207">
        <v>163</v>
      </c>
      <c r="E401" s="190">
        <f t="shared" si="122"/>
        <v>56633</v>
      </c>
      <c r="F401" s="190">
        <f t="shared" si="123"/>
        <v>10536</v>
      </c>
      <c r="G401" s="223">
        <v>2164045</v>
      </c>
      <c r="H401" s="207">
        <v>3642</v>
      </c>
      <c r="I401" s="63">
        <v>75392</v>
      </c>
      <c r="J401" s="4">
        <f t="shared" si="114"/>
        <v>9191427</v>
      </c>
      <c r="K401" s="24">
        <v>15885</v>
      </c>
      <c r="L401" s="24">
        <v>5211391</v>
      </c>
      <c r="M401" s="4">
        <f t="shared" si="115"/>
        <v>5227276</v>
      </c>
      <c r="R401" s="4">
        <f t="shared" si="117"/>
        <v>207351</v>
      </c>
      <c r="S401" s="57">
        <f t="shared" ref="S401" si="125">H401-H400</f>
        <v>-10</v>
      </c>
      <c r="T401" s="149">
        <f t="shared" si="118"/>
        <v>10171</v>
      </c>
    </row>
    <row r="402" spans="1:21" x14ac:dyDescent="0.25">
      <c r="A402" s="168">
        <v>44293</v>
      </c>
      <c r="B402" s="207">
        <v>22039</v>
      </c>
      <c r="C402" s="190">
        <f t="shared" si="116"/>
        <v>2450068</v>
      </c>
      <c r="D402" s="207">
        <v>199</v>
      </c>
      <c r="E402" s="190">
        <f t="shared" si="122"/>
        <v>56832</v>
      </c>
      <c r="F402" s="190">
        <f t="shared" si="123"/>
        <v>10580</v>
      </c>
      <c r="G402" s="223">
        <v>2174625</v>
      </c>
      <c r="H402" s="207">
        <v>3706</v>
      </c>
      <c r="I402" s="63">
        <v>74679</v>
      </c>
      <c r="J402" s="4">
        <f t="shared" si="114"/>
        <v>9266106</v>
      </c>
      <c r="K402" s="24">
        <v>16000</v>
      </c>
      <c r="L402" s="24">
        <v>5249364</v>
      </c>
      <c r="M402" s="4">
        <f t="shared" si="115"/>
        <v>5265364</v>
      </c>
      <c r="R402" s="4">
        <f t="shared" si="117"/>
        <v>218611</v>
      </c>
      <c r="S402" s="57">
        <f t="shared" ref="S402" si="126">H402-H401</f>
        <v>64</v>
      </c>
      <c r="T402" s="149">
        <f t="shared" si="118"/>
        <v>11260</v>
      </c>
    </row>
    <row r="403" spans="1:21" x14ac:dyDescent="0.25">
      <c r="A403" s="168">
        <v>44294</v>
      </c>
      <c r="B403" s="207">
        <v>23683</v>
      </c>
      <c r="C403" s="190">
        <f t="shared" si="116"/>
        <v>2473751</v>
      </c>
      <c r="D403" s="207">
        <v>290</v>
      </c>
      <c r="E403" s="190">
        <f t="shared" ref="E403:E404" si="127">E402+D403</f>
        <v>57122</v>
      </c>
      <c r="F403" s="190">
        <f t="shared" ref="F403:F404" si="128">G403-G402</f>
        <v>14358</v>
      </c>
      <c r="G403" s="223">
        <v>2188983</v>
      </c>
      <c r="H403" s="207">
        <v>3742</v>
      </c>
      <c r="I403" s="63">
        <v>94991</v>
      </c>
      <c r="J403" s="4">
        <f t="shared" si="114"/>
        <v>9361097</v>
      </c>
      <c r="K403" s="24">
        <v>16237</v>
      </c>
      <c r="L403" s="24">
        <v>5303093</v>
      </c>
      <c r="M403" s="4">
        <f t="shared" si="115"/>
        <v>5319330</v>
      </c>
      <c r="R403" s="4">
        <f t="shared" si="117"/>
        <v>227646</v>
      </c>
      <c r="S403" s="57">
        <f t="shared" ref="S403" si="129">H403-H402</f>
        <v>36</v>
      </c>
      <c r="T403" s="149">
        <f t="shared" si="118"/>
        <v>9035</v>
      </c>
      <c r="U403" s="110"/>
    </row>
    <row r="404" spans="1:21" x14ac:dyDescent="0.25">
      <c r="A404" s="168">
        <v>44295</v>
      </c>
      <c r="B404" s="207">
        <v>24130</v>
      </c>
      <c r="C404" s="190">
        <f t="shared" si="116"/>
        <v>2497881</v>
      </c>
      <c r="D404" s="207">
        <v>228</v>
      </c>
      <c r="E404" s="190">
        <f t="shared" si="127"/>
        <v>57350</v>
      </c>
      <c r="F404" s="190">
        <f t="shared" si="128"/>
        <v>14943</v>
      </c>
      <c r="G404" s="223">
        <v>2203926</v>
      </c>
      <c r="H404" s="207">
        <v>3718</v>
      </c>
      <c r="I404" s="63">
        <v>90657</v>
      </c>
      <c r="J404" s="4">
        <f t="shared" si="114"/>
        <v>9451754</v>
      </c>
      <c r="R404" s="4">
        <f t="shared" ref="R404" si="130">C404-E404-G404</f>
        <v>236605</v>
      </c>
      <c r="S404" s="57">
        <f t="shared" ref="S404" si="131">H404-H403</f>
        <v>-24</v>
      </c>
      <c r="T404" s="149">
        <f t="shared" ref="T404" si="132">(C404-G404-E404)-(C403-E403-G403)</f>
        <v>8959</v>
      </c>
    </row>
    <row r="405" spans="1:21" x14ac:dyDescent="0.25">
      <c r="A405" s="168">
        <v>44296</v>
      </c>
      <c r="B405" s="207">
        <v>19419</v>
      </c>
      <c r="C405" s="190">
        <f t="shared" si="116"/>
        <v>2517300</v>
      </c>
      <c r="D405" s="207">
        <v>297</v>
      </c>
      <c r="E405" s="190">
        <f t="shared" ref="E405" si="133">E404+D405</f>
        <v>57647</v>
      </c>
      <c r="F405" s="190">
        <f t="shared" ref="F405" si="134">G405-G404</f>
        <v>13857</v>
      </c>
      <c r="G405" s="223">
        <v>2217783</v>
      </c>
      <c r="H405" s="207">
        <v>3761</v>
      </c>
      <c r="I405" s="63">
        <v>75713</v>
      </c>
      <c r="J405" s="4">
        <f t="shared" si="114"/>
        <v>9527467</v>
      </c>
      <c r="R405" s="4">
        <f t="shared" ref="R405" si="135">C405-E405-G405</f>
        <v>241870</v>
      </c>
      <c r="S405" s="57">
        <f t="shared" ref="S405" si="136">H405-H404</f>
        <v>43</v>
      </c>
      <c r="T405" s="149">
        <f t="shared" ref="T405" si="137">(C405-G405-E405)-(C404-E404-G404)</f>
        <v>5265</v>
      </c>
    </row>
  </sheetData>
  <autoFilter ref="A1:R388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10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17" customFormat="1" x14ac:dyDescent="0.25">
      <c r="A1" s="21" t="s">
        <v>25</v>
      </c>
      <c r="B1" s="22" t="s">
        <v>81</v>
      </c>
      <c r="C1" s="21" t="s">
        <v>82</v>
      </c>
      <c r="D1" s="21" t="s">
        <v>83</v>
      </c>
      <c r="E1" s="21" t="s">
        <v>84</v>
      </c>
      <c r="F1" s="23" t="s">
        <v>85</v>
      </c>
      <c r="G1" s="21" t="s">
        <v>52</v>
      </c>
    </row>
    <row r="2" spans="1:7" x14ac:dyDescent="0.25">
      <c r="A2" s="5" t="s">
        <v>86</v>
      </c>
      <c r="B2" s="10" t="s">
        <v>87</v>
      </c>
      <c r="C2" s="5" t="s">
        <v>88</v>
      </c>
      <c r="D2" s="9" t="s">
        <v>89</v>
      </c>
      <c r="E2" s="4">
        <v>129.33000000000001</v>
      </c>
      <c r="F2" s="7">
        <v>597969</v>
      </c>
      <c r="G2" s="20" t="s">
        <v>53</v>
      </c>
    </row>
    <row r="3" spans="1:7" x14ac:dyDescent="0.25">
      <c r="A3" s="5" t="s">
        <v>86</v>
      </c>
      <c r="B3" s="10" t="s">
        <v>87</v>
      </c>
      <c r="C3" s="5" t="s">
        <v>88</v>
      </c>
      <c r="D3" s="9" t="s">
        <v>90</v>
      </c>
      <c r="E3" s="4">
        <v>52.479999999999897</v>
      </c>
      <c r="F3" s="7">
        <v>356392</v>
      </c>
      <c r="G3" s="20" t="s">
        <v>54</v>
      </c>
    </row>
    <row r="4" spans="1:7" x14ac:dyDescent="0.25">
      <c r="A4" s="5" t="s">
        <v>86</v>
      </c>
      <c r="B4" s="10" t="s">
        <v>87</v>
      </c>
      <c r="C4" s="5" t="s">
        <v>88</v>
      </c>
      <c r="D4" s="9" t="s">
        <v>89</v>
      </c>
      <c r="E4" s="4">
        <v>221.009999999999</v>
      </c>
      <c r="F4" s="7">
        <v>365771</v>
      </c>
      <c r="G4" s="20" t="s">
        <v>55</v>
      </c>
    </row>
    <row r="5" spans="1:7" x14ac:dyDescent="0.25">
      <c r="A5" s="5" t="s">
        <v>86</v>
      </c>
      <c r="B5" s="10" t="s">
        <v>87</v>
      </c>
      <c r="C5" s="5"/>
      <c r="D5" s="9" t="s">
        <v>91</v>
      </c>
      <c r="E5" s="4">
        <v>137.59</v>
      </c>
      <c r="F5" s="7">
        <v>96701</v>
      </c>
      <c r="G5" s="20" t="s">
        <v>92</v>
      </c>
    </row>
    <row r="6" spans="1:7" x14ac:dyDescent="0.25">
      <c r="A6" s="5" t="s">
        <v>86</v>
      </c>
      <c r="B6" s="10" t="s">
        <v>87</v>
      </c>
      <c r="C6" s="5"/>
      <c r="D6" s="9"/>
      <c r="E6" s="4">
        <v>1126.02</v>
      </c>
      <c r="F6" s="7">
        <v>31023</v>
      </c>
      <c r="G6" s="20" t="s">
        <v>93</v>
      </c>
    </row>
    <row r="7" spans="1:7" x14ac:dyDescent="0.25">
      <c r="A7" s="5" t="s">
        <v>44</v>
      </c>
      <c r="B7" s="10" t="s">
        <v>87</v>
      </c>
      <c r="C7" s="5"/>
      <c r="D7" s="9" t="s">
        <v>90</v>
      </c>
      <c r="E7" s="4">
        <v>203.45</v>
      </c>
      <c r="F7" s="7">
        <v>3075646</v>
      </c>
      <c r="G7" s="20" t="s">
        <v>44</v>
      </c>
    </row>
    <row r="8" spans="1:7" x14ac:dyDescent="0.25">
      <c r="A8" s="5" t="s">
        <v>86</v>
      </c>
      <c r="B8" s="10" t="s">
        <v>87</v>
      </c>
      <c r="C8" s="5"/>
      <c r="D8" s="9"/>
      <c r="E8" s="4">
        <v>954.53999999999905</v>
      </c>
      <c r="F8" s="7">
        <v>105552</v>
      </c>
      <c r="G8" s="20" t="s">
        <v>94</v>
      </c>
    </row>
    <row r="9" spans="1:7" x14ac:dyDescent="0.25">
      <c r="A9" s="5" t="s">
        <v>86</v>
      </c>
      <c r="B9" s="10" t="s">
        <v>87</v>
      </c>
      <c r="C9" s="5"/>
      <c r="D9" s="9"/>
      <c r="E9" s="4">
        <v>1190.1099999999899</v>
      </c>
      <c r="F9" s="7">
        <v>62921</v>
      </c>
      <c r="G9" s="20" t="s">
        <v>95</v>
      </c>
    </row>
    <row r="10" spans="1:7" x14ac:dyDescent="0.25">
      <c r="A10" s="5" t="s">
        <v>86</v>
      </c>
      <c r="B10" s="10" t="s">
        <v>87</v>
      </c>
      <c r="C10" s="5"/>
      <c r="D10" s="9" t="s">
        <v>91</v>
      </c>
      <c r="E10" s="4">
        <v>99.93</v>
      </c>
      <c r="F10" s="7">
        <v>61783</v>
      </c>
      <c r="G10" s="20" t="s">
        <v>96</v>
      </c>
    </row>
    <row r="11" spans="1:7" x14ac:dyDescent="0.25">
      <c r="A11" s="5" t="s">
        <v>86</v>
      </c>
      <c r="B11" s="10" t="s">
        <v>87</v>
      </c>
      <c r="C11" s="5" t="s">
        <v>97</v>
      </c>
      <c r="D11" s="9" t="s">
        <v>91</v>
      </c>
      <c r="E11" s="4">
        <v>303.75</v>
      </c>
      <c r="F11" s="7">
        <v>255073</v>
      </c>
      <c r="G11" s="20" t="s">
        <v>56</v>
      </c>
    </row>
    <row r="12" spans="1:7" x14ac:dyDescent="0.25">
      <c r="A12" s="5" t="s">
        <v>86</v>
      </c>
      <c r="B12" s="10" t="s">
        <v>87</v>
      </c>
      <c r="C12" s="5" t="s">
        <v>88</v>
      </c>
      <c r="D12" s="9" t="s">
        <v>89</v>
      </c>
      <c r="E12" s="4">
        <v>120.22</v>
      </c>
      <c r="F12" s="7">
        <v>370900</v>
      </c>
      <c r="G12" s="20" t="s">
        <v>57</v>
      </c>
    </row>
    <row r="13" spans="1:7" x14ac:dyDescent="0.25">
      <c r="A13" s="5" t="s">
        <v>86</v>
      </c>
      <c r="B13" s="10" t="s">
        <v>87</v>
      </c>
      <c r="C13" s="5"/>
      <c r="D13" s="9"/>
      <c r="E13" s="4">
        <v>634.16999999999905</v>
      </c>
      <c r="F13" s="7">
        <v>36545</v>
      </c>
      <c r="G13" s="20" t="s">
        <v>105</v>
      </c>
    </row>
    <row r="14" spans="1:7" x14ac:dyDescent="0.25">
      <c r="A14" s="5" t="s">
        <v>86</v>
      </c>
      <c r="B14" s="10" t="s">
        <v>87</v>
      </c>
      <c r="C14" s="5" t="s">
        <v>88</v>
      </c>
      <c r="D14" s="9" t="s">
        <v>89</v>
      </c>
      <c r="E14" s="4">
        <v>236.81</v>
      </c>
      <c r="F14" s="7">
        <v>219031</v>
      </c>
      <c r="G14" s="26" t="s">
        <v>58</v>
      </c>
    </row>
    <row r="15" spans="1:7" x14ac:dyDescent="0.25">
      <c r="A15" s="5" t="s">
        <v>86</v>
      </c>
      <c r="B15" s="10" t="s">
        <v>87</v>
      </c>
      <c r="C15" s="5" t="s">
        <v>88</v>
      </c>
      <c r="D15" s="9" t="s">
        <v>89</v>
      </c>
      <c r="E15" s="4">
        <v>189.9</v>
      </c>
      <c r="F15" s="7">
        <v>517082</v>
      </c>
      <c r="G15" s="20" t="s">
        <v>59</v>
      </c>
    </row>
    <row r="16" spans="1:7" x14ac:dyDescent="0.25">
      <c r="A16" s="5" t="s">
        <v>86</v>
      </c>
      <c r="B16" s="10" t="s">
        <v>87</v>
      </c>
      <c r="C16" s="5"/>
      <c r="D16" s="9"/>
      <c r="E16" s="4">
        <v>720.1</v>
      </c>
      <c r="F16" s="7">
        <v>17412</v>
      </c>
      <c r="G16" s="20" t="s">
        <v>98</v>
      </c>
    </row>
    <row r="17" spans="1:7" x14ac:dyDescent="0.25">
      <c r="A17" s="5" t="s">
        <v>86</v>
      </c>
      <c r="B17" s="10" t="s">
        <v>87</v>
      </c>
      <c r="C17" s="5" t="s">
        <v>99</v>
      </c>
      <c r="D17" s="9" t="s">
        <v>91</v>
      </c>
      <c r="E17" s="4">
        <v>55.75</v>
      </c>
      <c r="F17" s="7">
        <v>109695</v>
      </c>
      <c r="G17" s="20" t="s">
        <v>60</v>
      </c>
    </row>
    <row r="18" spans="1:7" x14ac:dyDescent="0.25">
      <c r="A18" s="5" t="s">
        <v>86</v>
      </c>
      <c r="B18" s="10" t="s">
        <v>87</v>
      </c>
      <c r="C18" s="5" t="s">
        <v>97</v>
      </c>
      <c r="D18" s="9" t="s">
        <v>90</v>
      </c>
      <c r="E18" s="4">
        <v>2145.2800000000002</v>
      </c>
      <c r="F18" s="7">
        <v>425265</v>
      </c>
      <c r="G18" s="20" t="s">
        <v>61</v>
      </c>
    </row>
    <row r="19" spans="1:7" x14ac:dyDescent="0.25">
      <c r="A19" s="5" t="s">
        <v>86</v>
      </c>
      <c r="B19" s="10" t="s">
        <v>87</v>
      </c>
      <c r="C19" s="5" t="s">
        <v>99</v>
      </c>
      <c r="D19" s="9" t="s">
        <v>89</v>
      </c>
      <c r="E19" s="4">
        <v>35.43</v>
      </c>
      <c r="F19" s="7">
        <v>193583</v>
      </c>
      <c r="G19" s="26" t="s">
        <v>62</v>
      </c>
    </row>
    <row r="20" spans="1:7" x14ac:dyDescent="0.25">
      <c r="A20" s="5" t="s">
        <v>86</v>
      </c>
      <c r="B20" s="10" t="s">
        <v>87</v>
      </c>
      <c r="C20" s="5" t="s">
        <v>99</v>
      </c>
      <c r="D20" s="9" t="s">
        <v>89</v>
      </c>
      <c r="E20" s="4">
        <v>38.24</v>
      </c>
      <c r="F20" s="7">
        <v>180914</v>
      </c>
      <c r="G20" s="26" t="s">
        <v>63</v>
      </c>
    </row>
    <row r="21" spans="1:7" x14ac:dyDescent="0.25">
      <c r="A21" s="5" t="s">
        <v>86</v>
      </c>
      <c r="B21" s="10" t="s">
        <v>87</v>
      </c>
      <c r="C21" s="5" t="s">
        <v>97</v>
      </c>
      <c r="D21" s="9" t="s">
        <v>89</v>
      </c>
      <c r="E21" s="4">
        <v>50.159999999999897</v>
      </c>
      <c r="F21" s="7">
        <v>307443</v>
      </c>
      <c r="G21" s="26" t="s">
        <v>64</v>
      </c>
    </row>
    <row r="22" spans="1:7" x14ac:dyDescent="0.25">
      <c r="A22" s="5" t="s">
        <v>86</v>
      </c>
      <c r="B22" s="10" t="s">
        <v>87</v>
      </c>
      <c r="C22" s="5" t="s">
        <v>99</v>
      </c>
      <c r="D22" s="9" t="s">
        <v>90</v>
      </c>
      <c r="E22" s="4">
        <v>329.22</v>
      </c>
      <c r="F22" s="7">
        <v>2281194</v>
      </c>
      <c r="G22" s="20" t="s">
        <v>65</v>
      </c>
    </row>
    <row r="23" spans="1:7" x14ac:dyDescent="0.25">
      <c r="A23" s="5" t="s">
        <v>86</v>
      </c>
      <c r="B23" s="10" t="s">
        <v>87</v>
      </c>
      <c r="C23" s="5"/>
      <c r="D23" s="9" t="s">
        <v>91</v>
      </c>
      <c r="E23" s="4">
        <v>942.23</v>
      </c>
      <c r="F23" s="7">
        <v>713947</v>
      </c>
      <c r="G23" s="20" t="s">
        <v>100</v>
      </c>
    </row>
    <row r="24" spans="1:7" x14ac:dyDescent="0.25">
      <c r="A24" s="5" t="s">
        <v>86</v>
      </c>
      <c r="B24" s="10" t="s">
        <v>87</v>
      </c>
      <c r="C24" s="5" t="s">
        <v>88</v>
      </c>
      <c r="D24" s="9" t="s">
        <v>90</v>
      </c>
      <c r="E24" s="4">
        <v>48.35</v>
      </c>
      <c r="F24" s="7">
        <v>462827</v>
      </c>
      <c r="G24" s="20" t="s">
        <v>66</v>
      </c>
    </row>
    <row r="25" spans="1:7" x14ac:dyDescent="0.25">
      <c r="A25" s="5" t="s">
        <v>86</v>
      </c>
      <c r="B25" s="10" t="s">
        <v>87</v>
      </c>
      <c r="C25" s="5" t="s">
        <v>88</v>
      </c>
      <c r="D25" s="9" t="s">
        <v>90</v>
      </c>
      <c r="E25" s="4">
        <v>87.299999999999898</v>
      </c>
      <c r="F25" s="7">
        <v>648312</v>
      </c>
      <c r="G25" s="20" t="s">
        <v>106</v>
      </c>
    </row>
    <row r="26" spans="1:7" x14ac:dyDescent="0.25">
      <c r="A26" s="5" t="s">
        <v>86</v>
      </c>
      <c r="B26" s="10" t="s">
        <v>87</v>
      </c>
      <c r="C26" s="5"/>
      <c r="D26" s="9"/>
      <c r="E26" s="4">
        <v>777.13</v>
      </c>
      <c r="F26" s="7">
        <v>119805</v>
      </c>
      <c r="G26" s="20" t="s">
        <v>101</v>
      </c>
    </row>
    <row r="27" spans="1:7" x14ac:dyDescent="0.25">
      <c r="A27" s="5" t="s">
        <v>86</v>
      </c>
      <c r="B27" s="10" t="s">
        <v>87</v>
      </c>
      <c r="C27" s="5" t="s">
        <v>97</v>
      </c>
      <c r="D27" s="9" t="s">
        <v>89</v>
      </c>
      <c r="E27" s="4">
        <v>63.09</v>
      </c>
      <c r="F27" s="7">
        <v>359953</v>
      </c>
      <c r="G27" s="20" t="s">
        <v>67</v>
      </c>
    </row>
    <row r="28" spans="1:7" x14ac:dyDescent="0.25">
      <c r="A28" s="5" t="s">
        <v>86</v>
      </c>
      <c r="B28" s="10" t="s">
        <v>87</v>
      </c>
      <c r="C28" s="5" t="s">
        <v>99</v>
      </c>
      <c r="D28" s="9" t="s">
        <v>91</v>
      </c>
      <c r="E28" s="4">
        <v>455.12</v>
      </c>
      <c r="F28" s="7">
        <v>66466</v>
      </c>
      <c r="G28" s="20" t="s">
        <v>68</v>
      </c>
    </row>
    <row r="29" spans="1:7" x14ac:dyDescent="0.25">
      <c r="A29" s="5" t="s">
        <v>86</v>
      </c>
      <c r="B29" s="10" t="s">
        <v>87</v>
      </c>
      <c r="C29" s="5"/>
      <c r="D29" s="9"/>
      <c r="E29" s="4">
        <v>1049.47</v>
      </c>
      <c r="F29" s="7">
        <v>67793</v>
      </c>
      <c r="G29" s="20" t="s">
        <v>102</v>
      </c>
    </row>
    <row r="30" spans="1:7" x14ac:dyDescent="0.25">
      <c r="A30" s="5" t="s">
        <v>86</v>
      </c>
      <c r="B30" s="10" t="s">
        <v>87</v>
      </c>
      <c r="C30" s="5" t="s">
        <v>99</v>
      </c>
      <c r="D30" s="9" t="s">
        <v>89</v>
      </c>
      <c r="E30" s="4">
        <v>173.13</v>
      </c>
      <c r="F30" s="7">
        <v>606413</v>
      </c>
      <c r="G30" s="20" t="s">
        <v>69</v>
      </c>
    </row>
    <row r="31" spans="1:7" x14ac:dyDescent="0.25">
      <c r="A31" s="5" t="s">
        <v>86</v>
      </c>
      <c r="B31" s="10" t="s">
        <v>87</v>
      </c>
      <c r="C31" s="5" t="s">
        <v>99</v>
      </c>
      <c r="D31" s="9" t="s">
        <v>89</v>
      </c>
      <c r="E31" s="4">
        <v>186.13</v>
      </c>
      <c r="F31" s="7">
        <v>541691</v>
      </c>
      <c r="G31" s="20" t="s">
        <v>70</v>
      </c>
    </row>
    <row r="32" spans="1:7" x14ac:dyDescent="0.25">
      <c r="A32" s="5" t="s">
        <v>86</v>
      </c>
      <c r="B32" s="10" t="s">
        <v>87</v>
      </c>
      <c r="C32" s="5" t="s">
        <v>99</v>
      </c>
      <c r="D32" s="9" t="s">
        <v>90</v>
      </c>
      <c r="E32" s="4">
        <v>55.659999999999897</v>
      </c>
      <c r="F32" s="7">
        <v>318632</v>
      </c>
      <c r="G32" s="20" t="s">
        <v>71</v>
      </c>
    </row>
    <row r="33" spans="1:7" x14ac:dyDescent="0.25">
      <c r="A33" s="5" t="s">
        <v>86</v>
      </c>
      <c r="B33" s="10" t="s">
        <v>87</v>
      </c>
      <c r="C33" s="5" t="s">
        <v>97</v>
      </c>
      <c r="D33" s="9" t="s">
        <v>91</v>
      </c>
      <c r="E33" s="4">
        <v>383.00999999999902</v>
      </c>
      <c r="F33" s="7">
        <v>378167</v>
      </c>
      <c r="G33" s="20" t="s">
        <v>72</v>
      </c>
    </row>
    <row r="34" spans="1:7" x14ac:dyDescent="0.25">
      <c r="A34" s="5" t="s">
        <v>86</v>
      </c>
      <c r="B34" s="10" t="s">
        <v>87</v>
      </c>
      <c r="C34" s="5" t="s">
        <v>88</v>
      </c>
      <c r="D34" s="9" t="s">
        <v>91</v>
      </c>
      <c r="E34" s="4">
        <v>120.73</v>
      </c>
      <c r="F34" s="7">
        <v>105918</v>
      </c>
      <c r="G34" s="26" t="s">
        <v>73</v>
      </c>
    </row>
    <row r="35" spans="1:7" x14ac:dyDescent="0.25">
      <c r="A35" s="5" t="s">
        <v>86</v>
      </c>
      <c r="B35" s="10" t="s">
        <v>87</v>
      </c>
      <c r="C35" s="5" t="s">
        <v>88</v>
      </c>
      <c r="D35" s="9" t="s">
        <v>89</v>
      </c>
      <c r="E35" s="4">
        <v>91.489999999999895</v>
      </c>
      <c r="F35" s="7">
        <v>664783</v>
      </c>
      <c r="G35" s="20" t="s">
        <v>74</v>
      </c>
    </row>
    <row r="36" spans="1:7" x14ac:dyDescent="0.25">
      <c r="A36" s="5" t="s">
        <v>86</v>
      </c>
      <c r="B36" s="10" t="s">
        <v>87</v>
      </c>
      <c r="C36" s="5" t="s">
        <v>97</v>
      </c>
      <c r="D36" s="9" t="s">
        <v>89</v>
      </c>
      <c r="E36" s="4">
        <v>877.08</v>
      </c>
      <c r="F36" s="7">
        <v>174883</v>
      </c>
      <c r="G36" s="20" t="s">
        <v>75</v>
      </c>
    </row>
    <row r="37" spans="1:7" x14ac:dyDescent="0.25">
      <c r="A37" s="5" t="s">
        <v>86</v>
      </c>
      <c r="B37" s="10" t="s">
        <v>87</v>
      </c>
      <c r="C37" s="5" t="s">
        <v>97</v>
      </c>
      <c r="D37" s="9" t="s">
        <v>90</v>
      </c>
      <c r="E37" s="4">
        <v>51.439999999999898</v>
      </c>
      <c r="F37" s="7">
        <v>292224</v>
      </c>
      <c r="G37" s="20" t="s">
        <v>76</v>
      </c>
    </row>
    <row r="38" spans="1:7" x14ac:dyDescent="0.25">
      <c r="A38" s="5" t="s">
        <v>86</v>
      </c>
      <c r="B38" s="10" t="s">
        <v>87</v>
      </c>
      <c r="C38" s="5" t="s">
        <v>97</v>
      </c>
      <c r="D38" s="9" t="s">
        <v>89</v>
      </c>
      <c r="E38" s="4">
        <v>82.799999999999898</v>
      </c>
      <c r="F38" s="7">
        <v>304122</v>
      </c>
      <c r="G38" s="26" t="s">
        <v>77</v>
      </c>
    </row>
    <row r="39" spans="1:7" x14ac:dyDescent="0.25">
      <c r="A39" s="5" t="s">
        <v>86</v>
      </c>
      <c r="B39" s="10" t="s">
        <v>87</v>
      </c>
      <c r="C39" s="5" t="s">
        <v>88</v>
      </c>
      <c r="D39" s="9" t="s">
        <v>91</v>
      </c>
      <c r="E39" s="4">
        <v>656.26999999999896</v>
      </c>
      <c r="F39" s="7">
        <v>77161</v>
      </c>
      <c r="G39" s="20" t="s">
        <v>78</v>
      </c>
    </row>
    <row r="40" spans="1:7" x14ac:dyDescent="0.25">
      <c r="A40" s="5" t="s">
        <v>86</v>
      </c>
      <c r="B40" s="10" t="s">
        <v>87</v>
      </c>
      <c r="C40" s="5" t="s">
        <v>97</v>
      </c>
      <c r="D40" s="9" t="s">
        <v>89</v>
      </c>
      <c r="E40" s="4">
        <v>304.35000000000002</v>
      </c>
      <c r="F40" s="7">
        <v>462998</v>
      </c>
      <c r="G40" s="20" t="s">
        <v>79</v>
      </c>
    </row>
    <row r="41" spans="1:7" x14ac:dyDescent="0.25">
      <c r="A41" s="5" t="s">
        <v>86</v>
      </c>
      <c r="B41" s="10" t="s">
        <v>87</v>
      </c>
      <c r="C41" s="5" t="s">
        <v>99</v>
      </c>
      <c r="D41" s="9" t="s">
        <v>90</v>
      </c>
      <c r="E41" s="4">
        <v>43.0399999999999</v>
      </c>
      <c r="F41" s="7">
        <v>344067</v>
      </c>
      <c r="G41" s="20" t="s">
        <v>104</v>
      </c>
    </row>
    <row r="42" spans="1:7" x14ac:dyDescent="0.25">
      <c r="A42" s="5" t="s">
        <v>86</v>
      </c>
      <c r="B42" s="10" t="s">
        <v>87</v>
      </c>
      <c r="C42" s="5" t="s">
        <v>97</v>
      </c>
      <c r="D42" s="9" t="s">
        <v>90</v>
      </c>
      <c r="E42" s="4">
        <v>33.770000000000003</v>
      </c>
      <c r="F42" s="7">
        <v>267655</v>
      </c>
      <c r="G42" s="20" t="s">
        <v>80</v>
      </c>
    </row>
    <row r="43" spans="1:7" x14ac:dyDescent="0.25">
      <c r="A43" s="5" t="s">
        <v>86</v>
      </c>
      <c r="B43" s="10" t="s">
        <v>87</v>
      </c>
      <c r="C43" s="5"/>
      <c r="D43" s="9"/>
      <c r="E43" s="4">
        <v>1188.8499999999899</v>
      </c>
      <c r="F43" s="7">
        <v>128096</v>
      </c>
      <c r="G43" s="20" t="s">
        <v>103</v>
      </c>
    </row>
    <row r="937" spans="15:49" x14ac:dyDescent="0.25">
      <c r="O937" s="17"/>
      <c r="P937" s="1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393"/>
  <sheetViews>
    <sheetView tabSelected="1" workbookViewId="0">
      <pane ySplit="1" topLeftCell="A373" activePane="bottomLeft" state="frozen"/>
      <selection pane="bottomLeft" activeCell="A351" activeCellId="1" sqref="C351:C391 A351:A391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108</v>
      </c>
      <c r="B1" s="5" t="s">
        <v>47</v>
      </c>
      <c r="C1" s="5" t="s">
        <v>48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113</v>
      </c>
      <c r="I1" s="4" t="s">
        <v>45</v>
      </c>
      <c r="J1" s="5" t="s">
        <v>46</v>
      </c>
      <c r="K1" s="5" t="s">
        <v>49</v>
      </c>
      <c r="L1" s="5" t="s">
        <v>50</v>
      </c>
      <c r="M1" s="5" t="s">
        <v>114</v>
      </c>
      <c r="N1" s="5" t="s">
        <v>115</v>
      </c>
      <c r="O1" s="5" t="s">
        <v>51</v>
      </c>
      <c r="P1" s="5" t="s">
        <v>116</v>
      </c>
      <c r="Q1" s="5" t="s">
        <v>117</v>
      </c>
      <c r="R1" s="5" t="s">
        <v>118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</row>
    <row r="144" spans="1:18" x14ac:dyDescent="0.25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</row>
    <row r="145" spans="1:18" x14ac:dyDescent="0.25">
      <c r="A145" s="38">
        <v>1</v>
      </c>
      <c r="B145" s="38">
        <v>6</v>
      </c>
      <c r="C145" s="39"/>
      <c r="D145" s="39">
        <v>25</v>
      </c>
      <c r="E145" s="39"/>
      <c r="F145" s="39">
        <v>4</v>
      </c>
      <c r="G145" s="39"/>
      <c r="H145" s="39">
        <v>1</v>
      </c>
      <c r="I145" s="39">
        <v>12</v>
      </c>
      <c r="J145" s="39">
        <v>35</v>
      </c>
      <c r="K145" s="40">
        <v>2</v>
      </c>
      <c r="L145" s="39"/>
      <c r="M145" s="39"/>
      <c r="N145" s="40">
        <v>2</v>
      </c>
      <c r="O145" s="39"/>
      <c r="P145" s="39"/>
      <c r="Q145" s="39"/>
      <c r="R145" s="39"/>
    </row>
    <row r="146" spans="1:18" x14ac:dyDescent="0.25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</row>
    <row r="147" spans="1:18" x14ac:dyDescent="0.25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 spans="1:18" x14ac:dyDescent="0.25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spans="1:18" x14ac:dyDescent="0.25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x14ac:dyDescent="0.25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1:18" x14ac:dyDescent="0.25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</row>
    <row r="152" spans="1:18" x14ac:dyDescent="0.25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</row>
    <row r="155" spans="1:18" hidden="1" x14ac:dyDescent="0.25"/>
    <row r="162" spans="1:12" x14ac:dyDescent="0.25">
      <c r="A162" s="50" t="s">
        <v>26</v>
      </c>
      <c r="B162" s="50" t="s">
        <v>120</v>
      </c>
      <c r="C162" s="50" t="s">
        <v>121</v>
      </c>
      <c r="D162" s="50"/>
      <c r="E162" s="50" t="s">
        <v>122</v>
      </c>
      <c r="F162" s="51" t="s">
        <v>119</v>
      </c>
      <c r="H162" s="117" t="s">
        <v>26</v>
      </c>
      <c r="I162" s="117" t="s">
        <v>25</v>
      </c>
      <c r="J162" s="117" t="s">
        <v>132</v>
      </c>
      <c r="K162" s="117" t="s">
        <v>130</v>
      </c>
      <c r="L162" s="117" t="s">
        <v>131</v>
      </c>
    </row>
    <row r="163" spans="1:12" hidden="1" x14ac:dyDescent="0.25">
      <c r="A163" s="19">
        <v>44068</v>
      </c>
      <c r="B163" s="4">
        <v>1990</v>
      </c>
      <c r="C163" s="4">
        <v>58.3</v>
      </c>
      <c r="D163" s="4"/>
      <c r="E163" s="41">
        <f>B163*100/C163</f>
        <v>3413.3790737564323</v>
      </c>
      <c r="F163" s="4"/>
    </row>
    <row r="164" spans="1:12" hidden="1" x14ac:dyDescent="0.25">
      <c r="A164" s="19">
        <v>44069</v>
      </c>
      <c r="B164" s="4">
        <v>2022</v>
      </c>
      <c r="C164" s="4">
        <v>58.1</v>
      </c>
      <c r="D164" s="4"/>
      <c r="E164" s="41">
        <f>B164*100/C164</f>
        <v>3480.2065404475043</v>
      </c>
      <c r="F164" s="7">
        <f>E164-E163</f>
        <v>66.827466691072004</v>
      </c>
    </row>
    <row r="165" spans="1:12" hidden="1" x14ac:dyDescent="0.25">
      <c r="A165" s="19">
        <v>44070</v>
      </c>
      <c r="B165" s="4">
        <v>2075</v>
      </c>
      <c r="C165" s="4">
        <v>59.2</v>
      </c>
      <c r="D165" s="4"/>
      <c r="E165" s="41">
        <f>B165*100/C165</f>
        <v>3505.0675675675675</v>
      </c>
      <c r="F165" s="7">
        <f>E165-E164</f>
        <v>24.861027120063227</v>
      </c>
    </row>
    <row r="166" spans="1:12" hidden="1" x14ac:dyDescent="0.25">
      <c r="A166" s="19">
        <v>44071</v>
      </c>
      <c r="B166" s="4">
        <v>2114</v>
      </c>
      <c r="C166" s="11">
        <v>59.7</v>
      </c>
      <c r="D166" s="5"/>
      <c r="E166" s="41">
        <f>B166*100/C166</f>
        <v>3541.0385259631489</v>
      </c>
      <c r="F166" s="7">
        <f>E166-E165</f>
        <v>35.97095839558142</v>
      </c>
    </row>
    <row r="167" spans="1:12" hidden="1" x14ac:dyDescent="0.25">
      <c r="A167" s="19">
        <v>44072</v>
      </c>
      <c r="B167" s="4">
        <v>2192</v>
      </c>
      <c r="C167" s="4">
        <v>60.6</v>
      </c>
      <c r="D167" s="4"/>
      <c r="E167" s="41">
        <f>B167*100/C167</f>
        <v>3617.1617161716172</v>
      </c>
      <c r="F167" s="7">
        <f>E167-E166</f>
        <v>76.123190208468259</v>
      </c>
    </row>
    <row r="168" spans="1:12" hidden="1" x14ac:dyDescent="0.25">
      <c r="A168" s="19">
        <v>44073</v>
      </c>
      <c r="B168" s="4">
        <v>2232</v>
      </c>
      <c r="C168" s="11">
        <v>60.6</v>
      </c>
      <c r="D168" s="5"/>
      <c r="E168" s="41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19">
        <v>44074</v>
      </c>
      <c r="B169" s="4">
        <v>2273</v>
      </c>
      <c r="C169" s="11">
        <v>60.7</v>
      </c>
      <c r="D169" s="5"/>
      <c r="E169" s="41">
        <f t="shared" si="0"/>
        <v>3744.6457990115318</v>
      </c>
      <c r="F169" s="7">
        <f t="shared" si="1"/>
        <v>61.477482179848721</v>
      </c>
    </row>
    <row r="170" spans="1:12" hidden="1" x14ac:dyDescent="0.25">
      <c r="A170" s="19">
        <v>44075</v>
      </c>
      <c r="B170" s="4">
        <v>2314</v>
      </c>
      <c r="C170" s="11"/>
      <c r="D170" s="5"/>
      <c r="E170" s="41" t="e">
        <f t="shared" si="0"/>
        <v>#DIV/0!</v>
      </c>
      <c r="F170" s="7" t="e">
        <f t="shared" si="1"/>
        <v>#DIV/0!</v>
      </c>
    </row>
    <row r="171" spans="1:12" hidden="1" x14ac:dyDescent="0.25">
      <c r="A171" s="19">
        <v>44076</v>
      </c>
      <c r="B171" s="31">
        <v>2359</v>
      </c>
      <c r="C171" s="92">
        <v>61.1</v>
      </c>
      <c r="E171" s="90">
        <f t="shared" si="0"/>
        <v>3860.8837970540098</v>
      </c>
      <c r="F171" s="91" t="e">
        <f t="shared" si="1"/>
        <v>#DIV/0!</v>
      </c>
    </row>
    <row r="172" spans="1:12" hidden="1" x14ac:dyDescent="0.25">
      <c r="A172" s="19">
        <v>44077</v>
      </c>
      <c r="B172" s="4">
        <v>2394</v>
      </c>
      <c r="E172" s="41" t="e">
        <f t="shared" si="0"/>
        <v>#DIV/0!</v>
      </c>
      <c r="F172" s="7" t="e">
        <f t="shared" si="1"/>
        <v>#DIV/0!</v>
      </c>
    </row>
    <row r="173" spans="1:12" hidden="1" x14ac:dyDescent="0.25">
      <c r="A173" s="19">
        <v>44078</v>
      </c>
      <c r="B173" s="30">
        <v>2425</v>
      </c>
      <c r="C173" s="89">
        <v>61.5</v>
      </c>
      <c r="E173" s="44">
        <f t="shared" si="0"/>
        <v>3943.0894308943089</v>
      </c>
      <c r="F173" s="47" t="e">
        <f t="shared" si="1"/>
        <v>#DIV/0!</v>
      </c>
    </row>
    <row r="174" spans="1:12" x14ac:dyDescent="0.25">
      <c r="A174" s="19">
        <v>44079</v>
      </c>
      <c r="B174" s="4">
        <v>2456</v>
      </c>
      <c r="C174" s="11">
        <v>61.7</v>
      </c>
      <c r="D174" s="5"/>
      <c r="E174" s="41">
        <f t="shared" si="0"/>
        <v>3980.5510534846026</v>
      </c>
      <c r="F174" s="7">
        <f t="shared" si="1"/>
        <v>37.4616225902937</v>
      </c>
      <c r="I174" t="s">
        <v>17</v>
      </c>
      <c r="J174" s="142">
        <v>0.43</v>
      </c>
    </row>
    <row r="175" spans="1:12" x14ac:dyDescent="0.25">
      <c r="A175" s="19">
        <v>44080</v>
      </c>
      <c r="B175" s="4">
        <v>2512</v>
      </c>
      <c r="C175" s="11">
        <v>61.8</v>
      </c>
      <c r="D175" s="5"/>
      <c r="E175" s="41">
        <f t="shared" si="0"/>
        <v>4064.7249190938514</v>
      </c>
      <c r="F175" s="7">
        <f t="shared" si="1"/>
        <v>84.173865609248878</v>
      </c>
      <c r="I175" t="s">
        <v>15</v>
      </c>
      <c r="J175" s="142">
        <v>0.3</v>
      </c>
      <c r="K175">
        <v>450</v>
      </c>
      <c r="L175">
        <f>J175/K175</f>
        <v>6.6666666666666664E-4</v>
      </c>
    </row>
    <row r="176" spans="1:12" x14ac:dyDescent="0.25">
      <c r="A176" s="19">
        <v>44081</v>
      </c>
      <c r="B176" s="4">
        <v>2698</v>
      </c>
      <c r="C176" s="11">
        <v>61.9</v>
      </c>
      <c r="D176" s="5"/>
      <c r="E176" s="41">
        <f t="shared" si="0"/>
        <v>4358.6429725363487</v>
      </c>
      <c r="F176" s="7">
        <f t="shared" si="1"/>
        <v>293.91805344249724</v>
      </c>
      <c r="I176" t="s">
        <v>29</v>
      </c>
      <c r="J176" s="142">
        <v>0.15</v>
      </c>
    </row>
    <row r="177" spans="1:12" x14ac:dyDescent="0.25">
      <c r="A177" s="19">
        <v>44082</v>
      </c>
      <c r="B177" s="4">
        <v>2719</v>
      </c>
      <c r="C177" s="11">
        <v>56.3</v>
      </c>
      <c r="D177" s="5"/>
      <c r="E177" s="41">
        <f t="shared" si="0"/>
        <v>4829.4849023090592</v>
      </c>
      <c r="F177" s="7">
        <f t="shared" si="1"/>
        <v>470.8419297727105</v>
      </c>
      <c r="I177" t="s">
        <v>16</v>
      </c>
      <c r="J177" s="142">
        <v>0.39</v>
      </c>
    </row>
    <row r="178" spans="1:12" x14ac:dyDescent="0.25">
      <c r="A178" s="19">
        <v>44083</v>
      </c>
      <c r="B178" s="4">
        <v>2829</v>
      </c>
      <c r="C178" s="11">
        <v>62.4</v>
      </c>
      <c r="D178" s="5"/>
      <c r="E178" s="41">
        <f t="shared" si="0"/>
        <v>4533.6538461538466</v>
      </c>
      <c r="F178" s="7">
        <f t="shared" si="1"/>
        <v>-295.83105615521254</v>
      </c>
      <c r="I178" t="s">
        <v>30</v>
      </c>
      <c r="J178" s="142">
        <v>0.42</v>
      </c>
      <c r="K178">
        <f>139+39+8</f>
        <v>186</v>
      </c>
      <c r="L178" s="118">
        <f>J178/K178</f>
        <v>2.258064516129032E-3</v>
      </c>
    </row>
    <row r="179" spans="1:12" x14ac:dyDescent="0.25">
      <c r="A179" s="19">
        <v>44084</v>
      </c>
      <c r="B179" s="4">
        <v>2880</v>
      </c>
      <c r="C179" s="11">
        <v>62.3</v>
      </c>
      <c r="D179" s="5"/>
      <c r="E179" s="41">
        <f t="shared" si="0"/>
        <v>4622.7929373996794</v>
      </c>
      <c r="F179" s="7">
        <f t="shared" si="1"/>
        <v>89.139091245832788</v>
      </c>
      <c r="I179" t="s">
        <v>21</v>
      </c>
    </row>
    <row r="180" spans="1:12" x14ac:dyDescent="0.25">
      <c r="A180" s="19">
        <v>44085</v>
      </c>
      <c r="B180" s="11">
        <v>3093</v>
      </c>
      <c r="C180" s="11">
        <v>61.7</v>
      </c>
      <c r="D180" s="5"/>
      <c r="E180" s="41">
        <f t="shared" si="0"/>
        <v>5012.965964343598</v>
      </c>
      <c r="F180" s="7">
        <f t="shared" si="1"/>
        <v>390.17302694391856</v>
      </c>
      <c r="I180" t="s">
        <v>31</v>
      </c>
    </row>
    <row r="181" spans="1:12" x14ac:dyDescent="0.25">
      <c r="A181" s="19">
        <v>44086</v>
      </c>
      <c r="B181" s="11">
        <v>2962</v>
      </c>
      <c r="C181" s="11">
        <v>60.4</v>
      </c>
      <c r="D181" s="5"/>
      <c r="E181" s="41">
        <f t="shared" si="0"/>
        <v>4903.9735099337749</v>
      </c>
      <c r="F181" s="7">
        <f t="shared" si="1"/>
        <v>-108.99245440982304</v>
      </c>
      <c r="I181" t="s">
        <v>32</v>
      </c>
    </row>
    <row r="182" spans="1:12" x14ac:dyDescent="0.25">
      <c r="A182" s="19">
        <v>44087</v>
      </c>
      <c r="I182" t="s">
        <v>42</v>
      </c>
    </row>
    <row r="183" spans="1:12" x14ac:dyDescent="0.25">
      <c r="A183" s="19">
        <v>44088</v>
      </c>
      <c r="I183" t="s">
        <v>33</v>
      </c>
    </row>
    <row r="184" spans="1:12" x14ac:dyDescent="0.25">
      <c r="A184" s="19">
        <v>44089</v>
      </c>
      <c r="I184" t="s">
        <v>34</v>
      </c>
    </row>
    <row r="185" spans="1:12" x14ac:dyDescent="0.25">
      <c r="A185" s="19">
        <v>44090</v>
      </c>
      <c r="I185" t="s">
        <v>22</v>
      </c>
    </row>
    <row r="186" spans="1:12" x14ac:dyDescent="0.25">
      <c r="A186" s="19">
        <v>44091</v>
      </c>
      <c r="I186" t="s">
        <v>18</v>
      </c>
    </row>
    <row r="187" spans="1:12" x14ac:dyDescent="0.25">
      <c r="A187" s="19">
        <v>44092</v>
      </c>
      <c r="I187" t="s">
        <v>24</v>
      </c>
    </row>
    <row r="188" spans="1:12" x14ac:dyDescent="0.25">
      <c r="A188" s="19">
        <v>44093</v>
      </c>
      <c r="I188" t="s">
        <v>20</v>
      </c>
    </row>
    <row r="189" spans="1:12" x14ac:dyDescent="0.25">
      <c r="A189" s="19">
        <v>44094</v>
      </c>
      <c r="I189" t="s">
        <v>19</v>
      </c>
    </row>
    <row r="190" spans="1:12" x14ac:dyDescent="0.25">
      <c r="A190" s="19">
        <v>44095</v>
      </c>
      <c r="I190" t="s">
        <v>35</v>
      </c>
    </row>
    <row r="191" spans="1:12" x14ac:dyDescent="0.25">
      <c r="A191" s="19">
        <v>44096</v>
      </c>
      <c r="I191" t="s">
        <v>36</v>
      </c>
    </row>
    <row r="192" spans="1:12" x14ac:dyDescent="0.25">
      <c r="A192" s="19">
        <v>44097</v>
      </c>
      <c r="I192" t="s">
        <v>37</v>
      </c>
    </row>
    <row r="193" spans="1:9" x14ac:dyDescent="0.25">
      <c r="A193" s="19">
        <v>44098</v>
      </c>
      <c r="I193" t="s">
        <v>38</v>
      </c>
    </row>
    <row r="194" spans="1:9" x14ac:dyDescent="0.25">
      <c r="A194" s="19">
        <v>44099</v>
      </c>
      <c r="I194" t="s">
        <v>23</v>
      </c>
    </row>
    <row r="195" spans="1:9" x14ac:dyDescent="0.25">
      <c r="A195" s="19">
        <v>44100</v>
      </c>
      <c r="I195" t="s">
        <v>39</v>
      </c>
    </row>
    <row r="196" spans="1:9" x14ac:dyDescent="0.25">
      <c r="A196" s="19">
        <v>44101</v>
      </c>
      <c r="I196" t="s">
        <v>40</v>
      </c>
    </row>
    <row r="197" spans="1:9" x14ac:dyDescent="0.25">
      <c r="A197" s="19">
        <v>44102</v>
      </c>
      <c r="I197" t="s">
        <v>41</v>
      </c>
    </row>
    <row r="198" spans="1:9" x14ac:dyDescent="0.25">
      <c r="A198" s="19">
        <v>44103</v>
      </c>
    </row>
    <row r="199" spans="1:9" x14ac:dyDescent="0.25">
      <c r="A199" s="19">
        <v>44104</v>
      </c>
    </row>
    <row r="200" spans="1:9" x14ac:dyDescent="0.25">
      <c r="A200" s="19">
        <v>44105</v>
      </c>
    </row>
    <row r="201" spans="1:9" x14ac:dyDescent="0.25">
      <c r="A201" s="19">
        <v>44106</v>
      </c>
    </row>
    <row r="202" spans="1:9" x14ac:dyDescent="0.25">
      <c r="A202" s="19">
        <v>44107</v>
      </c>
    </row>
    <row r="203" spans="1:9" x14ac:dyDescent="0.25">
      <c r="A203" s="19">
        <v>44108</v>
      </c>
    </row>
    <row r="204" spans="1:9" x14ac:dyDescent="0.25">
      <c r="A204" s="19">
        <v>44109</v>
      </c>
    </row>
    <row r="205" spans="1:9" x14ac:dyDescent="0.25">
      <c r="A205" s="19">
        <v>44110</v>
      </c>
    </row>
    <row r="206" spans="1:9" x14ac:dyDescent="0.25">
      <c r="A206" s="19">
        <v>44111</v>
      </c>
    </row>
    <row r="207" spans="1:9" x14ac:dyDescent="0.25">
      <c r="A207" s="19">
        <v>44112</v>
      </c>
    </row>
    <row r="208" spans="1:9" x14ac:dyDescent="0.25">
      <c r="A208" s="19">
        <v>44113</v>
      </c>
    </row>
    <row r="209" spans="1:1" x14ac:dyDescent="0.25">
      <c r="A209" s="19">
        <v>44114</v>
      </c>
    </row>
    <row r="210" spans="1:1" x14ac:dyDescent="0.25">
      <c r="A210" s="19">
        <v>44115</v>
      </c>
    </row>
    <row r="211" spans="1:1" x14ac:dyDescent="0.25">
      <c r="A211" s="19">
        <v>44116</v>
      </c>
    </row>
    <row r="212" spans="1:1" x14ac:dyDescent="0.25">
      <c r="A212" s="19">
        <v>44117</v>
      </c>
    </row>
    <row r="213" spans="1:1" x14ac:dyDescent="0.25">
      <c r="A213" s="19">
        <v>44118</v>
      </c>
    </row>
    <row r="214" spans="1:1" x14ac:dyDescent="0.25">
      <c r="A214" s="19">
        <v>44119</v>
      </c>
    </row>
    <row r="215" spans="1:1" x14ac:dyDescent="0.25">
      <c r="A215" s="19">
        <v>44120</v>
      </c>
    </row>
    <row r="216" spans="1:1" x14ac:dyDescent="0.25">
      <c r="A216" s="19">
        <v>44121</v>
      </c>
    </row>
    <row r="217" spans="1:1" x14ac:dyDescent="0.25">
      <c r="A217" s="19">
        <v>44122</v>
      </c>
    </row>
    <row r="218" spans="1:1" x14ac:dyDescent="0.25">
      <c r="A218" s="19">
        <v>44123</v>
      </c>
    </row>
    <row r="219" spans="1:1" x14ac:dyDescent="0.25">
      <c r="A219" s="19">
        <v>44124</v>
      </c>
    </row>
    <row r="220" spans="1:1" x14ac:dyDescent="0.25">
      <c r="A220" s="19">
        <v>44125</v>
      </c>
    </row>
    <row r="221" spans="1:1" x14ac:dyDescent="0.25">
      <c r="A221" s="19">
        <v>44126</v>
      </c>
    </row>
    <row r="222" spans="1:1" x14ac:dyDescent="0.25">
      <c r="A222" s="19">
        <v>44127</v>
      </c>
    </row>
    <row r="223" spans="1:1" x14ac:dyDescent="0.25">
      <c r="A223" s="19">
        <v>44128</v>
      </c>
    </row>
    <row r="224" spans="1:1" x14ac:dyDescent="0.25">
      <c r="A224" s="19">
        <v>44129</v>
      </c>
    </row>
    <row r="225" spans="1:1" x14ac:dyDescent="0.25">
      <c r="A225" s="19">
        <v>44130</v>
      </c>
    </row>
    <row r="226" spans="1:1" x14ac:dyDescent="0.25">
      <c r="A226" s="19">
        <v>44131</v>
      </c>
    </row>
    <row r="227" spans="1:1" x14ac:dyDescent="0.25">
      <c r="A227" s="19">
        <v>44132</v>
      </c>
    </row>
    <row r="228" spans="1:1" x14ac:dyDescent="0.25">
      <c r="A228" s="19">
        <v>44133</v>
      </c>
    </row>
    <row r="229" spans="1:1" x14ac:dyDescent="0.25">
      <c r="A229" s="19">
        <v>44134</v>
      </c>
    </row>
    <row r="230" spans="1:1" x14ac:dyDescent="0.25">
      <c r="A230" s="19">
        <v>44135</v>
      </c>
    </row>
    <row r="231" spans="1:1" x14ac:dyDescent="0.25">
      <c r="A231" s="19">
        <v>44136</v>
      </c>
    </row>
    <row r="232" spans="1:1" x14ac:dyDescent="0.25">
      <c r="A232" s="19">
        <v>44137</v>
      </c>
    </row>
    <row r="233" spans="1:1" x14ac:dyDescent="0.25">
      <c r="A233" s="19">
        <v>44138</v>
      </c>
    </row>
    <row r="234" spans="1:1" x14ac:dyDescent="0.25">
      <c r="A234" s="19">
        <v>44139</v>
      </c>
    </row>
    <row r="235" spans="1:1" x14ac:dyDescent="0.25">
      <c r="A235" s="19">
        <v>44140</v>
      </c>
    </row>
    <row r="236" spans="1:1" x14ac:dyDescent="0.25">
      <c r="A236" s="19">
        <v>44141</v>
      </c>
    </row>
    <row r="237" spans="1:1" x14ac:dyDescent="0.25">
      <c r="A237" s="19">
        <v>44142</v>
      </c>
    </row>
    <row r="238" spans="1:1" x14ac:dyDescent="0.25">
      <c r="A238" s="19">
        <v>44143</v>
      </c>
    </row>
    <row r="239" spans="1:1" x14ac:dyDescent="0.25">
      <c r="A239" s="19">
        <v>44144</v>
      </c>
    </row>
    <row r="240" spans="1:1" x14ac:dyDescent="0.25">
      <c r="A240" s="19">
        <v>44145</v>
      </c>
    </row>
    <row r="241" spans="1:1" x14ac:dyDescent="0.25">
      <c r="A241" s="19">
        <v>44146</v>
      </c>
    </row>
    <row r="242" spans="1:1" x14ac:dyDescent="0.25">
      <c r="A242" s="19">
        <v>44147</v>
      </c>
    </row>
    <row r="243" spans="1:1" x14ac:dyDescent="0.25">
      <c r="A243" s="19">
        <v>44148</v>
      </c>
    </row>
    <row r="244" spans="1:1" x14ac:dyDescent="0.25">
      <c r="A244" s="19">
        <v>44149</v>
      </c>
    </row>
    <row r="245" spans="1:1" x14ac:dyDescent="0.25">
      <c r="A245" s="19">
        <v>44150</v>
      </c>
    </row>
    <row r="246" spans="1:1" x14ac:dyDescent="0.25">
      <c r="A246" s="19">
        <v>44151</v>
      </c>
    </row>
    <row r="247" spans="1:1" x14ac:dyDescent="0.25">
      <c r="A247" s="19">
        <v>44152</v>
      </c>
    </row>
    <row r="248" spans="1:1" x14ac:dyDescent="0.25">
      <c r="A248" s="19">
        <v>44153</v>
      </c>
    </row>
    <row r="249" spans="1:1" x14ac:dyDescent="0.25">
      <c r="A249" s="19">
        <v>44154</v>
      </c>
    </row>
    <row r="250" spans="1:1" x14ac:dyDescent="0.25">
      <c r="A250" s="19">
        <v>44155</v>
      </c>
    </row>
    <row r="251" spans="1:1" x14ac:dyDescent="0.25">
      <c r="A251" s="19">
        <v>44156</v>
      </c>
    </row>
    <row r="252" spans="1:1" x14ac:dyDescent="0.25">
      <c r="A252" s="19">
        <v>44157</v>
      </c>
    </row>
    <row r="253" spans="1:1" x14ac:dyDescent="0.25">
      <c r="A253" s="19">
        <v>44158</v>
      </c>
    </row>
    <row r="254" spans="1:1" x14ac:dyDescent="0.25">
      <c r="A254" s="19">
        <v>44159</v>
      </c>
    </row>
    <row r="255" spans="1:1" x14ac:dyDescent="0.25">
      <c r="A255" s="19">
        <v>44160</v>
      </c>
    </row>
    <row r="256" spans="1:1" x14ac:dyDescent="0.25">
      <c r="A256" s="19">
        <v>44161</v>
      </c>
    </row>
    <row r="257" spans="1:1" x14ac:dyDescent="0.25">
      <c r="A257" s="19">
        <v>44162</v>
      </c>
    </row>
    <row r="258" spans="1:1" x14ac:dyDescent="0.25">
      <c r="A258" s="19">
        <v>44163</v>
      </c>
    </row>
    <row r="259" spans="1:1" x14ac:dyDescent="0.25">
      <c r="A259" s="19">
        <v>44164</v>
      </c>
    </row>
    <row r="260" spans="1:1" x14ac:dyDescent="0.25">
      <c r="A260" s="19">
        <v>44165</v>
      </c>
    </row>
    <row r="261" spans="1:1" x14ac:dyDescent="0.25">
      <c r="A261" s="19">
        <v>44166</v>
      </c>
    </row>
    <row r="262" spans="1:1" x14ac:dyDescent="0.25">
      <c r="A262" s="19">
        <v>44167</v>
      </c>
    </row>
    <row r="263" spans="1:1" x14ac:dyDescent="0.25">
      <c r="A263" s="19">
        <v>44168</v>
      </c>
    </row>
    <row r="264" spans="1:1" x14ac:dyDescent="0.25">
      <c r="A264" s="19">
        <v>44169</v>
      </c>
    </row>
    <row r="265" spans="1:1" x14ac:dyDescent="0.25">
      <c r="A265" s="19">
        <v>44170</v>
      </c>
    </row>
    <row r="266" spans="1:1" x14ac:dyDescent="0.25">
      <c r="A266" s="19">
        <v>44171</v>
      </c>
    </row>
    <row r="267" spans="1:1" x14ac:dyDescent="0.25">
      <c r="A267" s="19">
        <v>44172</v>
      </c>
    </row>
    <row r="268" spans="1:1" x14ac:dyDescent="0.25">
      <c r="A268" s="19">
        <v>44173</v>
      </c>
    </row>
    <row r="269" spans="1:1" x14ac:dyDescent="0.25">
      <c r="A269" s="19">
        <v>44174</v>
      </c>
    </row>
    <row r="270" spans="1:1" x14ac:dyDescent="0.25">
      <c r="A270" s="19">
        <v>44175</v>
      </c>
    </row>
    <row r="271" spans="1:1" x14ac:dyDescent="0.25">
      <c r="A271" s="19">
        <v>44176</v>
      </c>
    </row>
    <row r="272" spans="1:1" x14ac:dyDescent="0.25">
      <c r="A272" s="19">
        <v>44177</v>
      </c>
    </row>
    <row r="273" spans="1:1" x14ac:dyDescent="0.25">
      <c r="A273" s="19">
        <v>44178</v>
      </c>
    </row>
    <row r="274" spans="1:1" x14ac:dyDescent="0.25">
      <c r="A274" s="19">
        <v>44179</v>
      </c>
    </row>
    <row r="275" spans="1:1" x14ac:dyDescent="0.25">
      <c r="A275" s="19">
        <v>44180</v>
      </c>
    </row>
    <row r="276" spans="1:1" x14ac:dyDescent="0.25">
      <c r="A276" s="19">
        <v>44181</v>
      </c>
    </row>
    <row r="277" spans="1:1" x14ac:dyDescent="0.25">
      <c r="A277" s="19">
        <v>44182</v>
      </c>
    </row>
    <row r="278" spans="1:1" x14ac:dyDescent="0.25">
      <c r="A278" s="19">
        <v>44183</v>
      </c>
    </row>
    <row r="279" spans="1:1" x14ac:dyDescent="0.25">
      <c r="A279" s="19">
        <v>44184</v>
      </c>
    </row>
    <row r="280" spans="1:1" x14ac:dyDescent="0.25">
      <c r="A280" s="19">
        <v>44185</v>
      </c>
    </row>
    <row r="281" spans="1:1" x14ac:dyDescent="0.25">
      <c r="A281" s="19">
        <v>44186</v>
      </c>
    </row>
    <row r="282" spans="1:1" x14ac:dyDescent="0.25">
      <c r="A282" s="19">
        <v>44187</v>
      </c>
    </row>
    <row r="283" spans="1:1" x14ac:dyDescent="0.25">
      <c r="A283" s="19">
        <v>44188</v>
      </c>
    </row>
    <row r="284" spans="1:1" x14ac:dyDescent="0.25">
      <c r="A284" s="19">
        <v>44189</v>
      </c>
    </row>
    <row r="285" spans="1:1" x14ac:dyDescent="0.25">
      <c r="A285" s="19">
        <v>44190</v>
      </c>
    </row>
    <row r="286" spans="1:1" x14ac:dyDescent="0.25">
      <c r="A286" s="19">
        <v>44191</v>
      </c>
    </row>
    <row r="287" spans="1:1" x14ac:dyDescent="0.25">
      <c r="A287" s="19">
        <v>44192</v>
      </c>
    </row>
    <row r="288" spans="1:1" x14ac:dyDescent="0.25">
      <c r="A288" s="19">
        <v>44193</v>
      </c>
    </row>
    <row r="289" spans="1:1" x14ac:dyDescent="0.25">
      <c r="A289" s="19">
        <v>44194</v>
      </c>
    </row>
    <row r="290" spans="1:1" x14ac:dyDescent="0.25">
      <c r="A290" s="19">
        <v>44195</v>
      </c>
    </row>
    <row r="291" spans="1:1" x14ac:dyDescent="0.25">
      <c r="A291" s="19">
        <v>44196</v>
      </c>
    </row>
    <row r="292" spans="1:1" x14ac:dyDescent="0.25">
      <c r="A292" s="19">
        <v>44197</v>
      </c>
    </row>
    <row r="293" spans="1:1" x14ac:dyDescent="0.25">
      <c r="A293" s="19">
        <v>44198</v>
      </c>
    </row>
    <row r="294" spans="1:1" x14ac:dyDescent="0.25">
      <c r="A294" s="19">
        <v>44199</v>
      </c>
    </row>
    <row r="295" spans="1:1" x14ac:dyDescent="0.25">
      <c r="A295" s="19">
        <v>44200</v>
      </c>
    </row>
    <row r="296" spans="1:1" x14ac:dyDescent="0.25">
      <c r="A296" s="19">
        <v>44201</v>
      </c>
    </row>
    <row r="297" spans="1:1" x14ac:dyDescent="0.25">
      <c r="A297" s="19">
        <v>44202</v>
      </c>
    </row>
    <row r="298" spans="1:1" x14ac:dyDescent="0.25">
      <c r="A298" s="19">
        <v>44203</v>
      </c>
    </row>
    <row r="299" spans="1:1" x14ac:dyDescent="0.25">
      <c r="A299" s="19">
        <v>44204</v>
      </c>
    </row>
    <row r="300" spans="1:1" x14ac:dyDescent="0.25">
      <c r="A300" s="19">
        <v>44205</v>
      </c>
    </row>
    <row r="301" spans="1:1" x14ac:dyDescent="0.25">
      <c r="A301" s="19">
        <v>44206</v>
      </c>
    </row>
    <row r="302" spans="1:1" x14ac:dyDescent="0.25">
      <c r="A302" s="19">
        <v>44207</v>
      </c>
    </row>
    <row r="303" spans="1:1" x14ac:dyDescent="0.25">
      <c r="A303" s="19">
        <v>44208</v>
      </c>
    </row>
    <row r="304" spans="1:1" x14ac:dyDescent="0.25">
      <c r="A304" s="19">
        <v>44209</v>
      </c>
    </row>
    <row r="305" spans="1:1" x14ac:dyDescent="0.25">
      <c r="A305" s="19">
        <v>44210</v>
      </c>
    </row>
    <row r="306" spans="1:1" x14ac:dyDescent="0.25">
      <c r="A306" s="19">
        <v>44211</v>
      </c>
    </row>
    <row r="307" spans="1:1" x14ac:dyDescent="0.25">
      <c r="A307" s="19">
        <v>44212</v>
      </c>
    </row>
    <row r="308" spans="1:1" x14ac:dyDescent="0.25">
      <c r="A308" s="19">
        <v>44213</v>
      </c>
    </row>
    <row r="309" spans="1:1" x14ac:dyDescent="0.25">
      <c r="A309" s="19">
        <v>44214</v>
      </c>
    </row>
    <row r="310" spans="1:1" x14ac:dyDescent="0.25">
      <c r="A310" s="19">
        <v>44215</v>
      </c>
    </row>
    <row r="311" spans="1:1" x14ac:dyDescent="0.25">
      <c r="A311" s="19">
        <v>44216</v>
      </c>
    </row>
    <row r="312" spans="1:1" x14ac:dyDescent="0.25">
      <c r="A312" s="19">
        <v>44217</v>
      </c>
    </row>
    <row r="313" spans="1:1" x14ac:dyDescent="0.25">
      <c r="A313" s="19">
        <v>44218</v>
      </c>
    </row>
    <row r="314" spans="1:1" x14ac:dyDescent="0.25">
      <c r="A314" s="19">
        <v>44219</v>
      </c>
    </row>
    <row r="315" spans="1:1" x14ac:dyDescent="0.25">
      <c r="A315" s="19">
        <v>44220</v>
      </c>
    </row>
    <row r="316" spans="1:1" x14ac:dyDescent="0.25">
      <c r="A316" s="19">
        <v>44221</v>
      </c>
    </row>
    <row r="317" spans="1:1" x14ac:dyDescent="0.25">
      <c r="A317" s="19">
        <v>44222</v>
      </c>
    </row>
    <row r="318" spans="1:1" x14ac:dyDescent="0.25">
      <c r="A318" s="19">
        <v>44223</v>
      </c>
    </row>
    <row r="319" spans="1:1" x14ac:dyDescent="0.25">
      <c r="A319" s="19">
        <v>44224</v>
      </c>
    </row>
    <row r="320" spans="1:1" x14ac:dyDescent="0.25">
      <c r="A320" s="19">
        <v>44225</v>
      </c>
    </row>
    <row r="321" spans="1:1" x14ac:dyDescent="0.25">
      <c r="A321" s="19">
        <v>44226</v>
      </c>
    </row>
    <row r="322" spans="1:1" x14ac:dyDescent="0.25">
      <c r="A322" s="19">
        <v>44227</v>
      </c>
    </row>
    <row r="323" spans="1:1" x14ac:dyDescent="0.25">
      <c r="A323" s="19">
        <v>44228</v>
      </c>
    </row>
    <row r="324" spans="1:1" x14ac:dyDescent="0.25">
      <c r="A324" s="19">
        <v>44229</v>
      </c>
    </row>
    <row r="325" spans="1:1" x14ac:dyDescent="0.25">
      <c r="A325" s="19">
        <v>44230</v>
      </c>
    </row>
    <row r="326" spans="1:1" x14ac:dyDescent="0.25">
      <c r="A326" s="19">
        <v>44231</v>
      </c>
    </row>
    <row r="327" spans="1:1" x14ac:dyDescent="0.25">
      <c r="A327" s="19">
        <v>44232</v>
      </c>
    </row>
    <row r="328" spans="1:1" x14ac:dyDescent="0.25">
      <c r="A328" s="19">
        <v>44233</v>
      </c>
    </row>
    <row r="329" spans="1:1" x14ac:dyDescent="0.25">
      <c r="A329" s="19">
        <v>44234</v>
      </c>
    </row>
    <row r="330" spans="1:1" x14ac:dyDescent="0.25">
      <c r="A330" s="19">
        <v>44235</v>
      </c>
    </row>
    <row r="331" spans="1:1" x14ac:dyDescent="0.25">
      <c r="A331" s="19">
        <v>44236</v>
      </c>
    </row>
    <row r="332" spans="1:1" x14ac:dyDescent="0.25">
      <c r="A332" s="19">
        <v>44237</v>
      </c>
    </row>
    <row r="333" spans="1:1" x14ac:dyDescent="0.25">
      <c r="A333" s="19">
        <v>44238</v>
      </c>
    </row>
    <row r="334" spans="1:1" x14ac:dyDescent="0.25">
      <c r="A334" s="19">
        <v>44239</v>
      </c>
    </row>
    <row r="335" spans="1:1" x14ac:dyDescent="0.25">
      <c r="A335" s="19">
        <v>44240</v>
      </c>
    </row>
    <row r="336" spans="1:1" x14ac:dyDescent="0.25">
      <c r="A336" s="19">
        <v>44241</v>
      </c>
    </row>
    <row r="337" spans="1:3" x14ac:dyDescent="0.25">
      <c r="A337" s="19">
        <v>44242</v>
      </c>
    </row>
    <row r="338" spans="1:3" x14ac:dyDescent="0.25">
      <c r="A338" s="19">
        <v>44243</v>
      </c>
    </row>
    <row r="339" spans="1:3" x14ac:dyDescent="0.25">
      <c r="A339" s="19">
        <v>44244</v>
      </c>
    </row>
    <row r="340" spans="1:3" x14ac:dyDescent="0.25">
      <c r="A340" s="19">
        <v>44245</v>
      </c>
    </row>
    <row r="341" spans="1:3" x14ac:dyDescent="0.25">
      <c r="A341" s="19">
        <v>44246</v>
      </c>
    </row>
    <row r="342" spans="1:3" x14ac:dyDescent="0.25">
      <c r="A342" s="19">
        <v>44247</v>
      </c>
    </row>
    <row r="343" spans="1:3" x14ac:dyDescent="0.25">
      <c r="A343" s="19">
        <v>44248</v>
      </c>
    </row>
    <row r="344" spans="1:3" x14ac:dyDescent="0.25">
      <c r="A344" s="19">
        <v>44249</v>
      </c>
    </row>
    <row r="345" spans="1:3" x14ac:dyDescent="0.25">
      <c r="A345" s="19">
        <v>44250</v>
      </c>
    </row>
    <row r="346" spans="1:3" x14ac:dyDescent="0.25">
      <c r="A346" s="19">
        <v>44251</v>
      </c>
    </row>
    <row r="347" spans="1:3" x14ac:dyDescent="0.25">
      <c r="A347" s="19">
        <v>44252</v>
      </c>
    </row>
    <row r="348" spans="1:3" x14ac:dyDescent="0.25">
      <c r="A348" s="19">
        <v>44253</v>
      </c>
    </row>
    <row r="349" spans="1:3" x14ac:dyDescent="0.25">
      <c r="A349" s="19">
        <v>44254</v>
      </c>
    </row>
    <row r="350" spans="1:3" x14ac:dyDescent="0.25">
      <c r="A350" s="19">
        <v>44255</v>
      </c>
    </row>
    <row r="351" spans="1:3" x14ac:dyDescent="0.25">
      <c r="A351" s="19">
        <v>44256</v>
      </c>
      <c r="C351" s="396">
        <v>59.7</v>
      </c>
    </row>
    <row r="352" spans="1:3" x14ac:dyDescent="0.25">
      <c r="A352" s="19">
        <v>44257</v>
      </c>
      <c r="C352" s="396">
        <v>60</v>
      </c>
    </row>
    <row r="353" spans="1:3" x14ac:dyDescent="0.25">
      <c r="A353" s="19">
        <v>44258</v>
      </c>
      <c r="C353" s="396">
        <v>59.3</v>
      </c>
    </row>
    <row r="354" spans="1:3" x14ac:dyDescent="0.25">
      <c r="A354" s="19">
        <v>44259</v>
      </c>
      <c r="C354" s="396">
        <v>59</v>
      </c>
    </row>
    <row r="355" spans="1:3" x14ac:dyDescent="0.25">
      <c r="A355" s="19">
        <v>44260</v>
      </c>
      <c r="C355" s="396">
        <v>59.3</v>
      </c>
    </row>
    <row r="356" spans="1:3" x14ac:dyDescent="0.25">
      <c r="A356" s="19">
        <v>44261</v>
      </c>
      <c r="C356" s="396">
        <v>59.7</v>
      </c>
    </row>
    <row r="357" spans="1:3" x14ac:dyDescent="0.25">
      <c r="A357" s="19">
        <v>44262</v>
      </c>
      <c r="C357" s="396">
        <v>59</v>
      </c>
    </row>
    <row r="358" spans="1:3" x14ac:dyDescent="0.25">
      <c r="A358" s="19">
        <v>44263</v>
      </c>
      <c r="C358" s="396">
        <v>59.5</v>
      </c>
    </row>
    <row r="359" spans="1:3" x14ac:dyDescent="0.25">
      <c r="A359" s="19">
        <v>44264</v>
      </c>
      <c r="C359" s="396">
        <v>60.1</v>
      </c>
    </row>
    <row r="360" spans="1:3" x14ac:dyDescent="0.25">
      <c r="A360" s="19">
        <v>44265</v>
      </c>
      <c r="C360" s="396">
        <v>59.4</v>
      </c>
    </row>
    <row r="361" spans="1:3" x14ac:dyDescent="0.25">
      <c r="A361" s="19">
        <v>44266</v>
      </c>
      <c r="C361" s="396">
        <v>60</v>
      </c>
    </row>
    <row r="362" spans="1:3" x14ac:dyDescent="0.25">
      <c r="A362" s="19">
        <v>44267</v>
      </c>
      <c r="C362" s="396">
        <v>60</v>
      </c>
    </row>
    <row r="363" spans="1:3" x14ac:dyDescent="0.25">
      <c r="A363" s="19">
        <v>44268</v>
      </c>
      <c r="C363" s="396">
        <v>60</v>
      </c>
    </row>
    <row r="364" spans="1:3" x14ac:dyDescent="0.25">
      <c r="A364" s="19">
        <v>44269</v>
      </c>
      <c r="C364" s="396">
        <v>59.4</v>
      </c>
    </row>
    <row r="365" spans="1:3" x14ac:dyDescent="0.25">
      <c r="A365" s="19">
        <v>44270</v>
      </c>
      <c r="C365" s="396">
        <v>58.6</v>
      </c>
    </row>
    <row r="366" spans="1:3" x14ac:dyDescent="0.25">
      <c r="A366" s="19">
        <v>44271</v>
      </c>
      <c r="C366" s="396">
        <v>59.4</v>
      </c>
    </row>
    <row r="367" spans="1:3" x14ac:dyDescent="0.25">
      <c r="A367" s="19">
        <v>44272</v>
      </c>
      <c r="C367" s="396">
        <v>59.8</v>
      </c>
    </row>
    <row r="368" spans="1:3" x14ac:dyDescent="0.25">
      <c r="A368" s="19">
        <v>44273</v>
      </c>
      <c r="C368" s="396">
        <v>61.5</v>
      </c>
    </row>
    <row r="369" spans="1:3" x14ac:dyDescent="0.25">
      <c r="A369" s="19">
        <v>44274</v>
      </c>
      <c r="C369" s="396">
        <v>60.8</v>
      </c>
    </row>
    <row r="370" spans="1:3" x14ac:dyDescent="0.25">
      <c r="A370" s="19">
        <v>44275</v>
      </c>
      <c r="C370" s="396">
        <v>60.7</v>
      </c>
    </row>
    <row r="371" spans="1:3" x14ac:dyDescent="0.25">
      <c r="A371" s="19">
        <v>44276</v>
      </c>
      <c r="C371" s="396">
        <v>59.9</v>
      </c>
    </row>
    <row r="372" spans="1:3" x14ac:dyDescent="0.25">
      <c r="A372" s="19">
        <v>44277</v>
      </c>
      <c r="C372" s="396">
        <v>58.1</v>
      </c>
    </row>
    <row r="373" spans="1:3" x14ac:dyDescent="0.25">
      <c r="A373" s="19">
        <v>44278</v>
      </c>
      <c r="C373" s="396">
        <v>58.5</v>
      </c>
    </row>
    <row r="374" spans="1:3" x14ac:dyDescent="0.25">
      <c r="A374" s="19">
        <v>44279</v>
      </c>
      <c r="C374" s="396">
        <v>59.2</v>
      </c>
    </row>
    <row r="375" spans="1:3" x14ac:dyDescent="0.25">
      <c r="A375" s="19">
        <v>44280</v>
      </c>
      <c r="C375" s="396">
        <v>57.8</v>
      </c>
    </row>
    <row r="376" spans="1:3" x14ac:dyDescent="0.25">
      <c r="A376" s="19">
        <v>44281</v>
      </c>
      <c r="C376" s="396">
        <v>58.6</v>
      </c>
    </row>
    <row r="377" spans="1:3" x14ac:dyDescent="0.25">
      <c r="A377" s="19">
        <v>44282</v>
      </c>
      <c r="C377" s="396">
        <v>59.9</v>
      </c>
    </row>
    <row r="378" spans="1:3" x14ac:dyDescent="0.25">
      <c r="A378" s="19">
        <v>44283</v>
      </c>
      <c r="C378" s="396">
        <v>59.9</v>
      </c>
    </row>
    <row r="379" spans="1:3" x14ac:dyDescent="0.25">
      <c r="A379" s="19">
        <v>44284</v>
      </c>
      <c r="C379" s="396">
        <v>60.3</v>
      </c>
    </row>
    <row r="380" spans="1:3" x14ac:dyDescent="0.25">
      <c r="A380" s="19">
        <v>44285</v>
      </c>
      <c r="C380" s="396">
        <v>61</v>
      </c>
    </row>
    <row r="381" spans="1:3" x14ac:dyDescent="0.25">
      <c r="A381" s="19">
        <v>44286</v>
      </c>
      <c r="C381" s="396">
        <v>61.5</v>
      </c>
    </row>
    <row r="382" spans="1:3" x14ac:dyDescent="0.25">
      <c r="A382" s="19">
        <v>44287</v>
      </c>
      <c r="C382" s="396">
        <v>61.6</v>
      </c>
    </row>
    <row r="383" spans="1:3" x14ac:dyDescent="0.25">
      <c r="A383" s="19">
        <v>44288</v>
      </c>
      <c r="C383" s="396">
        <v>61.9</v>
      </c>
    </row>
    <row r="384" spans="1:3" x14ac:dyDescent="0.25">
      <c r="A384" s="19">
        <v>44289</v>
      </c>
      <c r="C384" s="396">
        <v>61.4</v>
      </c>
    </row>
    <row r="385" spans="1:3" x14ac:dyDescent="0.25">
      <c r="A385" s="19">
        <v>44290</v>
      </c>
      <c r="C385" s="396">
        <v>61.5</v>
      </c>
    </row>
    <row r="386" spans="1:3" x14ac:dyDescent="0.25">
      <c r="A386" s="19">
        <v>44291</v>
      </c>
      <c r="C386" s="396">
        <v>62</v>
      </c>
    </row>
    <row r="387" spans="1:3" x14ac:dyDescent="0.25">
      <c r="A387" s="19">
        <v>44292</v>
      </c>
      <c r="C387" s="396">
        <v>63.5</v>
      </c>
    </row>
    <row r="388" spans="1:3" x14ac:dyDescent="0.25">
      <c r="A388" s="19">
        <v>44293</v>
      </c>
      <c r="C388" s="396">
        <v>64.5</v>
      </c>
    </row>
    <row r="389" spans="1:3" x14ac:dyDescent="0.25">
      <c r="A389" s="19">
        <v>44294</v>
      </c>
      <c r="C389" s="396">
        <v>66.099999999999994</v>
      </c>
    </row>
    <row r="390" spans="1:3" x14ac:dyDescent="0.25">
      <c r="A390" s="19">
        <v>44295</v>
      </c>
      <c r="C390">
        <v>67</v>
      </c>
    </row>
    <row r="391" spans="1:3" x14ac:dyDescent="0.25">
      <c r="A391" s="19">
        <v>44296</v>
      </c>
      <c r="B391">
        <v>59.3</v>
      </c>
      <c r="C391">
        <v>68.099999999999994</v>
      </c>
    </row>
    <row r="392" spans="1:3" x14ac:dyDescent="0.25">
      <c r="A392" s="19">
        <v>44297</v>
      </c>
    </row>
    <row r="393" spans="1:3" x14ac:dyDescent="0.25">
      <c r="A393" s="19">
        <v>44298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849C-765B-42DA-A42F-66367EEE7095}">
  <dimension ref="A1:C42"/>
  <sheetViews>
    <sheetView topLeftCell="A28" workbookViewId="0">
      <selection activeCell="C39" sqref="C39"/>
    </sheetView>
  </sheetViews>
  <sheetFormatPr baseColWidth="10" defaultRowHeight="15" x14ac:dyDescent="0.25"/>
  <sheetData>
    <row r="1" spans="1:3" x14ac:dyDescent="0.25">
      <c r="A1" t="s">
        <v>26</v>
      </c>
      <c r="B1" t="s">
        <v>266</v>
      </c>
      <c r="C1" t="s">
        <v>267</v>
      </c>
    </row>
    <row r="2" spans="1:3" x14ac:dyDescent="0.25">
      <c r="A2" s="19">
        <v>44256</v>
      </c>
      <c r="B2" s="396"/>
      <c r="C2" s="396">
        <v>59.7</v>
      </c>
    </row>
    <row r="3" spans="1:3" x14ac:dyDescent="0.25">
      <c r="A3" s="19">
        <v>44257</v>
      </c>
      <c r="B3" s="396"/>
      <c r="C3" s="396">
        <v>60</v>
      </c>
    </row>
    <row r="4" spans="1:3" x14ac:dyDescent="0.25">
      <c r="A4" s="19">
        <v>44258</v>
      </c>
      <c r="B4" s="396"/>
      <c r="C4" s="396">
        <v>59.3</v>
      </c>
    </row>
    <row r="5" spans="1:3" x14ac:dyDescent="0.25">
      <c r="A5" s="19">
        <v>44259</v>
      </c>
      <c r="B5" s="396"/>
      <c r="C5" s="396">
        <v>59</v>
      </c>
    </row>
    <row r="6" spans="1:3" x14ac:dyDescent="0.25">
      <c r="A6" s="19">
        <v>44260</v>
      </c>
      <c r="B6" s="396"/>
      <c r="C6" s="396">
        <v>59.3</v>
      </c>
    </row>
    <row r="7" spans="1:3" x14ac:dyDescent="0.25">
      <c r="A7" s="19">
        <v>44261</v>
      </c>
      <c r="B7" s="396"/>
      <c r="C7" s="396">
        <v>59.7</v>
      </c>
    </row>
    <row r="8" spans="1:3" x14ac:dyDescent="0.25">
      <c r="A8" s="19">
        <v>44262</v>
      </c>
      <c r="B8" s="396"/>
      <c r="C8" s="396">
        <v>59</v>
      </c>
    </row>
    <row r="9" spans="1:3" x14ac:dyDescent="0.25">
      <c r="A9" s="19">
        <v>44263</v>
      </c>
      <c r="B9" s="396"/>
      <c r="C9" s="396">
        <v>59.5</v>
      </c>
    </row>
    <row r="10" spans="1:3" x14ac:dyDescent="0.25">
      <c r="A10" s="19">
        <v>44264</v>
      </c>
      <c r="B10" s="396"/>
      <c r="C10" s="396">
        <v>60.1</v>
      </c>
    </row>
    <row r="11" spans="1:3" x14ac:dyDescent="0.25">
      <c r="A11" s="19">
        <v>44265</v>
      </c>
      <c r="B11" s="396"/>
      <c r="C11" s="396">
        <v>59.4</v>
      </c>
    </row>
    <row r="12" spans="1:3" x14ac:dyDescent="0.25">
      <c r="A12" s="19">
        <v>44266</v>
      </c>
      <c r="B12" s="396"/>
      <c r="C12" s="396">
        <v>60</v>
      </c>
    </row>
    <row r="13" spans="1:3" x14ac:dyDescent="0.25">
      <c r="A13" s="19">
        <v>44267</v>
      </c>
      <c r="B13" s="396"/>
      <c r="C13" s="396">
        <v>60</v>
      </c>
    </row>
    <row r="14" spans="1:3" x14ac:dyDescent="0.25">
      <c r="A14" s="19">
        <v>44268</v>
      </c>
      <c r="B14" s="396"/>
      <c r="C14" s="396">
        <v>60</v>
      </c>
    </row>
    <row r="15" spans="1:3" x14ac:dyDescent="0.25">
      <c r="A15" s="19">
        <v>44269</v>
      </c>
      <c r="B15" s="396"/>
      <c r="C15" s="396">
        <v>59.4</v>
      </c>
    </row>
    <row r="16" spans="1:3" x14ac:dyDescent="0.25">
      <c r="A16" s="19">
        <v>44270</v>
      </c>
      <c r="B16" s="396"/>
      <c r="C16" s="396">
        <v>58.6</v>
      </c>
    </row>
    <row r="17" spans="1:3" x14ac:dyDescent="0.25">
      <c r="A17" s="19">
        <v>44271</v>
      </c>
      <c r="B17" s="396"/>
      <c r="C17" s="396">
        <v>59.4</v>
      </c>
    </row>
    <row r="18" spans="1:3" x14ac:dyDescent="0.25">
      <c r="A18" s="19">
        <v>44272</v>
      </c>
      <c r="B18" s="396"/>
      <c r="C18" s="396">
        <v>59.8</v>
      </c>
    </row>
    <row r="19" spans="1:3" x14ac:dyDescent="0.25">
      <c r="A19" s="19">
        <v>44273</v>
      </c>
      <c r="B19" s="396"/>
      <c r="C19" s="396">
        <v>61.5</v>
      </c>
    </row>
    <row r="20" spans="1:3" x14ac:dyDescent="0.25">
      <c r="A20" s="19">
        <v>44274</v>
      </c>
      <c r="B20" s="396"/>
      <c r="C20" s="396">
        <v>60.8</v>
      </c>
    </row>
    <row r="21" spans="1:3" x14ac:dyDescent="0.25">
      <c r="A21" s="19">
        <v>44275</v>
      </c>
      <c r="B21" s="396"/>
      <c r="C21" s="396">
        <v>60.7</v>
      </c>
    </row>
    <row r="22" spans="1:3" x14ac:dyDescent="0.25">
      <c r="A22" s="19">
        <v>44276</v>
      </c>
      <c r="B22" s="396"/>
      <c r="C22" s="396">
        <v>59.9</v>
      </c>
    </row>
    <row r="23" spans="1:3" x14ac:dyDescent="0.25">
      <c r="A23" s="19">
        <v>44277</v>
      </c>
      <c r="B23" s="396"/>
      <c r="C23" s="396">
        <v>58.1</v>
      </c>
    </row>
    <row r="24" spans="1:3" x14ac:dyDescent="0.25">
      <c r="A24" s="19">
        <v>44278</v>
      </c>
      <c r="B24" s="396"/>
      <c r="C24" s="396">
        <v>58.5</v>
      </c>
    </row>
    <row r="25" spans="1:3" x14ac:dyDescent="0.25">
      <c r="A25" s="19">
        <v>44279</v>
      </c>
      <c r="B25" s="396"/>
      <c r="C25" s="396">
        <v>59.2</v>
      </c>
    </row>
    <row r="26" spans="1:3" x14ac:dyDescent="0.25">
      <c r="A26" s="19">
        <v>44280</v>
      </c>
      <c r="B26" s="396"/>
      <c r="C26" s="396">
        <v>57.8</v>
      </c>
    </row>
    <row r="27" spans="1:3" x14ac:dyDescent="0.25">
      <c r="A27" s="19">
        <v>44281</v>
      </c>
      <c r="B27" s="396"/>
      <c r="C27" s="396">
        <v>58.6</v>
      </c>
    </row>
    <row r="28" spans="1:3" x14ac:dyDescent="0.25">
      <c r="A28" s="19">
        <v>44282</v>
      </c>
      <c r="B28" s="396"/>
      <c r="C28" s="396">
        <v>59.9</v>
      </c>
    </row>
    <row r="29" spans="1:3" x14ac:dyDescent="0.25">
      <c r="A29" s="19">
        <v>44283</v>
      </c>
      <c r="B29" s="396"/>
      <c r="C29" s="396">
        <v>59.9</v>
      </c>
    </row>
    <row r="30" spans="1:3" x14ac:dyDescent="0.25">
      <c r="A30" s="19">
        <v>44284</v>
      </c>
      <c r="B30" s="396"/>
      <c r="C30" s="396">
        <v>60.3</v>
      </c>
    </row>
    <row r="31" spans="1:3" x14ac:dyDescent="0.25">
      <c r="A31" s="19">
        <v>44285</v>
      </c>
      <c r="B31" s="396"/>
      <c r="C31" s="396">
        <v>61</v>
      </c>
    </row>
    <row r="32" spans="1:3" x14ac:dyDescent="0.25">
      <c r="A32" s="19">
        <v>44286</v>
      </c>
      <c r="B32" s="396"/>
      <c r="C32" s="396">
        <v>61.5</v>
      </c>
    </row>
    <row r="33" spans="1:3" x14ac:dyDescent="0.25">
      <c r="A33" s="19">
        <v>44287</v>
      </c>
      <c r="B33" s="396"/>
      <c r="C33" s="396">
        <v>61.6</v>
      </c>
    </row>
    <row r="34" spans="1:3" x14ac:dyDescent="0.25">
      <c r="A34" s="19">
        <v>44288</v>
      </c>
      <c r="B34" s="396"/>
      <c r="C34" s="396">
        <v>61.9</v>
      </c>
    </row>
    <row r="35" spans="1:3" x14ac:dyDescent="0.25">
      <c r="A35" s="19">
        <v>44289</v>
      </c>
      <c r="B35" s="396"/>
      <c r="C35" s="396">
        <v>61.4</v>
      </c>
    </row>
    <row r="36" spans="1:3" x14ac:dyDescent="0.25">
      <c r="A36" s="19">
        <v>44290</v>
      </c>
      <c r="B36" s="396"/>
      <c r="C36" s="396">
        <v>61.5</v>
      </c>
    </row>
    <row r="37" spans="1:3" x14ac:dyDescent="0.25">
      <c r="A37" s="19">
        <v>44291</v>
      </c>
      <c r="B37" s="396"/>
      <c r="C37" s="396">
        <v>62</v>
      </c>
    </row>
    <row r="38" spans="1:3" x14ac:dyDescent="0.25">
      <c r="A38" s="19">
        <v>44292</v>
      </c>
      <c r="B38" s="396"/>
      <c r="C38" s="396">
        <v>63.5</v>
      </c>
    </row>
    <row r="39" spans="1:3" x14ac:dyDescent="0.25">
      <c r="A39" s="19">
        <v>44293</v>
      </c>
      <c r="B39" s="396">
        <v>58.1</v>
      </c>
      <c r="C39" s="396">
        <v>64.5</v>
      </c>
    </row>
    <row r="40" spans="1:3" x14ac:dyDescent="0.25">
      <c r="A40" s="19">
        <v>44294</v>
      </c>
      <c r="B40" s="396">
        <v>58.8</v>
      </c>
      <c r="C40" s="396">
        <v>66.099999999999994</v>
      </c>
    </row>
    <row r="41" spans="1:3" x14ac:dyDescent="0.25">
      <c r="A41" s="19">
        <v>44295</v>
      </c>
      <c r="B41" s="396">
        <v>59.1</v>
      </c>
      <c r="C41" s="396">
        <v>67</v>
      </c>
    </row>
    <row r="42" spans="1:3" x14ac:dyDescent="0.25">
      <c r="A42" s="19">
        <v>44296</v>
      </c>
      <c r="B42" s="396">
        <v>59.3</v>
      </c>
      <c r="C42" s="396">
        <v>68.099999999999994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M9698"/>
  <sheetViews>
    <sheetView zoomScale="85" zoomScaleNormal="85" workbookViewId="0">
      <pane ySplit="1" topLeftCell="A9679" activePane="bottomLeft" state="frozen"/>
      <selection activeCell="H388" sqref="H388"/>
      <selection pane="bottomLeft" activeCell="H9688" sqref="H9688"/>
    </sheetView>
  </sheetViews>
  <sheetFormatPr baseColWidth="10" defaultRowHeight="15" x14ac:dyDescent="0.25"/>
  <cols>
    <col min="1" max="1" width="15.28515625" style="42" customWidth="1"/>
    <col min="2" max="2" width="10.5703125" style="4" customWidth="1"/>
    <col min="3" max="3" width="7.5703125" style="4" customWidth="1"/>
    <col min="4" max="4" width="11.42578125" style="21" customWidth="1"/>
    <col min="5" max="5" width="6.42578125" style="4" customWidth="1"/>
    <col min="6" max="6" width="11.7109375" style="101" customWidth="1"/>
    <col min="7" max="8" width="11.85546875" bestFit="1" customWidth="1"/>
    <col min="9" max="9" width="9.140625" customWidth="1"/>
    <col min="10" max="10" width="16.5703125" customWidth="1"/>
    <col min="12" max="12" width="14" bestFit="1" customWidth="1"/>
  </cols>
  <sheetData>
    <row r="1" spans="1:8" x14ac:dyDescent="0.25">
      <c r="A1" s="60" t="s">
        <v>25</v>
      </c>
      <c r="B1" s="30" t="s">
        <v>26</v>
      </c>
      <c r="C1" s="30" t="s">
        <v>27</v>
      </c>
      <c r="D1" s="59" t="s">
        <v>28</v>
      </c>
      <c r="E1" s="58" t="s">
        <v>107</v>
      </c>
      <c r="F1" s="99" t="s">
        <v>123</v>
      </c>
      <c r="G1" s="92" t="s">
        <v>137</v>
      </c>
      <c r="H1" s="92" t="s">
        <v>144</v>
      </c>
    </row>
    <row r="2" spans="1:8" x14ac:dyDescent="0.25">
      <c r="A2" s="42" t="s">
        <v>17</v>
      </c>
      <c r="B2" s="19">
        <v>43893</v>
      </c>
      <c r="C2" s="4">
        <v>0</v>
      </c>
      <c r="D2" s="21">
        <v>0</v>
      </c>
      <c r="F2" s="57"/>
    </row>
    <row r="3" spans="1:8" x14ac:dyDescent="0.25">
      <c r="A3" s="5" t="s">
        <v>29</v>
      </c>
      <c r="B3" s="19">
        <v>43893</v>
      </c>
      <c r="C3" s="4">
        <v>0</v>
      </c>
      <c r="D3" s="21">
        <v>0</v>
      </c>
      <c r="F3" s="57"/>
    </row>
    <row r="4" spans="1:8" x14ac:dyDescent="0.25">
      <c r="A4" s="5" t="s">
        <v>16</v>
      </c>
      <c r="B4" s="19">
        <v>43893</v>
      </c>
      <c r="C4" s="4">
        <v>0</v>
      </c>
      <c r="D4" s="21">
        <v>0</v>
      </c>
      <c r="F4" s="57"/>
    </row>
    <row r="5" spans="1:8" x14ac:dyDescent="0.25">
      <c r="A5" s="5" t="s">
        <v>30</v>
      </c>
      <c r="B5" s="19">
        <v>43893</v>
      </c>
      <c r="C5" s="4">
        <v>0</v>
      </c>
      <c r="D5" s="21">
        <v>0</v>
      </c>
      <c r="F5" s="57"/>
    </row>
    <row r="6" spans="1:8" x14ac:dyDescent="0.25">
      <c r="A6" s="5" t="s">
        <v>44</v>
      </c>
      <c r="B6" s="19">
        <v>43893</v>
      </c>
      <c r="C6" s="4">
        <v>1</v>
      </c>
      <c r="D6" s="21">
        <v>1</v>
      </c>
      <c r="F6" s="57"/>
    </row>
    <row r="7" spans="1:8" x14ac:dyDescent="0.25">
      <c r="A7" s="5" t="s">
        <v>21</v>
      </c>
      <c r="B7" s="19">
        <v>43893</v>
      </c>
      <c r="C7" s="4">
        <v>0</v>
      </c>
      <c r="D7" s="21">
        <v>0</v>
      </c>
      <c r="F7" s="57"/>
    </row>
    <row r="8" spans="1:8" x14ac:dyDescent="0.25">
      <c r="A8" s="5" t="s">
        <v>31</v>
      </c>
      <c r="B8" s="19">
        <v>43893</v>
      </c>
      <c r="C8" s="4">
        <v>0</v>
      </c>
      <c r="D8" s="21">
        <v>0</v>
      </c>
      <c r="F8" s="57"/>
    </row>
    <row r="9" spans="1:8" x14ac:dyDescent="0.25">
      <c r="A9" s="5" t="s">
        <v>32</v>
      </c>
      <c r="B9" s="19">
        <v>43893</v>
      </c>
      <c r="C9" s="4">
        <v>0</v>
      </c>
      <c r="D9" s="21">
        <v>0</v>
      </c>
      <c r="F9" s="57"/>
    </row>
    <row r="10" spans="1:8" x14ac:dyDescent="0.25">
      <c r="A10" s="5" t="s">
        <v>42</v>
      </c>
      <c r="B10" s="19">
        <v>43893</v>
      </c>
      <c r="C10" s="4">
        <v>0</v>
      </c>
      <c r="D10" s="21">
        <v>0</v>
      </c>
      <c r="F10" s="57"/>
    </row>
    <row r="11" spans="1:8" x14ac:dyDescent="0.25">
      <c r="A11" s="5" t="s">
        <v>33</v>
      </c>
      <c r="B11" s="19">
        <v>43893</v>
      </c>
      <c r="C11" s="4">
        <v>0</v>
      </c>
      <c r="D11" s="21">
        <v>0</v>
      </c>
      <c r="F11" s="57"/>
    </row>
    <row r="12" spans="1:8" x14ac:dyDescent="0.25">
      <c r="A12" s="5" t="s">
        <v>34</v>
      </c>
      <c r="B12" s="19">
        <v>43893</v>
      </c>
      <c r="C12" s="4">
        <v>0</v>
      </c>
      <c r="D12" s="21">
        <v>0</v>
      </c>
      <c r="F12" s="57"/>
    </row>
    <row r="13" spans="1:8" x14ac:dyDescent="0.25">
      <c r="A13" s="5" t="s">
        <v>22</v>
      </c>
      <c r="B13" s="19">
        <v>43893</v>
      </c>
      <c r="C13" s="4">
        <v>0</v>
      </c>
      <c r="D13" s="21">
        <v>0</v>
      </c>
      <c r="F13" s="57"/>
    </row>
    <row r="14" spans="1:8" x14ac:dyDescent="0.25">
      <c r="A14" s="5" t="s">
        <v>18</v>
      </c>
      <c r="B14" s="19">
        <v>43893</v>
      </c>
      <c r="C14" s="4">
        <v>0</v>
      </c>
      <c r="D14" s="21">
        <v>0</v>
      </c>
      <c r="F14" s="57"/>
    </row>
    <row r="15" spans="1:8" x14ac:dyDescent="0.25">
      <c r="A15" s="5" t="s">
        <v>24</v>
      </c>
      <c r="B15" s="19">
        <v>43893</v>
      </c>
      <c r="C15" s="4">
        <v>0</v>
      </c>
      <c r="D15" s="21">
        <v>0</v>
      </c>
      <c r="F15" s="57"/>
    </row>
    <row r="16" spans="1:8" x14ac:dyDescent="0.25">
      <c r="A16" s="5" t="s">
        <v>20</v>
      </c>
      <c r="B16" s="19">
        <v>43893</v>
      </c>
      <c r="C16" s="4">
        <v>0</v>
      </c>
      <c r="D16" s="21">
        <v>0</v>
      </c>
      <c r="F16" s="57"/>
    </row>
    <row r="17" spans="1:6" x14ac:dyDescent="0.25">
      <c r="A17" s="5" t="s">
        <v>19</v>
      </c>
      <c r="B17" s="19">
        <v>43893</v>
      </c>
      <c r="C17" s="4">
        <v>0</v>
      </c>
      <c r="D17" s="21">
        <v>0</v>
      </c>
      <c r="F17" s="57"/>
    </row>
    <row r="18" spans="1:6" x14ac:dyDescent="0.25">
      <c r="A18" s="5" t="s">
        <v>35</v>
      </c>
      <c r="B18" s="19">
        <v>43893</v>
      </c>
      <c r="C18" s="4">
        <v>0</v>
      </c>
      <c r="D18" s="21">
        <v>0</v>
      </c>
      <c r="F18" s="57"/>
    </row>
    <row r="19" spans="1:6" x14ac:dyDescent="0.25">
      <c r="A19" s="5" t="s">
        <v>36</v>
      </c>
      <c r="B19" s="19">
        <v>43893</v>
      </c>
      <c r="C19" s="4">
        <v>0</v>
      </c>
      <c r="D19" s="21">
        <v>0</v>
      </c>
      <c r="F19" s="57"/>
    </row>
    <row r="20" spans="1:6" x14ac:dyDescent="0.25">
      <c r="A20" s="5" t="s">
        <v>37</v>
      </c>
      <c r="B20" s="19">
        <v>43893</v>
      </c>
      <c r="C20" s="4">
        <v>0</v>
      </c>
      <c r="D20" s="21">
        <v>0</v>
      </c>
      <c r="F20" s="57"/>
    </row>
    <row r="21" spans="1:6" x14ac:dyDescent="0.25">
      <c r="A21" s="5" t="s">
        <v>38</v>
      </c>
      <c r="B21" s="19">
        <v>43893</v>
      </c>
      <c r="C21" s="4">
        <v>0</v>
      </c>
      <c r="D21" s="21">
        <v>0</v>
      </c>
      <c r="F21" s="57"/>
    </row>
    <row r="22" spans="1:6" x14ac:dyDescent="0.25">
      <c r="A22" s="5" t="s">
        <v>23</v>
      </c>
      <c r="B22" s="19">
        <v>43893</v>
      </c>
      <c r="C22" s="4">
        <v>0</v>
      </c>
      <c r="D22" s="21">
        <v>0</v>
      </c>
      <c r="F22" s="57"/>
    </row>
    <row r="23" spans="1:6" x14ac:dyDescent="0.25">
      <c r="A23" s="5" t="s">
        <v>39</v>
      </c>
      <c r="B23" s="19">
        <v>43893</v>
      </c>
      <c r="C23" s="4">
        <v>0</v>
      </c>
      <c r="D23" s="21">
        <v>0</v>
      </c>
      <c r="F23" s="57"/>
    </row>
    <row r="24" spans="1:6" x14ac:dyDescent="0.25">
      <c r="A24" s="5" t="s">
        <v>40</v>
      </c>
      <c r="B24" s="19">
        <v>43893</v>
      </c>
      <c r="C24" s="4">
        <v>0</v>
      </c>
      <c r="D24" s="21">
        <v>0</v>
      </c>
      <c r="F24" s="57"/>
    </row>
    <row r="25" spans="1:6" x14ac:dyDescent="0.25">
      <c r="A25" s="5" t="s">
        <v>41</v>
      </c>
      <c r="B25" s="19">
        <v>43893</v>
      </c>
      <c r="C25" s="4">
        <v>0</v>
      </c>
      <c r="D25" s="21">
        <v>0</v>
      </c>
      <c r="F25" s="57"/>
    </row>
    <row r="26" spans="1:6" x14ac:dyDescent="0.25">
      <c r="A26" s="42" t="s">
        <v>17</v>
      </c>
      <c r="B26" s="19">
        <v>43894</v>
      </c>
      <c r="C26" s="4">
        <v>0</v>
      </c>
      <c r="D26" s="21">
        <v>0</v>
      </c>
      <c r="F26" s="57">
        <f>E26+F2</f>
        <v>0</v>
      </c>
    </row>
    <row r="27" spans="1:6" x14ac:dyDescent="0.25">
      <c r="A27" s="5" t="s">
        <v>29</v>
      </c>
      <c r="B27" s="19">
        <v>43894</v>
      </c>
      <c r="C27" s="4">
        <v>0</v>
      </c>
      <c r="D27" s="21">
        <v>0</v>
      </c>
      <c r="F27" s="57">
        <f t="shared" ref="F27:F90" si="0">E27+F3</f>
        <v>0</v>
      </c>
    </row>
    <row r="28" spans="1:6" x14ac:dyDescent="0.25">
      <c r="A28" s="5" t="s">
        <v>16</v>
      </c>
      <c r="B28" s="19">
        <v>43894</v>
      </c>
      <c r="C28" s="4">
        <v>0</v>
      </c>
      <c r="D28" s="21">
        <v>0</v>
      </c>
      <c r="F28" s="57">
        <f t="shared" si="0"/>
        <v>0</v>
      </c>
    </row>
    <row r="29" spans="1:6" x14ac:dyDescent="0.25">
      <c r="A29" s="5" t="s">
        <v>30</v>
      </c>
      <c r="B29" s="19">
        <v>43894</v>
      </c>
      <c r="C29" s="4">
        <v>0</v>
      </c>
      <c r="D29" s="21">
        <v>0</v>
      </c>
      <c r="F29" s="57">
        <f t="shared" si="0"/>
        <v>0</v>
      </c>
    </row>
    <row r="30" spans="1:6" x14ac:dyDescent="0.25">
      <c r="A30" s="5" t="s">
        <v>44</v>
      </c>
      <c r="B30" s="19">
        <v>43894</v>
      </c>
      <c r="C30" s="4">
        <v>0</v>
      </c>
      <c r="D30" s="21">
        <v>1</v>
      </c>
      <c r="F30" s="57">
        <f t="shared" si="0"/>
        <v>0</v>
      </c>
    </row>
    <row r="31" spans="1:6" x14ac:dyDescent="0.25">
      <c r="A31" s="5" t="s">
        <v>21</v>
      </c>
      <c r="B31" s="19">
        <v>43894</v>
      </c>
      <c r="C31" s="4">
        <v>0</v>
      </c>
      <c r="D31" s="21">
        <v>0</v>
      </c>
      <c r="F31" s="57">
        <f t="shared" si="0"/>
        <v>0</v>
      </c>
    </row>
    <row r="32" spans="1:6" x14ac:dyDescent="0.25">
      <c r="A32" s="5" t="s">
        <v>31</v>
      </c>
      <c r="B32" s="19">
        <v>43894</v>
      </c>
      <c r="C32" s="4">
        <v>0</v>
      </c>
      <c r="D32" s="21">
        <v>0</v>
      </c>
      <c r="F32" s="57">
        <f t="shared" si="0"/>
        <v>0</v>
      </c>
    </row>
    <row r="33" spans="1:6" x14ac:dyDescent="0.25">
      <c r="A33" s="5" t="s">
        <v>32</v>
      </c>
      <c r="B33" s="19">
        <v>43894</v>
      </c>
      <c r="C33" s="4">
        <v>0</v>
      </c>
      <c r="D33" s="21">
        <v>0</v>
      </c>
      <c r="F33" s="57">
        <f t="shared" si="0"/>
        <v>0</v>
      </c>
    </row>
    <row r="34" spans="1:6" x14ac:dyDescent="0.25">
      <c r="A34" s="5" t="s">
        <v>42</v>
      </c>
      <c r="B34" s="19">
        <v>43894</v>
      </c>
      <c r="C34" s="4">
        <v>0</v>
      </c>
      <c r="D34" s="21">
        <v>0</v>
      </c>
      <c r="F34" s="57">
        <f t="shared" si="0"/>
        <v>0</v>
      </c>
    </row>
    <row r="35" spans="1:6" x14ac:dyDescent="0.25">
      <c r="A35" s="5" t="s">
        <v>33</v>
      </c>
      <c r="B35" s="19">
        <v>43894</v>
      </c>
      <c r="C35" s="4">
        <v>0</v>
      </c>
      <c r="D35" s="21">
        <v>0</v>
      </c>
      <c r="F35" s="57">
        <f t="shared" si="0"/>
        <v>0</v>
      </c>
    </row>
    <row r="36" spans="1:6" x14ac:dyDescent="0.25">
      <c r="A36" s="5" t="s">
        <v>34</v>
      </c>
      <c r="B36" s="19">
        <v>43894</v>
      </c>
      <c r="C36" s="4">
        <v>0</v>
      </c>
      <c r="D36" s="21">
        <v>0</v>
      </c>
      <c r="F36" s="57">
        <f t="shared" si="0"/>
        <v>0</v>
      </c>
    </row>
    <row r="37" spans="1:6" x14ac:dyDescent="0.25">
      <c r="A37" s="5" t="s">
        <v>22</v>
      </c>
      <c r="B37" s="19">
        <v>43894</v>
      </c>
      <c r="C37" s="4">
        <v>0</v>
      </c>
      <c r="D37" s="21">
        <v>0</v>
      </c>
      <c r="F37" s="57">
        <f t="shared" si="0"/>
        <v>0</v>
      </c>
    </row>
    <row r="38" spans="1:6" x14ac:dyDescent="0.25">
      <c r="A38" s="5" t="s">
        <v>18</v>
      </c>
      <c r="B38" s="19">
        <v>43894</v>
      </c>
      <c r="C38" s="4">
        <v>0</v>
      </c>
      <c r="D38" s="21">
        <v>0</v>
      </c>
      <c r="F38" s="57">
        <f t="shared" si="0"/>
        <v>0</v>
      </c>
    </row>
    <row r="39" spans="1:6" x14ac:dyDescent="0.25">
      <c r="A39" s="5" t="s">
        <v>24</v>
      </c>
      <c r="B39" s="19">
        <v>43894</v>
      </c>
      <c r="C39" s="4">
        <v>0</v>
      </c>
      <c r="D39" s="21">
        <v>0</v>
      </c>
      <c r="F39" s="57">
        <f t="shared" si="0"/>
        <v>0</v>
      </c>
    </row>
    <row r="40" spans="1:6" x14ac:dyDescent="0.25">
      <c r="A40" s="5" t="s">
        <v>20</v>
      </c>
      <c r="B40" s="19">
        <v>43894</v>
      </c>
      <c r="C40" s="4">
        <v>0</v>
      </c>
      <c r="D40" s="21">
        <v>0</v>
      </c>
      <c r="F40" s="57">
        <f t="shared" si="0"/>
        <v>0</v>
      </c>
    </row>
    <row r="41" spans="1:6" x14ac:dyDescent="0.25">
      <c r="A41" s="5" t="s">
        <v>19</v>
      </c>
      <c r="B41" s="19">
        <v>43894</v>
      </c>
      <c r="C41" s="4">
        <v>0</v>
      </c>
      <c r="D41" s="21">
        <v>0</v>
      </c>
      <c r="F41" s="57">
        <f t="shared" si="0"/>
        <v>0</v>
      </c>
    </row>
    <row r="42" spans="1:6" x14ac:dyDescent="0.25">
      <c r="A42" s="5" t="s">
        <v>35</v>
      </c>
      <c r="B42" s="19">
        <v>43894</v>
      </c>
      <c r="C42" s="4">
        <v>0</v>
      </c>
      <c r="D42" s="21">
        <v>0</v>
      </c>
      <c r="F42" s="57">
        <f t="shared" si="0"/>
        <v>0</v>
      </c>
    </row>
    <row r="43" spans="1:6" x14ac:dyDescent="0.25">
      <c r="A43" s="5" t="s">
        <v>36</v>
      </c>
      <c r="B43" s="19">
        <v>43894</v>
      </c>
      <c r="C43" s="4">
        <v>0</v>
      </c>
      <c r="D43" s="21">
        <v>0</v>
      </c>
      <c r="F43" s="57">
        <f t="shared" si="0"/>
        <v>0</v>
      </c>
    </row>
    <row r="44" spans="1:6" x14ac:dyDescent="0.25">
      <c r="A44" s="5" t="s">
        <v>37</v>
      </c>
      <c r="B44" s="19">
        <v>43894</v>
      </c>
      <c r="C44" s="4">
        <v>0</v>
      </c>
      <c r="D44" s="21">
        <v>0</v>
      </c>
      <c r="F44" s="57">
        <f t="shared" si="0"/>
        <v>0</v>
      </c>
    </row>
    <row r="45" spans="1:6" x14ac:dyDescent="0.25">
      <c r="A45" s="5" t="s">
        <v>38</v>
      </c>
      <c r="B45" s="19">
        <v>43894</v>
      </c>
      <c r="C45" s="4">
        <v>0</v>
      </c>
      <c r="D45" s="21">
        <v>0</v>
      </c>
      <c r="F45" s="57">
        <f t="shared" si="0"/>
        <v>0</v>
      </c>
    </row>
    <row r="46" spans="1:6" x14ac:dyDescent="0.25">
      <c r="A46" s="5" t="s">
        <v>23</v>
      </c>
      <c r="B46" s="19">
        <v>43894</v>
      </c>
      <c r="C46" s="4">
        <v>0</v>
      </c>
      <c r="D46" s="21">
        <v>0</v>
      </c>
      <c r="F46" s="57">
        <f t="shared" si="0"/>
        <v>0</v>
      </c>
    </row>
    <row r="47" spans="1:6" x14ac:dyDescent="0.25">
      <c r="A47" s="5" t="s">
        <v>39</v>
      </c>
      <c r="B47" s="19">
        <v>43894</v>
      </c>
      <c r="C47" s="4">
        <v>0</v>
      </c>
      <c r="D47" s="21">
        <v>0</v>
      </c>
      <c r="F47" s="57">
        <f t="shared" si="0"/>
        <v>0</v>
      </c>
    </row>
    <row r="48" spans="1:6" x14ac:dyDescent="0.25">
      <c r="A48" s="5" t="s">
        <v>40</v>
      </c>
      <c r="B48" s="19">
        <v>43894</v>
      </c>
      <c r="C48" s="4">
        <v>0</v>
      </c>
      <c r="D48" s="21">
        <v>0</v>
      </c>
      <c r="F48" s="57">
        <f t="shared" si="0"/>
        <v>0</v>
      </c>
    </row>
    <row r="49" spans="1:6" x14ac:dyDescent="0.25">
      <c r="A49" s="5" t="s">
        <v>41</v>
      </c>
      <c r="B49" s="19">
        <v>43894</v>
      </c>
      <c r="C49" s="4">
        <v>0</v>
      </c>
      <c r="D49" s="21">
        <v>0</v>
      </c>
      <c r="F49" s="57">
        <f t="shared" si="0"/>
        <v>0</v>
      </c>
    </row>
    <row r="50" spans="1:6" x14ac:dyDescent="0.25">
      <c r="A50" s="42" t="s">
        <v>17</v>
      </c>
      <c r="B50" s="19">
        <v>43895</v>
      </c>
      <c r="C50" s="4">
        <v>0</v>
      </c>
      <c r="D50" s="21">
        <v>0</v>
      </c>
      <c r="F50" s="57">
        <f>E50+F26</f>
        <v>0</v>
      </c>
    </row>
    <row r="51" spans="1:6" x14ac:dyDescent="0.25">
      <c r="A51" s="5" t="s">
        <v>29</v>
      </c>
      <c r="B51" s="19">
        <v>43895</v>
      </c>
      <c r="C51" s="4">
        <v>0</v>
      </c>
      <c r="D51" s="21">
        <v>0</v>
      </c>
      <c r="F51" s="57">
        <f t="shared" si="0"/>
        <v>0</v>
      </c>
    </row>
    <row r="52" spans="1:6" x14ac:dyDescent="0.25">
      <c r="A52" s="5" t="s">
        <v>16</v>
      </c>
      <c r="B52" s="19">
        <v>43895</v>
      </c>
      <c r="C52" s="4">
        <v>0</v>
      </c>
      <c r="D52" s="21">
        <v>0</v>
      </c>
      <c r="F52" s="57">
        <f t="shared" si="0"/>
        <v>0</v>
      </c>
    </row>
    <row r="53" spans="1:6" x14ac:dyDescent="0.25">
      <c r="A53" s="5" t="s">
        <v>30</v>
      </c>
      <c r="B53" s="19">
        <v>43895</v>
      </c>
      <c r="C53" s="4">
        <v>0</v>
      </c>
      <c r="D53" s="21">
        <v>0</v>
      </c>
      <c r="F53" s="57">
        <f t="shared" si="0"/>
        <v>0</v>
      </c>
    </row>
    <row r="54" spans="1:6" x14ac:dyDescent="0.25">
      <c r="A54" s="5" t="s">
        <v>44</v>
      </c>
      <c r="B54" s="19">
        <v>43895</v>
      </c>
      <c r="C54" s="4">
        <v>1</v>
      </c>
      <c r="D54" s="21">
        <v>2</v>
      </c>
      <c r="F54" s="57">
        <f t="shared" si="0"/>
        <v>0</v>
      </c>
    </row>
    <row r="55" spans="1:6" x14ac:dyDescent="0.25">
      <c r="A55" s="5" t="s">
        <v>21</v>
      </c>
      <c r="B55" s="19">
        <v>43895</v>
      </c>
      <c r="C55" s="4">
        <v>0</v>
      </c>
      <c r="D55" s="21">
        <v>0</v>
      </c>
      <c r="F55" s="57">
        <f t="shared" si="0"/>
        <v>0</v>
      </c>
    </row>
    <row r="56" spans="1:6" x14ac:dyDescent="0.25">
      <c r="A56" s="5" t="s">
        <v>31</v>
      </c>
      <c r="B56" s="19">
        <v>43895</v>
      </c>
      <c r="C56" s="4">
        <v>0</v>
      </c>
      <c r="D56" s="21">
        <v>0</v>
      </c>
      <c r="F56" s="57">
        <f t="shared" si="0"/>
        <v>0</v>
      </c>
    </row>
    <row r="57" spans="1:6" x14ac:dyDescent="0.25">
      <c r="A57" s="5" t="s">
        <v>32</v>
      </c>
      <c r="B57" s="19">
        <v>43895</v>
      </c>
      <c r="C57" s="4">
        <v>0</v>
      </c>
      <c r="D57" s="21">
        <v>0</v>
      </c>
      <c r="F57" s="57">
        <f t="shared" si="0"/>
        <v>0</v>
      </c>
    </row>
    <row r="58" spans="1:6" x14ac:dyDescent="0.25">
      <c r="A58" s="5" t="s">
        <v>42</v>
      </c>
      <c r="B58" s="19">
        <v>43895</v>
      </c>
      <c r="C58" s="4">
        <v>0</v>
      </c>
      <c r="D58" s="21">
        <v>0</v>
      </c>
      <c r="F58" s="57">
        <f t="shared" si="0"/>
        <v>0</v>
      </c>
    </row>
    <row r="59" spans="1:6" x14ac:dyDescent="0.25">
      <c r="A59" s="5" t="s">
        <v>33</v>
      </c>
      <c r="B59" s="19">
        <v>43895</v>
      </c>
      <c r="C59" s="4">
        <v>0</v>
      </c>
      <c r="D59" s="21">
        <v>0</v>
      </c>
      <c r="F59" s="57">
        <f t="shared" si="0"/>
        <v>0</v>
      </c>
    </row>
    <row r="60" spans="1:6" x14ac:dyDescent="0.25">
      <c r="A60" s="5" t="s">
        <v>34</v>
      </c>
      <c r="B60" s="19">
        <v>43895</v>
      </c>
      <c r="C60" s="4">
        <v>0</v>
      </c>
      <c r="D60" s="21">
        <v>0</v>
      </c>
      <c r="F60" s="57">
        <f t="shared" si="0"/>
        <v>0</v>
      </c>
    </row>
    <row r="61" spans="1:6" x14ac:dyDescent="0.25">
      <c r="A61" s="5" t="s">
        <v>22</v>
      </c>
      <c r="B61" s="19">
        <v>43895</v>
      </c>
      <c r="C61" s="4">
        <v>0</v>
      </c>
      <c r="D61" s="21">
        <v>0</v>
      </c>
      <c r="F61" s="57">
        <f t="shared" si="0"/>
        <v>0</v>
      </c>
    </row>
    <row r="62" spans="1:6" x14ac:dyDescent="0.25">
      <c r="A62" s="5" t="s">
        <v>18</v>
      </c>
      <c r="B62" s="19">
        <v>43895</v>
      </c>
      <c r="C62" s="4">
        <v>0</v>
      </c>
      <c r="D62" s="21">
        <v>0</v>
      </c>
      <c r="F62" s="57">
        <f t="shared" si="0"/>
        <v>0</v>
      </c>
    </row>
    <row r="63" spans="1:6" x14ac:dyDescent="0.25">
      <c r="A63" s="5" t="s">
        <v>24</v>
      </c>
      <c r="B63" s="19">
        <v>43895</v>
      </c>
      <c r="C63" s="4">
        <v>0</v>
      </c>
      <c r="D63" s="21">
        <v>0</v>
      </c>
      <c r="F63" s="57">
        <f t="shared" si="0"/>
        <v>0</v>
      </c>
    </row>
    <row r="64" spans="1:6" x14ac:dyDescent="0.25">
      <c r="A64" s="5" t="s">
        <v>20</v>
      </c>
      <c r="B64" s="19">
        <v>43895</v>
      </c>
      <c r="C64" s="4">
        <v>0</v>
      </c>
      <c r="D64" s="21">
        <v>0</v>
      </c>
      <c r="F64" s="57">
        <f t="shared" si="0"/>
        <v>0</v>
      </c>
    </row>
    <row r="65" spans="1:6" x14ac:dyDescent="0.25">
      <c r="A65" s="5" t="s">
        <v>19</v>
      </c>
      <c r="B65" s="19">
        <v>43895</v>
      </c>
      <c r="C65" s="4">
        <v>0</v>
      </c>
      <c r="D65" s="21">
        <v>0</v>
      </c>
      <c r="F65" s="57">
        <f t="shared" si="0"/>
        <v>0</v>
      </c>
    </row>
    <row r="66" spans="1:6" x14ac:dyDescent="0.25">
      <c r="A66" s="5" t="s">
        <v>35</v>
      </c>
      <c r="B66" s="19">
        <v>43895</v>
      </c>
      <c r="C66" s="4">
        <v>0</v>
      </c>
      <c r="D66" s="21">
        <v>0</v>
      </c>
      <c r="F66" s="57">
        <f t="shared" si="0"/>
        <v>0</v>
      </c>
    </row>
    <row r="67" spans="1:6" x14ac:dyDescent="0.25">
      <c r="A67" s="5" t="s">
        <v>36</v>
      </c>
      <c r="B67" s="19">
        <v>43895</v>
      </c>
      <c r="C67" s="4">
        <v>0</v>
      </c>
      <c r="D67" s="21">
        <v>0</v>
      </c>
      <c r="F67" s="57">
        <f t="shared" si="0"/>
        <v>0</v>
      </c>
    </row>
    <row r="68" spans="1:6" x14ac:dyDescent="0.25">
      <c r="A68" s="5" t="s">
        <v>37</v>
      </c>
      <c r="B68" s="19">
        <v>43895</v>
      </c>
      <c r="C68" s="4">
        <v>0</v>
      </c>
      <c r="D68" s="21">
        <v>0</v>
      </c>
      <c r="F68" s="57">
        <f t="shared" si="0"/>
        <v>0</v>
      </c>
    </row>
    <row r="69" spans="1:6" x14ac:dyDescent="0.25">
      <c r="A69" s="5" t="s">
        <v>38</v>
      </c>
      <c r="B69" s="19">
        <v>43895</v>
      </c>
      <c r="C69" s="4">
        <v>0</v>
      </c>
      <c r="D69" s="21">
        <v>0</v>
      </c>
      <c r="F69" s="57">
        <f t="shared" si="0"/>
        <v>0</v>
      </c>
    </row>
    <row r="70" spans="1:6" x14ac:dyDescent="0.25">
      <c r="A70" s="5" t="s">
        <v>23</v>
      </c>
      <c r="B70" s="19">
        <v>43895</v>
      </c>
      <c r="C70" s="4">
        <v>0</v>
      </c>
      <c r="D70" s="21">
        <v>0</v>
      </c>
      <c r="F70" s="57">
        <f t="shared" si="0"/>
        <v>0</v>
      </c>
    </row>
    <row r="71" spans="1:6" x14ac:dyDescent="0.25">
      <c r="A71" s="5" t="s">
        <v>39</v>
      </c>
      <c r="B71" s="19">
        <v>43895</v>
      </c>
      <c r="C71" s="4">
        <v>0</v>
      </c>
      <c r="D71" s="21">
        <v>0</v>
      </c>
      <c r="F71" s="57">
        <f t="shared" si="0"/>
        <v>0</v>
      </c>
    </row>
    <row r="72" spans="1:6" x14ac:dyDescent="0.25">
      <c r="A72" s="5" t="s">
        <v>40</v>
      </c>
      <c r="B72" s="19">
        <v>43895</v>
      </c>
      <c r="C72" s="4">
        <v>0</v>
      </c>
      <c r="D72" s="21">
        <v>0</v>
      </c>
      <c r="F72" s="57">
        <f t="shared" si="0"/>
        <v>0</v>
      </c>
    </row>
    <row r="73" spans="1:6" x14ac:dyDescent="0.25">
      <c r="A73" s="5" t="s">
        <v>41</v>
      </c>
      <c r="B73" s="19">
        <v>43895</v>
      </c>
      <c r="C73" s="4">
        <v>0</v>
      </c>
      <c r="D73" s="21">
        <v>0</v>
      </c>
      <c r="F73" s="57">
        <f t="shared" si="0"/>
        <v>0</v>
      </c>
    </row>
    <row r="74" spans="1:6" x14ac:dyDescent="0.25">
      <c r="A74" s="42" t="s">
        <v>17</v>
      </c>
      <c r="B74" s="19">
        <v>43896</v>
      </c>
      <c r="C74" s="4">
        <v>1</v>
      </c>
      <c r="D74" s="21">
        <v>1</v>
      </c>
      <c r="F74" s="57">
        <f>E74+F50</f>
        <v>0</v>
      </c>
    </row>
    <row r="75" spans="1:6" x14ac:dyDescent="0.25">
      <c r="A75" s="5" t="s">
        <v>29</v>
      </c>
      <c r="B75" s="19">
        <v>43896</v>
      </c>
      <c r="C75" s="4">
        <v>0</v>
      </c>
      <c r="D75" s="21">
        <v>0</v>
      </c>
      <c r="F75" s="57">
        <f t="shared" si="0"/>
        <v>0</v>
      </c>
    </row>
    <row r="76" spans="1:6" x14ac:dyDescent="0.25">
      <c r="A76" s="5" t="s">
        <v>16</v>
      </c>
      <c r="B76" s="19">
        <v>43896</v>
      </c>
      <c r="C76" s="4">
        <v>0</v>
      </c>
      <c r="D76" s="21">
        <v>0</v>
      </c>
      <c r="F76" s="57">
        <f t="shared" si="0"/>
        <v>0</v>
      </c>
    </row>
    <row r="77" spans="1:6" x14ac:dyDescent="0.25">
      <c r="A77" s="5" t="s">
        <v>30</v>
      </c>
      <c r="B77" s="19">
        <v>43896</v>
      </c>
      <c r="C77" s="4">
        <v>0</v>
      </c>
      <c r="D77" s="21">
        <v>0</v>
      </c>
      <c r="F77" s="57">
        <f t="shared" si="0"/>
        <v>0</v>
      </c>
    </row>
    <row r="78" spans="1:6" x14ac:dyDescent="0.25">
      <c r="A78" s="5" t="s">
        <v>44</v>
      </c>
      <c r="B78" s="19">
        <v>43896</v>
      </c>
      <c r="C78" s="4">
        <v>4</v>
      </c>
      <c r="D78" s="21">
        <v>6</v>
      </c>
      <c r="F78" s="57">
        <f t="shared" si="0"/>
        <v>0</v>
      </c>
    </row>
    <row r="79" spans="1:6" x14ac:dyDescent="0.25">
      <c r="A79" s="5" t="s">
        <v>21</v>
      </c>
      <c r="B79" s="19">
        <v>43896</v>
      </c>
      <c r="C79" s="4">
        <v>1</v>
      </c>
      <c r="D79" s="21">
        <v>1</v>
      </c>
      <c r="F79" s="57">
        <f t="shared" si="0"/>
        <v>0</v>
      </c>
    </row>
    <row r="80" spans="1:6" x14ac:dyDescent="0.25">
      <c r="A80" s="5" t="s">
        <v>31</v>
      </c>
      <c r="B80" s="19">
        <v>43896</v>
      </c>
      <c r="C80" s="4">
        <v>0</v>
      </c>
      <c r="D80" s="21">
        <v>0</v>
      </c>
      <c r="F80" s="57">
        <f t="shared" si="0"/>
        <v>0</v>
      </c>
    </row>
    <row r="81" spans="1:6" x14ac:dyDescent="0.25">
      <c r="A81" s="5" t="s">
        <v>32</v>
      </c>
      <c r="B81" s="19">
        <v>43896</v>
      </c>
      <c r="C81" s="4">
        <v>0</v>
      </c>
      <c r="D81" s="21">
        <v>0</v>
      </c>
      <c r="F81" s="57">
        <f t="shared" si="0"/>
        <v>0</v>
      </c>
    </row>
    <row r="82" spans="1:6" x14ac:dyDescent="0.25">
      <c r="A82" s="5" t="s">
        <v>42</v>
      </c>
      <c r="B82" s="19">
        <v>43896</v>
      </c>
      <c r="C82" s="4">
        <v>0</v>
      </c>
      <c r="D82" s="21">
        <v>0</v>
      </c>
      <c r="F82" s="57">
        <f t="shared" si="0"/>
        <v>0</v>
      </c>
    </row>
    <row r="83" spans="1:6" x14ac:dyDescent="0.25">
      <c r="A83" s="5" t="s">
        <v>33</v>
      </c>
      <c r="B83" s="19">
        <v>43896</v>
      </c>
      <c r="C83" s="4">
        <v>0</v>
      </c>
      <c r="D83" s="21">
        <v>0</v>
      </c>
      <c r="F83" s="57">
        <f t="shared" si="0"/>
        <v>0</v>
      </c>
    </row>
    <row r="84" spans="1:6" x14ac:dyDescent="0.25">
      <c r="A84" s="5" t="s">
        <v>34</v>
      </c>
      <c r="B84" s="19">
        <v>43896</v>
      </c>
      <c r="C84" s="4">
        <v>0</v>
      </c>
      <c r="D84" s="21">
        <v>0</v>
      </c>
      <c r="F84" s="57">
        <f t="shared" si="0"/>
        <v>0</v>
      </c>
    </row>
    <row r="85" spans="1:6" x14ac:dyDescent="0.25">
      <c r="A85" s="5" t="s">
        <v>22</v>
      </c>
      <c r="B85" s="19">
        <v>43896</v>
      </c>
      <c r="C85" s="4">
        <v>0</v>
      </c>
      <c r="D85" s="21">
        <v>0</v>
      </c>
      <c r="F85" s="57">
        <f t="shared" si="0"/>
        <v>0</v>
      </c>
    </row>
    <row r="86" spans="1:6" x14ac:dyDescent="0.25">
      <c r="A86" s="5" t="s">
        <v>18</v>
      </c>
      <c r="B86" s="19">
        <v>43896</v>
      </c>
      <c r="C86" s="4">
        <v>0</v>
      </c>
      <c r="D86" s="21">
        <v>0</v>
      </c>
      <c r="F86" s="57">
        <f t="shared" si="0"/>
        <v>0</v>
      </c>
    </row>
    <row r="87" spans="1:6" x14ac:dyDescent="0.25">
      <c r="A87" s="5" t="s">
        <v>24</v>
      </c>
      <c r="B87" s="19">
        <v>43896</v>
      </c>
      <c r="C87" s="4">
        <v>0</v>
      </c>
      <c r="D87" s="21">
        <v>0</v>
      </c>
      <c r="F87" s="57">
        <f t="shared" si="0"/>
        <v>0</v>
      </c>
    </row>
    <row r="88" spans="1:6" x14ac:dyDescent="0.25">
      <c r="A88" s="5" t="s">
        <v>20</v>
      </c>
      <c r="B88" s="19">
        <v>43896</v>
      </c>
      <c r="C88" s="4">
        <v>0</v>
      </c>
      <c r="D88" s="21">
        <v>0</v>
      </c>
      <c r="F88" s="57">
        <f t="shared" si="0"/>
        <v>0</v>
      </c>
    </row>
    <row r="89" spans="1:6" x14ac:dyDescent="0.25">
      <c r="A89" s="5" t="s">
        <v>19</v>
      </c>
      <c r="B89" s="19">
        <v>43896</v>
      </c>
      <c r="C89" s="4">
        <v>0</v>
      </c>
      <c r="D89" s="21">
        <v>0</v>
      </c>
      <c r="F89" s="57">
        <f t="shared" si="0"/>
        <v>0</v>
      </c>
    </row>
    <row r="90" spans="1:6" x14ac:dyDescent="0.25">
      <c r="A90" s="5" t="s">
        <v>35</v>
      </c>
      <c r="B90" s="19">
        <v>43896</v>
      </c>
      <c r="C90" s="4">
        <v>0</v>
      </c>
      <c r="D90" s="21">
        <v>0</v>
      </c>
      <c r="F90" s="57">
        <f t="shared" si="0"/>
        <v>0</v>
      </c>
    </row>
    <row r="91" spans="1:6" x14ac:dyDescent="0.25">
      <c r="A91" s="5" t="s">
        <v>36</v>
      </c>
      <c r="B91" s="19">
        <v>43896</v>
      </c>
      <c r="C91" s="4">
        <v>0</v>
      </c>
      <c r="D91" s="21">
        <v>0</v>
      </c>
      <c r="F91" s="57">
        <f t="shared" ref="F91:F97" si="1">E91+F67</f>
        <v>0</v>
      </c>
    </row>
    <row r="92" spans="1:6" x14ac:dyDescent="0.25">
      <c r="A92" s="5" t="s">
        <v>37</v>
      </c>
      <c r="B92" s="19">
        <v>43896</v>
      </c>
      <c r="C92" s="4">
        <v>0</v>
      </c>
      <c r="D92" s="21">
        <v>0</v>
      </c>
      <c r="F92" s="57">
        <f t="shared" si="1"/>
        <v>0</v>
      </c>
    </row>
    <row r="93" spans="1:6" x14ac:dyDescent="0.25">
      <c r="A93" s="5" t="s">
        <v>38</v>
      </c>
      <c r="B93" s="19">
        <v>43896</v>
      </c>
      <c r="C93" s="4">
        <v>0</v>
      </c>
      <c r="D93" s="21">
        <v>0</v>
      </c>
      <c r="F93" s="57">
        <f t="shared" si="1"/>
        <v>0</v>
      </c>
    </row>
    <row r="94" spans="1:6" x14ac:dyDescent="0.25">
      <c r="A94" s="5" t="s">
        <v>23</v>
      </c>
      <c r="B94" s="19">
        <v>43896</v>
      </c>
      <c r="C94" s="4">
        <v>0</v>
      </c>
      <c r="D94" s="21">
        <v>0</v>
      </c>
      <c r="F94" s="57">
        <f t="shared" si="1"/>
        <v>0</v>
      </c>
    </row>
    <row r="95" spans="1:6" x14ac:dyDescent="0.25">
      <c r="A95" s="5" t="s">
        <v>39</v>
      </c>
      <c r="B95" s="19">
        <v>43896</v>
      </c>
      <c r="C95" s="4">
        <v>0</v>
      </c>
      <c r="D95" s="21">
        <v>0</v>
      </c>
      <c r="F95" s="57">
        <f t="shared" si="1"/>
        <v>0</v>
      </c>
    </row>
    <row r="96" spans="1:6" x14ac:dyDescent="0.25">
      <c r="A96" s="5" t="s">
        <v>40</v>
      </c>
      <c r="B96" s="19">
        <v>43896</v>
      </c>
      <c r="C96" s="4">
        <v>0</v>
      </c>
      <c r="D96" s="21">
        <v>0</v>
      </c>
      <c r="F96" s="57">
        <f t="shared" si="1"/>
        <v>0</v>
      </c>
    </row>
    <row r="97" spans="1:6" x14ac:dyDescent="0.25">
      <c r="A97" s="5" t="s">
        <v>41</v>
      </c>
      <c r="B97" s="19">
        <v>43896</v>
      </c>
      <c r="C97" s="4">
        <v>0</v>
      </c>
      <c r="D97" s="21">
        <v>0</v>
      </c>
      <c r="F97" s="57">
        <f t="shared" si="1"/>
        <v>0</v>
      </c>
    </row>
    <row r="98" spans="1:6" x14ac:dyDescent="0.25">
      <c r="A98" s="42" t="s">
        <v>17</v>
      </c>
      <c r="B98" s="19">
        <v>43897</v>
      </c>
      <c r="C98" s="4">
        <v>0</v>
      </c>
      <c r="D98" s="21">
        <v>1</v>
      </c>
      <c r="F98" s="57">
        <f>E98+F74</f>
        <v>0</v>
      </c>
    </row>
    <row r="99" spans="1:6" x14ac:dyDescent="0.25">
      <c r="A99" s="5" t="s">
        <v>29</v>
      </c>
      <c r="B99" s="19">
        <v>43897</v>
      </c>
      <c r="C99" s="4">
        <v>0</v>
      </c>
      <c r="D99" s="21">
        <v>0</v>
      </c>
      <c r="F99" s="57">
        <f t="shared" ref="F99:F121" si="2">E99+F75</f>
        <v>0</v>
      </c>
    </row>
    <row r="100" spans="1:6" x14ac:dyDescent="0.25">
      <c r="A100" s="5" t="s">
        <v>16</v>
      </c>
      <c r="B100" s="19">
        <v>43897</v>
      </c>
      <c r="C100" s="4">
        <v>0</v>
      </c>
      <c r="D100" s="21">
        <v>0</v>
      </c>
      <c r="F100" s="57">
        <f t="shared" si="2"/>
        <v>0</v>
      </c>
    </row>
    <row r="101" spans="1:6" x14ac:dyDescent="0.25">
      <c r="A101" s="5" t="s">
        <v>30</v>
      </c>
      <c r="B101" s="19">
        <v>43897</v>
      </c>
      <c r="C101" s="4">
        <v>0</v>
      </c>
      <c r="D101" s="21">
        <v>0</v>
      </c>
      <c r="F101" s="57">
        <f t="shared" si="2"/>
        <v>0</v>
      </c>
    </row>
    <row r="102" spans="1:6" x14ac:dyDescent="0.25">
      <c r="A102" s="5" t="s">
        <v>44</v>
      </c>
      <c r="B102" s="19">
        <v>43897</v>
      </c>
      <c r="C102" s="4">
        <v>1</v>
      </c>
      <c r="D102" s="21">
        <v>7</v>
      </c>
      <c r="E102" s="4">
        <v>1</v>
      </c>
      <c r="F102" s="57">
        <f t="shared" si="2"/>
        <v>1</v>
      </c>
    </row>
    <row r="103" spans="1:6" x14ac:dyDescent="0.25">
      <c r="A103" s="5" t="s">
        <v>21</v>
      </c>
      <c r="B103" s="19">
        <v>43897</v>
      </c>
      <c r="C103" s="4">
        <v>0</v>
      </c>
      <c r="D103" s="21">
        <v>1</v>
      </c>
      <c r="F103" s="57">
        <f t="shared" si="2"/>
        <v>0</v>
      </c>
    </row>
    <row r="104" spans="1:6" x14ac:dyDescent="0.25">
      <c r="A104" s="5" t="s">
        <v>31</v>
      </c>
      <c r="B104" s="19">
        <v>43897</v>
      </c>
      <c r="C104" s="4">
        <v>0</v>
      </c>
      <c r="D104" s="21">
        <v>0</v>
      </c>
      <c r="F104" s="57">
        <f t="shared" si="2"/>
        <v>0</v>
      </c>
    </row>
    <row r="105" spans="1:6" x14ac:dyDescent="0.25">
      <c r="A105" s="5" t="s">
        <v>32</v>
      </c>
      <c r="B105" s="19">
        <v>43897</v>
      </c>
      <c r="C105" s="4">
        <v>0</v>
      </c>
      <c r="D105" s="21">
        <v>0</v>
      </c>
      <c r="F105" s="57">
        <f t="shared" si="2"/>
        <v>0</v>
      </c>
    </row>
    <row r="106" spans="1:6" x14ac:dyDescent="0.25">
      <c r="A106" s="5" t="s">
        <v>42</v>
      </c>
      <c r="B106" s="19">
        <v>43897</v>
      </c>
      <c r="C106" s="4">
        <v>0</v>
      </c>
      <c r="D106" s="21">
        <v>0</v>
      </c>
      <c r="F106" s="57">
        <f t="shared" si="2"/>
        <v>0</v>
      </c>
    </row>
    <row r="107" spans="1:6" x14ac:dyDescent="0.25">
      <c r="A107" s="5" t="s">
        <v>33</v>
      </c>
      <c r="B107" s="19">
        <v>43897</v>
      </c>
      <c r="C107" s="4">
        <v>0</v>
      </c>
      <c r="D107" s="21">
        <v>0</v>
      </c>
      <c r="F107" s="57">
        <f t="shared" si="2"/>
        <v>0</v>
      </c>
    </row>
    <row r="108" spans="1:6" x14ac:dyDescent="0.25">
      <c r="A108" s="5" t="s">
        <v>34</v>
      </c>
      <c r="B108" s="19">
        <v>43897</v>
      </c>
      <c r="C108" s="4">
        <v>0</v>
      </c>
      <c r="D108" s="21">
        <v>0</v>
      </c>
      <c r="F108" s="57">
        <f t="shared" si="2"/>
        <v>0</v>
      </c>
    </row>
    <row r="109" spans="1:6" x14ac:dyDescent="0.25">
      <c r="A109" s="5" t="s">
        <v>22</v>
      </c>
      <c r="B109" s="19">
        <v>43897</v>
      </c>
      <c r="C109" s="4">
        <v>0</v>
      </c>
      <c r="D109" s="21">
        <v>0</v>
      </c>
      <c r="F109" s="57">
        <f t="shared" si="2"/>
        <v>0</v>
      </c>
    </row>
    <row r="110" spans="1:6" x14ac:dyDescent="0.25">
      <c r="A110" s="5" t="s">
        <v>18</v>
      </c>
      <c r="B110" s="19">
        <v>43897</v>
      </c>
      <c r="C110" s="4">
        <v>0</v>
      </c>
      <c r="D110" s="21">
        <v>0</v>
      </c>
      <c r="F110" s="57">
        <f t="shared" si="2"/>
        <v>0</v>
      </c>
    </row>
    <row r="111" spans="1:6" x14ac:dyDescent="0.25">
      <c r="A111" s="5" t="s">
        <v>24</v>
      </c>
      <c r="B111" s="19">
        <v>43897</v>
      </c>
      <c r="C111" s="4">
        <v>0</v>
      </c>
      <c r="D111" s="21">
        <v>0</v>
      </c>
      <c r="F111" s="57">
        <f t="shared" si="2"/>
        <v>0</v>
      </c>
    </row>
    <row r="112" spans="1:6" x14ac:dyDescent="0.25">
      <c r="A112" s="5" t="s">
        <v>20</v>
      </c>
      <c r="B112" s="19">
        <v>43897</v>
      </c>
      <c r="C112" s="4">
        <v>0</v>
      </c>
      <c r="D112" s="21">
        <v>0</v>
      </c>
      <c r="F112" s="57">
        <f t="shared" si="2"/>
        <v>0</v>
      </c>
    </row>
    <row r="113" spans="1:6" x14ac:dyDescent="0.25">
      <c r="A113" s="5" t="s">
        <v>19</v>
      </c>
      <c r="B113" s="19">
        <v>43897</v>
      </c>
      <c r="C113" s="4">
        <v>0</v>
      </c>
      <c r="D113" s="21">
        <v>0</v>
      </c>
      <c r="F113" s="57">
        <f t="shared" si="2"/>
        <v>0</v>
      </c>
    </row>
    <row r="114" spans="1:6" x14ac:dyDescent="0.25">
      <c r="A114" s="5" t="s">
        <v>35</v>
      </c>
      <c r="B114" s="19">
        <v>43897</v>
      </c>
      <c r="C114" s="4">
        <v>0</v>
      </c>
      <c r="D114" s="21">
        <v>0</v>
      </c>
      <c r="F114" s="57">
        <f t="shared" si="2"/>
        <v>0</v>
      </c>
    </row>
    <row r="115" spans="1:6" x14ac:dyDescent="0.25">
      <c r="A115" s="5" t="s">
        <v>36</v>
      </c>
      <c r="B115" s="19">
        <v>43897</v>
      </c>
      <c r="C115" s="4">
        <v>0</v>
      </c>
      <c r="D115" s="21">
        <v>0</v>
      </c>
      <c r="F115" s="57">
        <f t="shared" si="2"/>
        <v>0</v>
      </c>
    </row>
    <row r="116" spans="1:6" x14ac:dyDescent="0.25">
      <c r="A116" s="5" t="s">
        <v>37</v>
      </c>
      <c r="B116" s="19">
        <v>43897</v>
      </c>
      <c r="C116" s="4">
        <v>0</v>
      </c>
      <c r="D116" s="21">
        <v>0</v>
      </c>
      <c r="F116" s="57">
        <f t="shared" si="2"/>
        <v>0</v>
      </c>
    </row>
    <row r="117" spans="1:6" x14ac:dyDescent="0.25">
      <c r="A117" s="5" t="s">
        <v>38</v>
      </c>
      <c r="B117" s="19">
        <v>43897</v>
      </c>
      <c r="C117" s="4">
        <v>0</v>
      </c>
      <c r="D117" s="21">
        <v>0</v>
      </c>
      <c r="F117" s="57">
        <f t="shared" si="2"/>
        <v>0</v>
      </c>
    </row>
    <row r="118" spans="1:6" x14ac:dyDescent="0.25">
      <c r="A118" s="5" t="s">
        <v>23</v>
      </c>
      <c r="B118" s="19">
        <v>43897</v>
      </c>
      <c r="C118" s="4">
        <v>0</v>
      </c>
      <c r="D118" s="21">
        <v>0</v>
      </c>
      <c r="F118" s="57">
        <f t="shared" si="2"/>
        <v>0</v>
      </c>
    </row>
    <row r="119" spans="1:6" x14ac:dyDescent="0.25">
      <c r="A119" s="5" t="s">
        <v>39</v>
      </c>
      <c r="B119" s="19">
        <v>43897</v>
      </c>
      <c r="C119" s="4">
        <v>0</v>
      </c>
      <c r="D119" s="21">
        <v>0</v>
      </c>
      <c r="F119" s="57">
        <f t="shared" si="2"/>
        <v>0</v>
      </c>
    </row>
    <row r="120" spans="1:6" x14ac:dyDescent="0.25">
      <c r="A120" s="5" t="s">
        <v>40</v>
      </c>
      <c r="B120" s="19">
        <v>43897</v>
      </c>
      <c r="C120" s="4">
        <v>0</v>
      </c>
      <c r="D120" s="21">
        <v>0</v>
      </c>
      <c r="F120" s="57">
        <f t="shared" si="2"/>
        <v>0</v>
      </c>
    </row>
    <row r="121" spans="1:6" x14ac:dyDescent="0.25">
      <c r="A121" s="5" t="s">
        <v>41</v>
      </c>
      <c r="B121" s="19">
        <v>43897</v>
      </c>
      <c r="C121" s="4">
        <v>0</v>
      </c>
      <c r="D121" s="21">
        <v>0</v>
      </c>
      <c r="F121" s="57">
        <f t="shared" si="2"/>
        <v>0</v>
      </c>
    </row>
    <row r="122" spans="1:6" x14ac:dyDescent="0.25">
      <c r="A122" s="42" t="s">
        <v>17</v>
      </c>
      <c r="B122" s="19">
        <v>43898</v>
      </c>
      <c r="C122" s="4">
        <v>1</v>
      </c>
      <c r="D122" s="21">
        <v>2</v>
      </c>
      <c r="F122" s="57">
        <f>E122+F98</f>
        <v>0</v>
      </c>
    </row>
    <row r="123" spans="1:6" x14ac:dyDescent="0.25">
      <c r="A123" s="5" t="s">
        <v>29</v>
      </c>
      <c r="B123" s="19">
        <v>43898</v>
      </c>
      <c r="C123" s="4">
        <v>0</v>
      </c>
      <c r="D123" s="21">
        <v>0</v>
      </c>
      <c r="F123" s="57">
        <f t="shared" ref="F123:F145" si="3">E123+F99</f>
        <v>0</v>
      </c>
    </row>
    <row r="124" spans="1:6" x14ac:dyDescent="0.25">
      <c r="A124" s="5" t="s">
        <v>16</v>
      </c>
      <c r="B124" s="19">
        <v>43898</v>
      </c>
      <c r="C124" s="4">
        <v>0</v>
      </c>
      <c r="D124" s="21">
        <v>0</v>
      </c>
      <c r="F124" s="57">
        <f t="shared" si="3"/>
        <v>0</v>
      </c>
    </row>
    <row r="125" spans="1:6" x14ac:dyDescent="0.25">
      <c r="A125" s="5" t="s">
        <v>30</v>
      </c>
      <c r="B125" s="19">
        <v>43898</v>
      </c>
      <c r="C125" s="4">
        <v>0</v>
      </c>
      <c r="D125" s="21">
        <v>0</v>
      </c>
      <c r="F125" s="57">
        <f t="shared" si="3"/>
        <v>0</v>
      </c>
    </row>
    <row r="126" spans="1:6" x14ac:dyDescent="0.25">
      <c r="A126" s="5" t="s">
        <v>44</v>
      </c>
      <c r="B126" s="19">
        <v>43898</v>
      </c>
      <c r="C126" s="4">
        <v>2</v>
      </c>
      <c r="D126" s="21">
        <v>9</v>
      </c>
      <c r="F126" s="57">
        <f t="shared" si="3"/>
        <v>1</v>
      </c>
    </row>
    <row r="127" spans="1:6" x14ac:dyDescent="0.25">
      <c r="A127" s="5" t="s">
        <v>21</v>
      </c>
      <c r="B127" s="19">
        <v>43898</v>
      </c>
      <c r="C127" s="4">
        <v>0</v>
      </c>
      <c r="D127" s="21">
        <v>1</v>
      </c>
      <c r="F127" s="57">
        <f t="shared" si="3"/>
        <v>0</v>
      </c>
    </row>
    <row r="128" spans="1:6" x14ac:dyDescent="0.25">
      <c r="A128" s="5" t="s">
        <v>31</v>
      </c>
      <c r="B128" s="19">
        <v>43898</v>
      </c>
      <c r="C128" s="4">
        <v>0</v>
      </c>
      <c r="D128" s="21">
        <v>0</v>
      </c>
      <c r="F128" s="57">
        <f t="shared" si="3"/>
        <v>0</v>
      </c>
    </row>
    <row r="129" spans="1:6" x14ac:dyDescent="0.25">
      <c r="A129" s="5" t="s">
        <v>32</v>
      </c>
      <c r="B129" s="19">
        <v>43898</v>
      </c>
      <c r="C129" s="4">
        <v>0</v>
      </c>
      <c r="D129" s="21">
        <v>0</v>
      </c>
      <c r="F129" s="57">
        <f t="shared" si="3"/>
        <v>0</v>
      </c>
    </row>
    <row r="130" spans="1:6" x14ac:dyDescent="0.25">
      <c r="A130" s="5" t="s">
        <v>42</v>
      </c>
      <c r="B130" s="19">
        <v>43898</v>
      </c>
      <c r="C130" s="4">
        <v>0</v>
      </c>
      <c r="D130" s="21">
        <v>0</v>
      </c>
      <c r="F130" s="57">
        <f t="shared" si="3"/>
        <v>0</v>
      </c>
    </row>
    <row r="131" spans="1:6" x14ac:dyDescent="0.25">
      <c r="A131" s="5" t="s">
        <v>33</v>
      </c>
      <c r="B131" s="19">
        <v>43898</v>
      </c>
      <c r="C131" s="4">
        <v>0</v>
      </c>
      <c r="D131" s="21">
        <v>0</v>
      </c>
      <c r="F131" s="57">
        <f t="shared" si="3"/>
        <v>0</v>
      </c>
    </row>
    <row r="132" spans="1:6" x14ac:dyDescent="0.25">
      <c r="A132" s="5" t="s">
        <v>34</v>
      </c>
      <c r="B132" s="19">
        <v>43898</v>
      </c>
      <c r="C132" s="4">
        <v>0</v>
      </c>
      <c r="D132" s="21">
        <v>0</v>
      </c>
      <c r="F132" s="57">
        <f t="shared" si="3"/>
        <v>0</v>
      </c>
    </row>
    <row r="133" spans="1:6" x14ac:dyDescent="0.25">
      <c r="A133" s="5" t="s">
        <v>22</v>
      </c>
      <c r="B133" s="19">
        <v>43898</v>
      </c>
      <c r="C133" s="4">
        <v>0</v>
      </c>
      <c r="D133" s="21">
        <v>0</v>
      </c>
      <c r="F133" s="57">
        <f t="shared" si="3"/>
        <v>0</v>
      </c>
    </row>
    <row r="134" spans="1:6" x14ac:dyDescent="0.25">
      <c r="A134" s="5" t="s">
        <v>18</v>
      </c>
      <c r="B134" s="19">
        <v>43898</v>
      </c>
      <c r="C134" s="4">
        <v>0</v>
      </c>
      <c r="D134" s="21">
        <v>0</v>
      </c>
      <c r="F134" s="57">
        <f t="shared" si="3"/>
        <v>0</v>
      </c>
    </row>
    <row r="135" spans="1:6" x14ac:dyDescent="0.25">
      <c r="A135" s="5" t="s">
        <v>24</v>
      </c>
      <c r="B135" s="19">
        <v>43898</v>
      </c>
      <c r="C135" s="4">
        <v>0</v>
      </c>
      <c r="D135" s="21">
        <v>0</v>
      </c>
      <c r="F135" s="57">
        <f t="shared" si="3"/>
        <v>0</v>
      </c>
    </row>
    <row r="136" spans="1:6" x14ac:dyDescent="0.25">
      <c r="A136" s="5" t="s">
        <v>20</v>
      </c>
      <c r="B136" s="19">
        <v>43898</v>
      </c>
      <c r="C136" s="4">
        <v>0</v>
      </c>
      <c r="D136" s="21">
        <v>0</v>
      </c>
      <c r="F136" s="57">
        <f t="shared" si="3"/>
        <v>0</v>
      </c>
    </row>
    <row r="137" spans="1:6" x14ac:dyDescent="0.25">
      <c r="A137" s="5" t="s">
        <v>19</v>
      </c>
      <c r="B137" s="19">
        <v>43898</v>
      </c>
      <c r="C137" s="4">
        <v>0</v>
      </c>
      <c r="D137" s="21">
        <v>0</v>
      </c>
      <c r="F137" s="57">
        <f t="shared" si="3"/>
        <v>0</v>
      </c>
    </row>
    <row r="138" spans="1:6" x14ac:dyDescent="0.25">
      <c r="A138" s="5" t="s">
        <v>35</v>
      </c>
      <c r="B138" s="19">
        <v>43898</v>
      </c>
      <c r="C138" s="4">
        <v>0</v>
      </c>
      <c r="D138" s="21">
        <v>0</v>
      </c>
      <c r="F138" s="57">
        <f t="shared" si="3"/>
        <v>0</v>
      </c>
    </row>
    <row r="139" spans="1:6" x14ac:dyDescent="0.25">
      <c r="A139" s="5" t="s">
        <v>36</v>
      </c>
      <c r="B139" s="19">
        <v>43898</v>
      </c>
      <c r="C139" s="4">
        <v>0</v>
      </c>
      <c r="D139" s="21">
        <v>0</v>
      </c>
      <c r="F139" s="57">
        <f t="shared" si="3"/>
        <v>0</v>
      </c>
    </row>
    <row r="140" spans="1:6" x14ac:dyDescent="0.25">
      <c r="A140" s="5" t="s">
        <v>37</v>
      </c>
      <c r="B140" s="19">
        <v>43898</v>
      </c>
      <c r="C140" s="4">
        <v>0</v>
      </c>
      <c r="D140" s="21">
        <v>0</v>
      </c>
      <c r="F140" s="57">
        <f t="shared" si="3"/>
        <v>0</v>
      </c>
    </row>
    <row r="141" spans="1:6" x14ac:dyDescent="0.25">
      <c r="A141" s="5" t="s">
        <v>38</v>
      </c>
      <c r="B141" s="19">
        <v>43898</v>
      </c>
      <c r="C141" s="4">
        <v>0</v>
      </c>
      <c r="D141" s="21">
        <v>0</v>
      </c>
      <c r="F141" s="57">
        <f t="shared" si="3"/>
        <v>0</v>
      </c>
    </row>
    <row r="142" spans="1:6" x14ac:dyDescent="0.25">
      <c r="A142" s="5" t="s">
        <v>23</v>
      </c>
      <c r="B142" s="19">
        <v>43898</v>
      </c>
      <c r="C142" s="4">
        <v>0</v>
      </c>
      <c r="D142" s="21">
        <v>0</v>
      </c>
      <c r="F142" s="57">
        <f t="shared" si="3"/>
        <v>0</v>
      </c>
    </row>
    <row r="143" spans="1:6" x14ac:dyDescent="0.25">
      <c r="A143" s="5" t="s">
        <v>39</v>
      </c>
      <c r="B143" s="19">
        <v>43898</v>
      </c>
      <c r="C143" s="4">
        <v>0</v>
      </c>
      <c r="D143" s="21">
        <v>0</v>
      </c>
      <c r="F143" s="57">
        <f t="shared" si="3"/>
        <v>0</v>
      </c>
    </row>
    <row r="144" spans="1:6" x14ac:dyDescent="0.25">
      <c r="A144" s="5" t="s">
        <v>40</v>
      </c>
      <c r="B144" s="19">
        <v>43898</v>
      </c>
      <c r="C144" s="4">
        <v>0</v>
      </c>
      <c r="D144" s="21">
        <v>0</v>
      </c>
      <c r="F144" s="57">
        <f t="shared" si="3"/>
        <v>0</v>
      </c>
    </row>
    <row r="145" spans="1:6" x14ac:dyDescent="0.25">
      <c r="A145" s="5" t="s">
        <v>41</v>
      </c>
      <c r="B145" s="19">
        <v>43898</v>
      </c>
      <c r="C145" s="4">
        <v>0</v>
      </c>
      <c r="D145" s="21">
        <v>0</v>
      </c>
      <c r="F145" s="57">
        <f t="shared" si="3"/>
        <v>0</v>
      </c>
    </row>
    <row r="146" spans="1:6" x14ac:dyDescent="0.25">
      <c r="A146" s="42" t="s">
        <v>17</v>
      </c>
      <c r="B146" s="19">
        <v>43899</v>
      </c>
      <c r="C146" s="4">
        <v>0</v>
      </c>
      <c r="D146" s="21">
        <v>2</v>
      </c>
      <c r="F146" s="57">
        <f>E146+F122</f>
        <v>0</v>
      </c>
    </row>
    <row r="147" spans="1:6" x14ac:dyDescent="0.25">
      <c r="A147" s="5" t="s">
        <v>29</v>
      </c>
      <c r="B147" s="19">
        <v>43899</v>
      </c>
      <c r="C147" s="4">
        <v>0</v>
      </c>
      <c r="D147" s="21">
        <v>0</v>
      </c>
      <c r="F147" s="57">
        <f t="shared" ref="F147:F169" si="4">E147+F123</f>
        <v>0</v>
      </c>
    </row>
    <row r="148" spans="1:6" x14ac:dyDescent="0.25">
      <c r="A148" s="5" t="s">
        <v>16</v>
      </c>
      <c r="B148" s="19">
        <v>43899</v>
      </c>
      <c r="C148" s="4">
        <v>2</v>
      </c>
      <c r="D148" s="21">
        <v>2</v>
      </c>
      <c r="F148" s="57">
        <f t="shared" si="4"/>
        <v>0</v>
      </c>
    </row>
    <row r="149" spans="1:6" x14ac:dyDescent="0.25">
      <c r="A149" s="5" t="s">
        <v>30</v>
      </c>
      <c r="B149" s="19">
        <v>43899</v>
      </c>
      <c r="C149" s="4">
        <v>0</v>
      </c>
      <c r="D149" s="21">
        <v>0</v>
      </c>
      <c r="F149" s="57">
        <f t="shared" si="4"/>
        <v>0</v>
      </c>
    </row>
    <row r="150" spans="1:6" x14ac:dyDescent="0.25">
      <c r="A150" s="5" t="s">
        <v>44</v>
      </c>
      <c r="B150" s="19">
        <v>43899</v>
      </c>
      <c r="C150" s="4">
        <v>1</v>
      </c>
      <c r="D150" s="21">
        <v>10</v>
      </c>
      <c r="F150" s="57">
        <f t="shared" si="4"/>
        <v>1</v>
      </c>
    </row>
    <row r="151" spans="1:6" x14ac:dyDescent="0.25">
      <c r="A151" s="5" t="s">
        <v>21</v>
      </c>
      <c r="B151" s="19">
        <v>43899</v>
      </c>
      <c r="C151" s="4">
        <v>0</v>
      </c>
      <c r="D151" s="21">
        <v>1</v>
      </c>
      <c r="F151" s="57">
        <f t="shared" si="4"/>
        <v>0</v>
      </c>
    </row>
    <row r="152" spans="1:6" x14ac:dyDescent="0.25">
      <c r="A152" s="5" t="s">
        <v>31</v>
      </c>
      <c r="B152" s="19">
        <v>43899</v>
      </c>
      <c r="C152" s="4">
        <v>0</v>
      </c>
      <c r="D152" s="21">
        <v>0</v>
      </c>
      <c r="F152" s="57">
        <f t="shared" si="4"/>
        <v>0</v>
      </c>
    </row>
    <row r="153" spans="1:6" x14ac:dyDescent="0.25">
      <c r="A153" s="5" t="s">
        <v>32</v>
      </c>
      <c r="B153" s="19">
        <v>43899</v>
      </c>
      <c r="C153" s="4">
        <v>0</v>
      </c>
      <c r="D153" s="21">
        <v>0</v>
      </c>
      <c r="F153" s="57">
        <f t="shared" si="4"/>
        <v>0</v>
      </c>
    </row>
    <row r="154" spans="1:6" x14ac:dyDescent="0.25">
      <c r="A154" s="5" t="s">
        <v>42</v>
      </c>
      <c r="B154" s="19">
        <v>43899</v>
      </c>
      <c r="C154" s="4">
        <v>0</v>
      </c>
      <c r="D154" s="21">
        <v>0</v>
      </c>
      <c r="F154" s="57">
        <f t="shared" si="4"/>
        <v>0</v>
      </c>
    </row>
    <row r="155" spans="1:6" x14ac:dyDescent="0.25">
      <c r="A155" s="5" t="s">
        <v>33</v>
      </c>
      <c r="B155" s="19">
        <v>43899</v>
      </c>
      <c r="C155" s="4">
        <v>0</v>
      </c>
      <c r="D155" s="21">
        <v>0</v>
      </c>
      <c r="F155" s="57">
        <f t="shared" si="4"/>
        <v>0</v>
      </c>
    </row>
    <row r="156" spans="1:6" x14ac:dyDescent="0.25">
      <c r="A156" s="5" t="s">
        <v>34</v>
      </c>
      <c r="B156" s="19">
        <v>43899</v>
      </c>
      <c r="C156" s="4">
        <v>0</v>
      </c>
      <c r="D156" s="21">
        <v>0</v>
      </c>
      <c r="F156" s="57">
        <f t="shared" si="4"/>
        <v>0</v>
      </c>
    </row>
    <row r="157" spans="1:6" x14ac:dyDescent="0.25">
      <c r="A157" s="5" t="s">
        <v>22</v>
      </c>
      <c r="B157" s="19">
        <v>43899</v>
      </c>
      <c r="C157" s="4">
        <v>0</v>
      </c>
      <c r="D157" s="21">
        <v>0</v>
      </c>
      <c r="F157" s="57">
        <f t="shared" si="4"/>
        <v>0</v>
      </c>
    </row>
    <row r="158" spans="1:6" x14ac:dyDescent="0.25">
      <c r="A158" s="5" t="s">
        <v>18</v>
      </c>
      <c r="B158" s="19">
        <v>43899</v>
      </c>
      <c r="C158" s="4">
        <v>0</v>
      </c>
      <c r="D158" s="21">
        <v>0</v>
      </c>
      <c r="F158" s="57">
        <f t="shared" si="4"/>
        <v>0</v>
      </c>
    </row>
    <row r="159" spans="1:6" x14ac:dyDescent="0.25">
      <c r="A159" s="5" t="s">
        <v>24</v>
      </c>
      <c r="B159" s="19">
        <v>43899</v>
      </c>
      <c r="C159" s="4">
        <v>0</v>
      </c>
      <c r="D159" s="21">
        <v>0</v>
      </c>
      <c r="F159" s="57">
        <f t="shared" si="4"/>
        <v>0</v>
      </c>
    </row>
    <row r="160" spans="1:6" x14ac:dyDescent="0.25">
      <c r="A160" s="5" t="s">
        <v>20</v>
      </c>
      <c r="B160" s="19">
        <v>43899</v>
      </c>
      <c r="C160" s="4">
        <v>0</v>
      </c>
      <c r="D160" s="21">
        <v>0</v>
      </c>
      <c r="F160" s="57">
        <f t="shared" si="4"/>
        <v>0</v>
      </c>
    </row>
    <row r="161" spans="1:6" x14ac:dyDescent="0.25">
      <c r="A161" s="5" t="s">
        <v>19</v>
      </c>
      <c r="B161" s="19">
        <v>43899</v>
      </c>
      <c r="C161" s="4">
        <v>1</v>
      </c>
      <c r="D161" s="21">
        <v>1</v>
      </c>
      <c r="F161" s="57">
        <f t="shared" si="4"/>
        <v>0</v>
      </c>
    </row>
    <row r="162" spans="1:6" x14ac:dyDescent="0.25">
      <c r="A162" s="5" t="s">
        <v>35</v>
      </c>
      <c r="B162" s="19">
        <v>43899</v>
      </c>
      <c r="C162" s="4">
        <v>0</v>
      </c>
      <c r="D162" s="21">
        <v>0</v>
      </c>
      <c r="F162" s="57">
        <f t="shared" si="4"/>
        <v>0</v>
      </c>
    </row>
    <row r="163" spans="1:6" x14ac:dyDescent="0.25">
      <c r="A163" s="5" t="s">
        <v>36</v>
      </c>
      <c r="B163" s="19">
        <v>43899</v>
      </c>
      <c r="C163" s="4">
        <v>0</v>
      </c>
      <c r="D163" s="21">
        <v>0</v>
      </c>
      <c r="F163" s="57">
        <f t="shared" si="4"/>
        <v>0</v>
      </c>
    </row>
    <row r="164" spans="1:6" x14ac:dyDescent="0.25">
      <c r="A164" s="5" t="s">
        <v>37</v>
      </c>
      <c r="B164" s="19">
        <v>43899</v>
      </c>
      <c r="C164" s="4">
        <v>1</v>
      </c>
      <c r="D164" s="21">
        <v>1</v>
      </c>
      <c r="F164" s="57">
        <f t="shared" si="4"/>
        <v>0</v>
      </c>
    </row>
    <row r="165" spans="1:6" x14ac:dyDescent="0.25">
      <c r="A165" s="5" t="s">
        <v>38</v>
      </c>
      <c r="B165" s="19">
        <v>43899</v>
      </c>
      <c r="C165" s="4">
        <v>0</v>
      </c>
      <c r="D165" s="21">
        <v>0</v>
      </c>
      <c r="F165" s="57">
        <f t="shared" si="4"/>
        <v>0</v>
      </c>
    </row>
    <row r="166" spans="1:6" x14ac:dyDescent="0.25">
      <c r="A166" s="5" t="s">
        <v>23</v>
      </c>
      <c r="B166" s="19">
        <v>43899</v>
      </c>
      <c r="C166" s="4">
        <v>0</v>
      </c>
      <c r="D166" s="21">
        <v>0</v>
      </c>
      <c r="F166" s="57">
        <f t="shared" si="4"/>
        <v>0</v>
      </c>
    </row>
    <row r="167" spans="1:6" x14ac:dyDescent="0.25">
      <c r="A167" s="5" t="s">
        <v>39</v>
      </c>
      <c r="B167" s="19">
        <v>43899</v>
      </c>
      <c r="C167" s="4">
        <v>0</v>
      </c>
      <c r="D167" s="21">
        <v>0</v>
      </c>
      <c r="F167" s="57">
        <f t="shared" si="4"/>
        <v>0</v>
      </c>
    </row>
    <row r="168" spans="1:6" x14ac:dyDescent="0.25">
      <c r="A168" s="5" t="s">
        <v>40</v>
      </c>
      <c r="B168" s="19">
        <v>43899</v>
      </c>
      <c r="C168" s="4">
        <v>0</v>
      </c>
      <c r="D168" s="21">
        <v>0</v>
      </c>
      <c r="F168" s="57">
        <f t="shared" si="4"/>
        <v>0</v>
      </c>
    </row>
    <row r="169" spans="1:6" x14ac:dyDescent="0.25">
      <c r="A169" s="5" t="s">
        <v>41</v>
      </c>
      <c r="B169" s="19">
        <v>43899</v>
      </c>
      <c r="C169" s="4">
        <v>0</v>
      </c>
      <c r="D169" s="21">
        <v>0</v>
      </c>
      <c r="F169" s="57">
        <f t="shared" si="4"/>
        <v>0</v>
      </c>
    </row>
    <row r="170" spans="1:6" x14ac:dyDescent="0.25">
      <c r="A170" s="42" t="s">
        <v>17</v>
      </c>
      <c r="B170" s="19">
        <v>43900</v>
      </c>
      <c r="C170" s="4">
        <v>1</v>
      </c>
      <c r="D170" s="21">
        <v>3</v>
      </c>
      <c r="F170" s="57">
        <f>E170+F146</f>
        <v>0</v>
      </c>
    </row>
    <row r="171" spans="1:6" x14ac:dyDescent="0.25">
      <c r="A171" s="5" t="s">
        <v>29</v>
      </c>
      <c r="B171" s="19">
        <v>43900</v>
      </c>
      <c r="C171" s="4">
        <v>0</v>
      </c>
      <c r="D171" s="21">
        <v>0</v>
      </c>
      <c r="F171" s="57">
        <f t="shared" ref="F171:F193" si="5">E171+F147</f>
        <v>0</v>
      </c>
    </row>
    <row r="172" spans="1:6" x14ac:dyDescent="0.25">
      <c r="A172" s="5" t="s">
        <v>16</v>
      </c>
      <c r="B172" s="19">
        <v>43900</v>
      </c>
      <c r="C172" s="4">
        <v>0</v>
      </c>
      <c r="D172" s="21">
        <v>2</v>
      </c>
      <c r="F172" s="57">
        <f t="shared" si="5"/>
        <v>0</v>
      </c>
    </row>
    <row r="173" spans="1:6" x14ac:dyDescent="0.25">
      <c r="A173" s="5" t="s">
        <v>30</v>
      </c>
      <c r="B173" s="19">
        <v>43900</v>
      </c>
      <c r="C173" s="4">
        <v>0</v>
      </c>
      <c r="D173" s="21">
        <v>0</v>
      </c>
      <c r="F173" s="57">
        <f t="shared" si="5"/>
        <v>0</v>
      </c>
    </row>
    <row r="174" spans="1:6" x14ac:dyDescent="0.25">
      <c r="A174" s="5" t="s">
        <v>44</v>
      </c>
      <c r="B174" s="19">
        <v>43900</v>
      </c>
      <c r="C174" s="4">
        <v>1</v>
      </c>
      <c r="D174" s="21">
        <v>11</v>
      </c>
      <c r="F174" s="57">
        <f t="shared" si="5"/>
        <v>1</v>
      </c>
    </row>
    <row r="175" spans="1:6" x14ac:dyDescent="0.25">
      <c r="A175" s="5" t="s">
        <v>21</v>
      </c>
      <c r="B175" s="19">
        <v>43900</v>
      </c>
      <c r="C175" s="4">
        <v>0</v>
      </c>
      <c r="D175" s="21">
        <v>1</v>
      </c>
      <c r="F175" s="57">
        <f t="shared" si="5"/>
        <v>0</v>
      </c>
    </row>
    <row r="176" spans="1:6" x14ac:dyDescent="0.25">
      <c r="A176" s="5" t="s">
        <v>31</v>
      </c>
      <c r="B176" s="19">
        <v>43900</v>
      </c>
      <c r="C176" s="4">
        <v>0</v>
      </c>
      <c r="D176" s="21">
        <v>0</v>
      </c>
      <c r="F176" s="57">
        <f t="shared" si="5"/>
        <v>0</v>
      </c>
    </row>
    <row r="177" spans="1:6" x14ac:dyDescent="0.25">
      <c r="A177" s="5" t="s">
        <v>32</v>
      </c>
      <c r="B177" s="19">
        <v>43900</v>
      </c>
      <c r="C177" s="4">
        <v>0</v>
      </c>
      <c r="D177" s="21">
        <v>0</v>
      </c>
      <c r="F177" s="57">
        <f t="shared" si="5"/>
        <v>0</v>
      </c>
    </row>
    <row r="178" spans="1:6" x14ac:dyDescent="0.25">
      <c r="A178" s="5" t="s">
        <v>42</v>
      </c>
      <c r="B178" s="19">
        <v>43900</v>
      </c>
      <c r="C178" s="4">
        <v>0</v>
      </c>
      <c r="D178" s="21">
        <v>0</v>
      </c>
      <c r="F178" s="57">
        <f t="shared" si="5"/>
        <v>0</v>
      </c>
    </row>
    <row r="179" spans="1:6" x14ac:dyDescent="0.25">
      <c r="A179" s="5" t="s">
        <v>33</v>
      </c>
      <c r="B179" s="19">
        <v>43900</v>
      </c>
      <c r="C179" s="4">
        <v>0</v>
      </c>
      <c r="D179" s="21">
        <v>0</v>
      </c>
      <c r="F179" s="57">
        <f t="shared" si="5"/>
        <v>0</v>
      </c>
    </row>
    <row r="180" spans="1:6" x14ac:dyDescent="0.25">
      <c r="A180" s="5" t="s">
        <v>34</v>
      </c>
      <c r="B180" s="19">
        <v>43900</v>
      </c>
      <c r="C180" s="4">
        <v>0</v>
      </c>
      <c r="D180" s="21">
        <v>0</v>
      </c>
      <c r="F180" s="57">
        <f t="shared" si="5"/>
        <v>0</v>
      </c>
    </row>
    <row r="181" spans="1:6" x14ac:dyDescent="0.25">
      <c r="A181" s="5" t="s">
        <v>22</v>
      </c>
      <c r="B181" s="19">
        <v>43900</v>
      </c>
      <c r="C181" s="4">
        <v>0</v>
      </c>
      <c r="D181" s="21">
        <v>0</v>
      </c>
      <c r="F181" s="57">
        <f t="shared" si="5"/>
        <v>0</v>
      </c>
    </row>
    <row r="182" spans="1:6" x14ac:dyDescent="0.25">
      <c r="A182" s="5" t="s">
        <v>18</v>
      </c>
      <c r="B182" s="19">
        <v>43900</v>
      </c>
      <c r="C182" s="4">
        <v>0</v>
      </c>
      <c r="D182" s="21">
        <v>0</v>
      </c>
      <c r="F182" s="57">
        <f t="shared" si="5"/>
        <v>0</v>
      </c>
    </row>
    <row r="183" spans="1:6" x14ac:dyDescent="0.25">
      <c r="A183" s="5" t="s">
        <v>24</v>
      </c>
      <c r="B183" s="19">
        <v>43900</v>
      </c>
      <c r="C183" s="4">
        <v>0</v>
      </c>
      <c r="D183" s="21">
        <v>0</v>
      </c>
      <c r="F183" s="57">
        <f t="shared" si="5"/>
        <v>0</v>
      </c>
    </row>
    <row r="184" spans="1:6" x14ac:dyDescent="0.25">
      <c r="A184" s="5" t="s">
        <v>20</v>
      </c>
      <c r="B184" s="19">
        <v>43900</v>
      </c>
      <c r="C184" s="4">
        <v>0</v>
      </c>
      <c r="D184" s="21">
        <v>0</v>
      </c>
      <c r="F184" s="57">
        <f t="shared" si="5"/>
        <v>0</v>
      </c>
    </row>
    <row r="185" spans="1:6" x14ac:dyDescent="0.25">
      <c r="A185" s="5" t="s">
        <v>19</v>
      </c>
      <c r="B185" s="19">
        <v>43900</v>
      </c>
      <c r="C185" s="4">
        <v>0</v>
      </c>
      <c r="D185" s="21">
        <v>1</v>
      </c>
      <c r="F185" s="57">
        <f t="shared" si="5"/>
        <v>0</v>
      </c>
    </row>
    <row r="186" spans="1:6" x14ac:dyDescent="0.25">
      <c r="A186" s="5" t="s">
        <v>35</v>
      </c>
      <c r="B186" s="19">
        <v>43900</v>
      </c>
      <c r="C186" s="4">
        <v>0</v>
      </c>
      <c r="D186" s="21">
        <v>0</v>
      </c>
      <c r="F186" s="57">
        <f t="shared" si="5"/>
        <v>0</v>
      </c>
    </row>
    <row r="187" spans="1:6" x14ac:dyDescent="0.25">
      <c r="A187" s="5" t="s">
        <v>36</v>
      </c>
      <c r="B187" s="19">
        <v>43900</v>
      </c>
      <c r="C187" s="4">
        <v>0</v>
      </c>
      <c r="D187" s="21">
        <v>0</v>
      </c>
      <c r="F187" s="57">
        <f t="shared" si="5"/>
        <v>0</v>
      </c>
    </row>
    <row r="188" spans="1:6" x14ac:dyDescent="0.25">
      <c r="A188" s="5" t="s">
        <v>37</v>
      </c>
      <c r="B188" s="19">
        <v>43900</v>
      </c>
      <c r="C188" s="4">
        <v>0</v>
      </c>
      <c r="D188" s="21">
        <v>1</v>
      </c>
      <c r="F188" s="57">
        <f t="shared" si="5"/>
        <v>0</v>
      </c>
    </row>
    <row r="189" spans="1:6" x14ac:dyDescent="0.25">
      <c r="A189" s="5" t="s">
        <v>38</v>
      </c>
      <c r="B189" s="19">
        <v>43900</v>
      </c>
      <c r="C189" s="4">
        <v>0</v>
      </c>
      <c r="D189" s="21">
        <v>0</v>
      </c>
      <c r="F189" s="57">
        <f t="shared" si="5"/>
        <v>0</v>
      </c>
    </row>
    <row r="190" spans="1:6" x14ac:dyDescent="0.25">
      <c r="A190" s="5" t="s">
        <v>23</v>
      </c>
      <c r="B190" s="19">
        <v>43900</v>
      </c>
      <c r="C190" s="4">
        <v>0</v>
      </c>
      <c r="D190" s="21">
        <v>0</v>
      </c>
      <c r="F190" s="57">
        <f t="shared" si="5"/>
        <v>0</v>
      </c>
    </row>
    <row r="191" spans="1:6" x14ac:dyDescent="0.25">
      <c r="A191" s="5" t="s">
        <v>39</v>
      </c>
      <c r="B191" s="19">
        <v>43900</v>
      </c>
      <c r="C191" s="4">
        <v>0</v>
      </c>
      <c r="D191" s="21">
        <v>0</v>
      </c>
      <c r="F191" s="57">
        <f t="shared" si="5"/>
        <v>0</v>
      </c>
    </row>
    <row r="192" spans="1:6" x14ac:dyDescent="0.25">
      <c r="A192" s="5" t="s">
        <v>40</v>
      </c>
      <c r="B192" s="19">
        <v>43900</v>
      </c>
      <c r="C192" s="4">
        <v>0</v>
      </c>
      <c r="D192" s="21">
        <v>0</v>
      </c>
      <c r="F192" s="57">
        <f t="shared" si="5"/>
        <v>0</v>
      </c>
    </row>
    <row r="193" spans="1:6" x14ac:dyDescent="0.25">
      <c r="A193" s="5" t="s">
        <v>41</v>
      </c>
      <c r="B193" s="19">
        <v>43900</v>
      </c>
      <c r="C193" s="4">
        <v>0</v>
      </c>
      <c r="D193" s="21">
        <v>0</v>
      </c>
      <c r="F193" s="57">
        <f t="shared" si="5"/>
        <v>0</v>
      </c>
    </row>
    <row r="194" spans="1:6" x14ac:dyDescent="0.25">
      <c r="A194" s="42" t="s">
        <v>17</v>
      </c>
      <c r="B194" s="19">
        <v>43901</v>
      </c>
      <c r="C194" s="4">
        <v>1</v>
      </c>
      <c r="D194" s="21">
        <v>4</v>
      </c>
      <c r="F194" s="57">
        <f>E194+F170</f>
        <v>0</v>
      </c>
    </row>
    <row r="195" spans="1:6" x14ac:dyDescent="0.25">
      <c r="A195" s="5" t="s">
        <v>29</v>
      </c>
      <c r="B195" s="19">
        <v>43901</v>
      </c>
      <c r="C195" s="4">
        <v>0</v>
      </c>
      <c r="D195" s="21">
        <v>0</v>
      </c>
      <c r="F195" s="57">
        <f t="shared" ref="F195:F217" si="6">E195+F171</f>
        <v>0</v>
      </c>
    </row>
    <row r="196" spans="1:6" x14ac:dyDescent="0.25">
      <c r="A196" s="5" t="s">
        <v>16</v>
      </c>
      <c r="B196" s="19">
        <v>43901</v>
      </c>
      <c r="C196" s="4">
        <v>0</v>
      </c>
      <c r="D196" s="21">
        <v>2</v>
      </c>
      <c r="F196" s="57">
        <f t="shared" si="6"/>
        <v>0</v>
      </c>
    </row>
    <row r="197" spans="1:6" x14ac:dyDescent="0.25">
      <c r="A197" s="5" t="s">
        <v>30</v>
      </c>
      <c r="B197" s="19">
        <v>43901</v>
      </c>
      <c r="C197" s="4">
        <v>0</v>
      </c>
      <c r="D197" s="21">
        <v>0</v>
      </c>
      <c r="F197" s="57">
        <f t="shared" si="6"/>
        <v>0</v>
      </c>
    </row>
    <row r="198" spans="1:6" x14ac:dyDescent="0.25">
      <c r="A198" s="5" t="s">
        <v>44</v>
      </c>
      <c r="B198" s="19">
        <v>43901</v>
      </c>
      <c r="C198" s="4">
        <v>1</v>
      </c>
      <c r="D198" s="21">
        <v>12</v>
      </c>
      <c r="F198" s="57">
        <f t="shared" si="6"/>
        <v>1</v>
      </c>
    </row>
    <row r="199" spans="1:6" x14ac:dyDescent="0.25">
      <c r="A199" s="5" t="s">
        <v>21</v>
      </c>
      <c r="B199" s="19">
        <v>43901</v>
      </c>
      <c r="C199" s="4">
        <v>0</v>
      </c>
      <c r="D199" s="21">
        <v>1</v>
      </c>
      <c r="F199" s="57">
        <f t="shared" si="6"/>
        <v>0</v>
      </c>
    </row>
    <row r="200" spans="1:6" x14ac:dyDescent="0.25">
      <c r="A200" s="5" t="s">
        <v>31</v>
      </c>
      <c r="B200" s="19">
        <v>43901</v>
      </c>
      <c r="C200" s="4">
        <v>0</v>
      </c>
      <c r="D200" s="21">
        <v>0</v>
      </c>
      <c r="F200" s="57">
        <f t="shared" si="6"/>
        <v>0</v>
      </c>
    </row>
    <row r="201" spans="1:6" x14ac:dyDescent="0.25">
      <c r="A201" s="5" t="s">
        <v>32</v>
      </c>
      <c r="B201" s="19">
        <v>43901</v>
      </c>
      <c r="C201" s="4">
        <v>0</v>
      </c>
      <c r="D201" s="21">
        <v>0</v>
      </c>
      <c r="F201" s="57">
        <f t="shared" si="6"/>
        <v>0</v>
      </c>
    </row>
    <row r="202" spans="1:6" x14ac:dyDescent="0.25">
      <c r="A202" s="5" t="s">
        <v>42</v>
      </c>
      <c r="B202" s="19">
        <v>43901</v>
      </c>
      <c r="C202" s="4">
        <v>0</v>
      </c>
      <c r="D202" s="21">
        <v>0</v>
      </c>
      <c r="F202" s="57">
        <f t="shared" si="6"/>
        <v>0</v>
      </c>
    </row>
    <row r="203" spans="1:6" x14ac:dyDescent="0.25">
      <c r="A203" s="5" t="s">
        <v>33</v>
      </c>
      <c r="B203" s="19">
        <v>43901</v>
      </c>
      <c r="C203" s="4">
        <v>0</v>
      </c>
      <c r="D203" s="21">
        <v>0</v>
      </c>
      <c r="F203" s="57">
        <f t="shared" si="6"/>
        <v>0</v>
      </c>
    </row>
    <row r="204" spans="1:6" x14ac:dyDescent="0.25">
      <c r="A204" s="5" t="s">
        <v>34</v>
      </c>
      <c r="B204" s="19">
        <v>43901</v>
      </c>
      <c r="C204" s="4">
        <v>0</v>
      </c>
      <c r="D204" s="21">
        <v>0</v>
      </c>
      <c r="F204" s="57">
        <f t="shared" si="6"/>
        <v>0</v>
      </c>
    </row>
    <row r="205" spans="1:6" x14ac:dyDescent="0.25">
      <c r="A205" s="5" t="s">
        <v>22</v>
      </c>
      <c r="B205" s="19">
        <v>43901</v>
      </c>
      <c r="C205" s="4">
        <v>0</v>
      </c>
      <c r="D205" s="21">
        <v>0</v>
      </c>
      <c r="F205" s="57">
        <f t="shared" si="6"/>
        <v>0</v>
      </c>
    </row>
    <row r="206" spans="1:6" x14ac:dyDescent="0.25">
      <c r="A206" s="5" t="s">
        <v>18</v>
      </c>
      <c r="B206" s="19">
        <v>43901</v>
      </c>
      <c r="C206" s="4">
        <v>0</v>
      </c>
      <c r="D206" s="21">
        <v>0</v>
      </c>
      <c r="F206" s="57">
        <f t="shared" si="6"/>
        <v>0</v>
      </c>
    </row>
    <row r="207" spans="1:6" x14ac:dyDescent="0.25">
      <c r="A207" s="5" t="s">
        <v>24</v>
      </c>
      <c r="B207" s="19">
        <v>43901</v>
      </c>
      <c r="C207" s="4">
        <v>0</v>
      </c>
      <c r="D207" s="21">
        <v>0</v>
      </c>
      <c r="F207" s="57">
        <f t="shared" si="6"/>
        <v>0</v>
      </c>
    </row>
    <row r="208" spans="1:6" x14ac:dyDescent="0.25">
      <c r="A208" s="5" t="s">
        <v>20</v>
      </c>
      <c r="B208" s="19">
        <v>43901</v>
      </c>
      <c r="C208" s="4">
        <v>0</v>
      </c>
      <c r="D208" s="21">
        <v>0</v>
      </c>
      <c r="F208" s="57">
        <f t="shared" si="6"/>
        <v>0</v>
      </c>
    </row>
    <row r="209" spans="1:6" x14ac:dyDescent="0.25">
      <c r="A209" s="5" t="s">
        <v>19</v>
      </c>
      <c r="B209" s="19">
        <v>43901</v>
      </c>
      <c r="C209" s="4">
        <v>0</v>
      </c>
      <c r="D209" s="21">
        <v>1</v>
      </c>
      <c r="F209" s="57">
        <f t="shared" si="6"/>
        <v>0</v>
      </c>
    </row>
    <row r="210" spans="1:6" x14ac:dyDescent="0.25">
      <c r="A210" s="5" t="s">
        <v>35</v>
      </c>
      <c r="B210" s="19">
        <v>43901</v>
      </c>
      <c r="C210" s="4">
        <v>0</v>
      </c>
      <c r="D210" s="21">
        <v>0</v>
      </c>
      <c r="F210" s="57">
        <f t="shared" si="6"/>
        <v>0</v>
      </c>
    </row>
    <row r="211" spans="1:6" x14ac:dyDescent="0.25">
      <c r="A211" s="5" t="s">
        <v>36</v>
      </c>
      <c r="B211" s="19">
        <v>43901</v>
      </c>
      <c r="C211" s="4">
        <v>0</v>
      </c>
      <c r="D211" s="21">
        <v>0</v>
      </c>
      <c r="F211" s="57">
        <f t="shared" si="6"/>
        <v>0</v>
      </c>
    </row>
    <row r="212" spans="1:6" x14ac:dyDescent="0.25">
      <c r="A212" s="5" t="s">
        <v>37</v>
      </c>
      <c r="B212" s="19">
        <v>43901</v>
      </c>
      <c r="C212" s="4">
        <v>0</v>
      </c>
      <c r="D212" s="21">
        <v>1</v>
      </c>
      <c r="F212" s="57">
        <f t="shared" si="6"/>
        <v>0</v>
      </c>
    </row>
    <row r="213" spans="1:6" x14ac:dyDescent="0.25">
      <c r="A213" s="5" t="s">
        <v>38</v>
      </c>
      <c r="B213" s="19">
        <v>43901</v>
      </c>
      <c r="C213" s="4">
        <v>0</v>
      </c>
      <c r="D213" s="21">
        <v>0</v>
      </c>
      <c r="F213" s="57">
        <f t="shared" si="6"/>
        <v>0</v>
      </c>
    </row>
    <row r="214" spans="1:6" x14ac:dyDescent="0.25">
      <c r="A214" s="5" t="s">
        <v>23</v>
      </c>
      <c r="B214" s="19">
        <v>43901</v>
      </c>
      <c r="C214" s="4">
        <v>0</v>
      </c>
      <c r="D214" s="21">
        <v>0</v>
      </c>
      <c r="F214" s="57">
        <f t="shared" si="6"/>
        <v>0</v>
      </c>
    </row>
    <row r="215" spans="1:6" x14ac:dyDescent="0.25">
      <c r="A215" s="5" t="s">
        <v>39</v>
      </c>
      <c r="B215" s="19">
        <v>43901</v>
      </c>
      <c r="C215" s="4">
        <v>0</v>
      </c>
      <c r="D215" s="21">
        <v>0</v>
      </c>
      <c r="F215" s="57">
        <f t="shared" si="6"/>
        <v>0</v>
      </c>
    </row>
    <row r="216" spans="1:6" x14ac:dyDescent="0.25">
      <c r="A216" s="5" t="s">
        <v>40</v>
      </c>
      <c r="B216" s="19">
        <v>43901</v>
      </c>
      <c r="C216" s="4">
        <v>0</v>
      </c>
      <c r="D216" s="21">
        <v>0</v>
      </c>
      <c r="F216" s="57">
        <f t="shared" si="6"/>
        <v>0</v>
      </c>
    </row>
    <row r="217" spans="1:6" x14ac:dyDescent="0.25">
      <c r="A217" s="5" t="s">
        <v>41</v>
      </c>
      <c r="B217" s="19">
        <v>43901</v>
      </c>
      <c r="C217" s="4">
        <v>0</v>
      </c>
      <c r="D217" s="21">
        <v>0</v>
      </c>
      <c r="F217" s="57">
        <f t="shared" si="6"/>
        <v>0</v>
      </c>
    </row>
    <row r="218" spans="1:6" x14ac:dyDescent="0.25">
      <c r="A218" s="42" t="s">
        <v>17</v>
      </c>
      <c r="B218" s="19">
        <v>43902</v>
      </c>
      <c r="C218" s="4">
        <v>4</v>
      </c>
      <c r="D218" s="21">
        <v>8</v>
      </c>
      <c r="F218" s="57">
        <f>E218+F194</f>
        <v>0</v>
      </c>
    </row>
    <row r="219" spans="1:6" x14ac:dyDescent="0.25">
      <c r="A219" s="5" t="s">
        <v>29</v>
      </c>
      <c r="B219" s="19">
        <v>43902</v>
      </c>
      <c r="C219" s="4">
        <v>0</v>
      </c>
      <c r="D219" s="21">
        <v>0</v>
      </c>
      <c r="F219" s="57">
        <f t="shared" ref="F219:F241" si="7">E219+F195</f>
        <v>0</v>
      </c>
    </row>
    <row r="220" spans="1:6" x14ac:dyDescent="0.25">
      <c r="A220" s="5" t="s">
        <v>16</v>
      </c>
      <c r="B220" s="19">
        <v>43902</v>
      </c>
      <c r="C220" s="4">
        <v>2</v>
      </c>
      <c r="D220" s="21">
        <v>4</v>
      </c>
      <c r="F220" s="57">
        <f t="shared" si="7"/>
        <v>0</v>
      </c>
    </row>
    <row r="221" spans="1:6" x14ac:dyDescent="0.25">
      <c r="A221" s="5" t="s">
        <v>30</v>
      </c>
      <c r="B221" s="19">
        <v>43902</v>
      </c>
      <c r="C221" s="4">
        <v>0</v>
      </c>
      <c r="D221" s="21">
        <v>0</v>
      </c>
      <c r="F221" s="57">
        <f t="shared" si="7"/>
        <v>0</v>
      </c>
    </row>
    <row r="222" spans="1:6" x14ac:dyDescent="0.25">
      <c r="A222" s="5" t="s">
        <v>44</v>
      </c>
      <c r="B222" s="19">
        <v>43902</v>
      </c>
      <c r="C222" s="4">
        <v>2</v>
      </c>
      <c r="D222" s="21">
        <v>14</v>
      </c>
      <c r="F222" s="57">
        <f t="shared" si="7"/>
        <v>1</v>
      </c>
    </row>
    <row r="223" spans="1:6" x14ac:dyDescent="0.25">
      <c r="A223" s="5" t="s">
        <v>21</v>
      </c>
      <c r="B223" s="19">
        <v>43902</v>
      </c>
      <c r="C223" s="4">
        <v>1</v>
      </c>
      <c r="D223" s="21">
        <v>2</v>
      </c>
      <c r="F223" s="57">
        <f t="shared" si="7"/>
        <v>0</v>
      </c>
    </row>
    <row r="224" spans="1:6" x14ac:dyDescent="0.25">
      <c r="A224" s="5" t="s">
        <v>31</v>
      </c>
      <c r="B224" s="19">
        <v>43902</v>
      </c>
      <c r="C224" s="4">
        <v>0</v>
      </c>
      <c r="D224" s="21">
        <v>0</v>
      </c>
      <c r="F224" s="57">
        <f t="shared" si="7"/>
        <v>0</v>
      </c>
    </row>
    <row r="225" spans="1:6" x14ac:dyDescent="0.25">
      <c r="A225" s="5" t="s">
        <v>32</v>
      </c>
      <c r="B225" s="19">
        <v>43902</v>
      </c>
      <c r="C225" s="4">
        <v>1</v>
      </c>
      <c r="D225" s="21">
        <v>1</v>
      </c>
      <c r="F225" s="57">
        <f t="shared" si="7"/>
        <v>0</v>
      </c>
    </row>
    <row r="226" spans="1:6" x14ac:dyDescent="0.25">
      <c r="A226" s="5" t="s">
        <v>42</v>
      </c>
      <c r="B226" s="19">
        <v>43902</v>
      </c>
      <c r="C226" s="4">
        <v>0</v>
      </c>
      <c r="D226" s="21">
        <v>0</v>
      </c>
      <c r="F226" s="57">
        <f t="shared" si="7"/>
        <v>0</v>
      </c>
    </row>
    <row r="227" spans="1:6" x14ac:dyDescent="0.25">
      <c r="A227" s="5" t="s">
        <v>33</v>
      </c>
      <c r="B227" s="19">
        <v>43902</v>
      </c>
      <c r="C227" s="4">
        <v>0</v>
      </c>
      <c r="D227" s="21">
        <v>0</v>
      </c>
      <c r="F227" s="57">
        <f t="shared" si="7"/>
        <v>0</v>
      </c>
    </row>
    <row r="228" spans="1:6" x14ac:dyDescent="0.25">
      <c r="A228" s="5" t="s">
        <v>34</v>
      </c>
      <c r="B228" s="19">
        <v>43902</v>
      </c>
      <c r="C228" s="4">
        <v>0</v>
      </c>
      <c r="D228" s="21">
        <v>0</v>
      </c>
      <c r="F228" s="57">
        <f t="shared" si="7"/>
        <v>0</v>
      </c>
    </row>
    <row r="229" spans="1:6" x14ac:dyDescent="0.25">
      <c r="A229" s="5" t="s">
        <v>22</v>
      </c>
      <c r="B229" s="19">
        <v>43902</v>
      </c>
      <c r="C229" s="4">
        <v>0</v>
      </c>
      <c r="D229" s="21">
        <v>0</v>
      </c>
      <c r="F229" s="57">
        <f t="shared" si="7"/>
        <v>0</v>
      </c>
    </row>
    <row r="230" spans="1:6" x14ac:dyDescent="0.25">
      <c r="A230" s="5" t="s">
        <v>18</v>
      </c>
      <c r="B230" s="19">
        <v>43902</v>
      </c>
      <c r="C230" s="4">
        <v>0</v>
      </c>
      <c r="D230" s="21">
        <v>0</v>
      </c>
      <c r="F230" s="57">
        <f t="shared" si="7"/>
        <v>0</v>
      </c>
    </row>
    <row r="231" spans="1:6" x14ac:dyDescent="0.25">
      <c r="A231" s="5" t="s">
        <v>24</v>
      </c>
      <c r="B231" s="19">
        <v>43902</v>
      </c>
      <c r="C231" s="4">
        <v>0</v>
      </c>
      <c r="D231" s="21">
        <v>0</v>
      </c>
      <c r="F231" s="57">
        <f t="shared" si="7"/>
        <v>0</v>
      </c>
    </row>
    <row r="232" spans="1:6" x14ac:dyDescent="0.25">
      <c r="A232" s="5" t="s">
        <v>20</v>
      </c>
      <c r="B232" s="19">
        <v>43902</v>
      </c>
      <c r="C232" s="4">
        <v>0</v>
      </c>
      <c r="D232" s="21">
        <v>0</v>
      </c>
      <c r="F232" s="57">
        <f t="shared" si="7"/>
        <v>0</v>
      </c>
    </row>
    <row r="233" spans="1:6" x14ac:dyDescent="0.25">
      <c r="A233" s="5" t="s">
        <v>19</v>
      </c>
      <c r="B233" s="19">
        <v>43902</v>
      </c>
      <c r="C233" s="4">
        <v>0</v>
      </c>
      <c r="D233" s="21">
        <v>1</v>
      </c>
      <c r="F233" s="57">
        <f t="shared" si="7"/>
        <v>0</v>
      </c>
    </row>
    <row r="234" spans="1:6" x14ac:dyDescent="0.25">
      <c r="A234" s="5" t="s">
        <v>35</v>
      </c>
      <c r="B234" s="19">
        <v>43902</v>
      </c>
      <c r="C234" s="4">
        <v>0</v>
      </c>
      <c r="D234" s="21">
        <v>0</v>
      </c>
      <c r="F234" s="57">
        <f t="shared" si="7"/>
        <v>0</v>
      </c>
    </row>
    <row r="235" spans="1:6" x14ac:dyDescent="0.25">
      <c r="A235" s="5" t="s">
        <v>36</v>
      </c>
      <c r="B235" s="19">
        <v>43902</v>
      </c>
      <c r="C235" s="4">
        <v>0</v>
      </c>
      <c r="D235" s="21">
        <v>0</v>
      </c>
      <c r="F235" s="57">
        <f t="shared" si="7"/>
        <v>0</v>
      </c>
    </row>
    <row r="236" spans="1:6" x14ac:dyDescent="0.25">
      <c r="A236" s="5" t="s">
        <v>37</v>
      </c>
      <c r="B236" s="19">
        <v>43902</v>
      </c>
      <c r="C236" s="4">
        <v>0</v>
      </c>
      <c r="D236" s="21">
        <v>1</v>
      </c>
      <c r="F236" s="57">
        <f t="shared" si="7"/>
        <v>0</v>
      </c>
    </row>
    <row r="237" spans="1:6" x14ac:dyDescent="0.25">
      <c r="A237" s="5" t="s">
        <v>38</v>
      </c>
      <c r="B237" s="19">
        <v>43902</v>
      </c>
      <c r="C237" s="4">
        <v>0</v>
      </c>
      <c r="D237" s="21">
        <v>0</v>
      </c>
      <c r="F237" s="57">
        <f t="shared" si="7"/>
        <v>0</v>
      </c>
    </row>
    <row r="238" spans="1:6" x14ac:dyDescent="0.25">
      <c r="A238" s="5" t="s">
        <v>23</v>
      </c>
      <c r="B238" s="19">
        <v>43902</v>
      </c>
      <c r="C238" s="4">
        <v>0</v>
      </c>
      <c r="D238" s="21">
        <v>0</v>
      </c>
      <c r="F238" s="57">
        <f t="shared" si="7"/>
        <v>0</v>
      </c>
    </row>
    <row r="239" spans="1:6" x14ac:dyDescent="0.25">
      <c r="A239" s="5" t="s">
        <v>39</v>
      </c>
      <c r="B239" s="19">
        <v>43902</v>
      </c>
      <c r="C239" s="4">
        <v>0</v>
      </c>
      <c r="D239" s="21">
        <v>0</v>
      </c>
      <c r="F239" s="57">
        <f t="shared" si="7"/>
        <v>0</v>
      </c>
    </row>
    <row r="240" spans="1:6" x14ac:dyDescent="0.25">
      <c r="A240" s="5" t="s">
        <v>40</v>
      </c>
      <c r="B240" s="19">
        <v>43902</v>
      </c>
      <c r="C240" s="4">
        <v>0</v>
      </c>
      <c r="D240" s="21">
        <v>0</v>
      </c>
      <c r="F240" s="57">
        <f t="shared" si="7"/>
        <v>0</v>
      </c>
    </row>
    <row r="241" spans="1:6" x14ac:dyDescent="0.25">
      <c r="A241" s="5" t="s">
        <v>41</v>
      </c>
      <c r="B241" s="19">
        <v>43902</v>
      </c>
      <c r="C241" s="4">
        <v>0</v>
      </c>
      <c r="D241" s="21">
        <v>0</v>
      </c>
      <c r="F241" s="57">
        <f t="shared" si="7"/>
        <v>0</v>
      </c>
    </row>
    <row r="242" spans="1:6" x14ac:dyDescent="0.25">
      <c r="A242" s="42" t="s">
        <v>17</v>
      </c>
      <c r="B242" s="19">
        <v>43903</v>
      </c>
      <c r="C242" s="4">
        <v>1</v>
      </c>
      <c r="D242" s="21">
        <v>9</v>
      </c>
      <c r="F242" s="57">
        <f>E242+F218</f>
        <v>0</v>
      </c>
    </row>
    <row r="243" spans="1:6" x14ac:dyDescent="0.25">
      <c r="A243" s="5" t="s">
        <v>29</v>
      </c>
      <c r="B243" s="19">
        <v>43903</v>
      </c>
      <c r="C243" s="4">
        <v>0</v>
      </c>
      <c r="D243" s="21">
        <v>0</v>
      </c>
      <c r="F243" s="57">
        <f t="shared" ref="F243:F265" si="8">E243+F219</f>
        <v>0</v>
      </c>
    </row>
    <row r="244" spans="1:6" x14ac:dyDescent="0.25">
      <c r="A244" s="5" t="s">
        <v>16</v>
      </c>
      <c r="B244" s="19">
        <v>43903</v>
      </c>
      <c r="C244" s="4">
        <v>0</v>
      </c>
      <c r="D244" s="21">
        <v>4</v>
      </c>
      <c r="E244" s="4">
        <v>1</v>
      </c>
      <c r="F244" s="57">
        <f t="shared" si="8"/>
        <v>1</v>
      </c>
    </row>
    <row r="245" spans="1:6" x14ac:dyDescent="0.25">
      <c r="A245" s="5" t="s">
        <v>30</v>
      </c>
      <c r="B245" s="19">
        <v>43903</v>
      </c>
      <c r="C245" s="4">
        <v>0</v>
      </c>
      <c r="D245" s="21">
        <v>0</v>
      </c>
      <c r="F245" s="57">
        <f t="shared" si="8"/>
        <v>0</v>
      </c>
    </row>
    <row r="246" spans="1:6" x14ac:dyDescent="0.25">
      <c r="A246" s="5" t="s">
        <v>44</v>
      </c>
      <c r="B246" s="19">
        <v>43903</v>
      </c>
      <c r="C246" s="4">
        <v>2</v>
      </c>
      <c r="D246" s="21">
        <v>16</v>
      </c>
      <c r="F246" s="57">
        <f t="shared" si="8"/>
        <v>1</v>
      </c>
    </row>
    <row r="247" spans="1:6" x14ac:dyDescent="0.25">
      <c r="A247" s="5" t="s">
        <v>21</v>
      </c>
      <c r="B247" s="19">
        <v>43903</v>
      </c>
      <c r="C247" s="4">
        <v>0</v>
      </c>
      <c r="D247" s="21">
        <v>2</v>
      </c>
      <c r="F247" s="57">
        <f t="shared" si="8"/>
        <v>0</v>
      </c>
    </row>
    <row r="248" spans="1:6" x14ac:dyDescent="0.25">
      <c r="A248" s="5" t="s">
        <v>31</v>
      </c>
      <c r="B248" s="19">
        <v>43903</v>
      </c>
      <c r="C248" s="4">
        <v>0</v>
      </c>
      <c r="D248" s="21">
        <v>0</v>
      </c>
      <c r="F248" s="57">
        <f t="shared" si="8"/>
        <v>0</v>
      </c>
    </row>
    <row r="249" spans="1:6" x14ac:dyDescent="0.25">
      <c r="A249" s="5" t="s">
        <v>32</v>
      </c>
      <c r="B249" s="19">
        <v>43903</v>
      </c>
      <c r="C249" s="4">
        <v>0</v>
      </c>
      <c r="D249" s="21">
        <v>1</v>
      </c>
      <c r="F249" s="57">
        <f t="shared" si="8"/>
        <v>0</v>
      </c>
    </row>
    <row r="250" spans="1:6" x14ac:dyDescent="0.25">
      <c r="A250" s="5" t="s">
        <v>42</v>
      </c>
      <c r="B250" s="19">
        <v>43903</v>
      </c>
      <c r="C250" s="4">
        <v>0</v>
      </c>
      <c r="D250" s="21">
        <v>0</v>
      </c>
      <c r="F250" s="57">
        <f t="shared" si="8"/>
        <v>0</v>
      </c>
    </row>
    <row r="251" spans="1:6" x14ac:dyDescent="0.25">
      <c r="A251" s="5" t="s">
        <v>33</v>
      </c>
      <c r="B251" s="19">
        <v>43903</v>
      </c>
      <c r="C251" s="4">
        <v>0</v>
      </c>
      <c r="D251" s="21">
        <v>0</v>
      </c>
      <c r="F251" s="57">
        <f t="shared" si="8"/>
        <v>0</v>
      </c>
    </row>
    <row r="252" spans="1:6" x14ac:dyDescent="0.25">
      <c r="A252" s="5" t="s">
        <v>34</v>
      </c>
      <c r="B252" s="19">
        <v>43903</v>
      </c>
      <c r="C252" s="4">
        <v>0</v>
      </c>
      <c r="D252" s="21">
        <v>0</v>
      </c>
      <c r="F252" s="57">
        <f t="shared" si="8"/>
        <v>0</v>
      </c>
    </row>
    <row r="253" spans="1:6" x14ac:dyDescent="0.25">
      <c r="A253" s="5" t="s">
        <v>22</v>
      </c>
      <c r="B253" s="19">
        <v>43903</v>
      </c>
      <c r="C253" s="4">
        <v>0</v>
      </c>
      <c r="D253" s="21">
        <v>0</v>
      </c>
      <c r="F253" s="57">
        <f t="shared" si="8"/>
        <v>0</v>
      </c>
    </row>
    <row r="254" spans="1:6" x14ac:dyDescent="0.25">
      <c r="A254" s="5" t="s">
        <v>18</v>
      </c>
      <c r="B254" s="19">
        <v>43903</v>
      </c>
      <c r="C254" s="4">
        <v>0</v>
      </c>
      <c r="D254" s="21">
        <v>0</v>
      </c>
      <c r="F254" s="57">
        <f t="shared" si="8"/>
        <v>0</v>
      </c>
    </row>
    <row r="255" spans="1:6" x14ac:dyDescent="0.25">
      <c r="A255" s="5" t="s">
        <v>24</v>
      </c>
      <c r="B255" s="19">
        <v>43903</v>
      </c>
      <c r="C255" s="4">
        <v>0</v>
      </c>
      <c r="D255" s="21">
        <v>0</v>
      </c>
      <c r="F255" s="57">
        <f t="shared" si="8"/>
        <v>0</v>
      </c>
    </row>
    <row r="256" spans="1:6" x14ac:dyDescent="0.25">
      <c r="A256" s="5" t="s">
        <v>20</v>
      </c>
      <c r="B256" s="19">
        <v>43903</v>
      </c>
      <c r="C256" s="4">
        <v>0</v>
      </c>
      <c r="D256" s="21">
        <v>0</v>
      </c>
      <c r="F256" s="57">
        <f t="shared" si="8"/>
        <v>0</v>
      </c>
    </row>
    <row r="257" spans="1:6" x14ac:dyDescent="0.25">
      <c r="A257" s="5" t="s">
        <v>19</v>
      </c>
      <c r="B257" s="19">
        <v>43903</v>
      </c>
      <c r="C257" s="4">
        <v>0</v>
      </c>
      <c r="D257" s="21">
        <v>1</v>
      </c>
      <c r="F257" s="57">
        <f t="shared" si="8"/>
        <v>0</v>
      </c>
    </row>
    <row r="258" spans="1:6" x14ac:dyDescent="0.25">
      <c r="A258" s="5" t="s">
        <v>35</v>
      </c>
      <c r="B258" s="19">
        <v>43903</v>
      </c>
      <c r="C258" s="4">
        <v>0</v>
      </c>
      <c r="D258" s="21">
        <v>0</v>
      </c>
      <c r="F258" s="57">
        <f t="shared" si="8"/>
        <v>0</v>
      </c>
    </row>
    <row r="259" spans="1:6" x14ac:dyDescent="0.25">
      <c r="A259" s="5" t="s">
        <v>36</v>
      </c>
      <c r="B259" s="19">
        <v>43903</v>
      </c>
      <c r="C259" s="4">
        <v>0</v>
      </c>
      <c r="D259" s="21">
        <v>0</v>
      </c>
      <c r="F259" s="57">
        <f t="shared" si="8"/>
        <v>0</v>
      </c>
    </row>
    <row r="260" spans="1:6" x14ac:dyDescent="0.25">
      <c r="A260" s="5" t="s">
        <v>37</v>
      </c>
      <c r="B260" s="19">
        <v>43903</v>
      </c>
      <c r="C260" s="4">
        <v>0</v>
      </c>
      <c r="D260" s="21">
        <v>1</v>
      </c>
      <c r="F260" s="57">
        <f t="shared" si="8"/>
        <v>0</v>
      </c>
    </row>
    <row r="261" spans="1:6" x14ac:dyDescent="0.25">
      <c r="A261" s="5" t="s">
        <v>38</v>
      </c>
      <c r="B261" s="19">
        <v>43903</v>
      </c>
      <c r="C261" s="4">
        <v>0</v>
      </c>
      <c r="D261" s="21">
        <v>0</v>
      </c>
      <c r="F261" s="57">
        <f t="shared" si="8"/>
        <v>0</v>
      </c>
    </row>
    <row r="262" spans="1:6" x14ac:dyDescent="0.25">
      <c r="A262" s="5" t="s">
        <v>23</v>
      </c>
      <c r="B262" s="19">
        <v>43903</v>
      </c>
      <c r="C262" s="4">
        <v>0</v>
      </c>
      <c r="D262" s="21">
        <v>0</v>
      </c>
      <c r="F262" s="57">
        <f t="shared" si="8"/>
        <v>0</v>
      </c>
    </row>
    <row r="263" spans="1:6" x14ac:dyDescent="0.25">
      <c r="A263" s="5" t="s">
        <v>39</v>
      </c>
      <c r="B263" s="19">
        <v>43903</v>
      </c>
      <c r="C263" s="4">
        <v>0</v>
      </c>
      <c r="D263" s="21">
        <v>0</v>
      </c>
      <c r="F263" s="57">
        <f t="shared" si="8"/>
        <v>0</v>
      </c>
    </row>
    <row r="264" spans="1:6" x14ac:dyDescent="0.25">
      <c r="A264" s="5" t="s">
        <v>40</v>
      </c>
      <c r="B264" s="19">
        <v>43903</v>
      </c>
      <c r="C264" s="4">
        <v>0</v>
      </c>
      <c r="D264" s="21">
        <v>0</v>
      </c>
      <c r="F264" s="57">
        <f t="shared" si="8"/>
        <v>0</v>
      </c>
    </row>
    <row r="265" spans="1:6" x14ac:dyDescent="0.25">
      <c r="A265" s="5" t="s">
        <v>41</v>
      </c>
      <c r="B265" s="19">
        <v>43903</v>
      </c>
      <c r="C265" s="4">
        <v>0</v>
      </c>
      <c r="D265" s="21">
        <v>0</v>
      </c>
      <c r="F265" s="57">
        <f t="shared" si="8"/>
        <v>0</v>
      </c>
    </row>
    <row r="266" spans="1:6" x14ac:dyDescent="0.25">
      <c r="A266" s="42" t="s">
        <v>17</v>
      </c>
      <c r="B266" s="19">
        <v>43904</v>
      </c>
      <c r="C266" s="4">
        <v>1</v>
      </c>
      <c r="D266" s="21">
        <v>10</v>
      </c>
      <c r="F266" s="57">
        <f>E266+F242</f>
        <v>0</v>
      </c>
    </row>
    <row r="267" spans="1:6" x14ac:dyDescent="0.25">
      <c r="A267" s="5" t="s">
        <v>29</v>
      </c>
      <c r="B267" s="19">
        <v>43904</v>
      </c>
      <c r="C267" s="4">
        <v>0</v>
      </c>
      <c r="D267" s="21">
        <v>0</v>
      </c>
      <c r="F267" s="57">
        <f t="shared" ref="F267:F289" si="9">E267+F243</f>
        <v>0</v>
      </c>
    </row>
    <row r="268" spans="1:6" x14ac:dyDescent="0.25">
      <c r="A268" s="5" t="s">
        <v>16</v>
      </c>
      <c r="B268" s="19">
        <v>43904</v>
      </c>
      <c r="C268" s="4">
        <v>1</v>
      </c>
      <c r="D268" s="21">
        <v>5</v>
      </c>
      <c r="F268" s="57">
        <f t="shared" si="9"/>
        <v>1</v>
      </c>
    </row>
    <row r="269" spans="1:6" x14ac:dyDescent="0.25">
      <c r="A269" s="5" t="s">
        <v>30</v>
      </c>
      <c r="B269" s="19">
        <v>43904</v>
      </c>
      <c r="C269" s="4">
        <v>0</v>
      </c>
      <c r="D269" s="21">
        <v>0</v>
      </c>
      <c r="F269" s="57">
        <f t="shared" si="9"/>
        <v>0</v>
      </c>
    </row>
    <row r="270" spans="1:6" x14ac:dyDescent="0.25">
      <c r="A270" s="5" t="s">
        <v>44</v>
      </c>
      <c r="B270" s="19">
        <v>43904</v>
      </c>
      <c r="C270" s="4">
        <v>6</v>
      </c>
      <c r="D270" s="21">
        <v>22</v>
      </c>
      <c r="F270" s="57">
        <f t="shared" si="9"/>
        <v>1</v>
      </c>
    </row>
    <row r="271" spans="1:6" x14ac:dyDescent="0.25">
      <c r="A271" s="5" t="s">
        <v>21</v>
      </c>
      <c r="B271" s="19">
        <v>43904</v>
      </c>
      <c r="C271" s="4">
        <v>0</v>
      </c>
      <c r="D271" s="21">
        <v>2</v>
      </c>
      <c r="F271" s="57">
        <f t="shared" si="9"/>
        <v>0</v>
      </c>
    </row>
    <row r="272" spans="1:6" x14ac:dyDescent="0.25">
      <c r="A272" s="5" t="s">
        <v>31</v>
      </c>
      <c r="B272" s="19">
        <v>43904</v>
      </c>
      <c r="C272" s="4">
        <v>0</v>
      </c>
      <c r="D272" s="21">
        <v>0</v>
      </c>
      <c r="F272" s="57">
        <f t="shared" si="9"/>
        <v>0</v>
      </c>
    </row>
    <row r="273" spans="1:6" x14ac:dyDescent="0.25">
      <c r="A273" s="5" t="s">
        <v>32</v>
      </c>
      <c r="B273" s="19">
        <v>43904</v>
      </c>
      <c r="C273" s="4">
        <v>0</v>
      </c>
      <c r="D273" s="21">
        <v>1</v>
      </c>
      <c r="F273" s="57">
        <f t="shared" si="9"/>
        <v>0</v>
      </c>
    </row>
    <row r="274" spans="1:6" x14ac:dyDescent="0.25">
      <c r="A274" s="5" t="s">
        <v>42</v>
      </c>
      <c r="B274" s="19">
        <v>43904</v>
      </c>
      <c r="C274" s="4">
        <v>0</v>
      </c>
      <c r="D274" s="21">
        <v>0</v>
      </c>
      <c r="F274" s="57">
        <f t="shared" si="9"/>
        <v>0</v>
      </c>
    </row>
    <row r="275" spans="1:6" x14ac:dyDescent="0.25">
      <c r="A275" s="5" t="s">
        <v>33</v>
      </c>
      <c r="B275" s="19">
        <v>43904</v>
      </c>
      <c r="C275" s="4">
        <v>0</v>
      </c>
      <c r="D275" s="21">
        <v>0</v>
      </c>
      <c r="F275" s="57">
        <f t="shared" si="9"/>
        <v>0</v>
      </c>
    </row>
    <row r="276" spans="1:6" x14ac:dyDescent="0.25">
      <c r="A276" s="5" t="s">
        <v>34</v>
      </c>
      <c r="B276" s="19">
        <v>43904</v>
      </c>
      <c r="C276" s="4">
        <v>0</v>
      </c>
      <c r="D276" s="21">
        <v>0</v>
      </c>
      <c r="F276" s="57">
        <f t="shared" si="9"/>
        <v>0</v>
      </c>
    </row>
    <row r="277" spans="1:6" x14ac:dyDescent="0.25">
      <c r="A277" s="5" t="s">
        <v>22</v>
      </c>
      <c r="B277" s="19">
        <v>43904</v>
      </c>
      <c r="C277" s="4">
        <v>0</v>
      </c>
      <c r="D277" s="21">
        <v>0</v>
      </c>
      <c r="F277" s="57">
        <f t="shared" si="9"/>
        <v>0</v>
      </c>
    </row>
    <row r="278" spans="1:6" x14ac:dyDescent="0.25">
      <c r="A278" s="5" t="s">
        <v>18</v>
      </c>
      <c r="B278" s="19">
        <v>43904</v>
      </c>
      <c r="C278" s="4">
        <v>0</v>
      </c>
      <c r="D278" s="21">
        <v>0</v>
      </c>
      <c r="F278" s="57">
        <f t="shared" si="9"/>
        <v>0</v>
      </c>
    </row>
    <row r="279" spans="1:6" x14ac:dyDescent="0.25">
      <c r="A279" s="5" t="s">
        <v>24</v>
      </c>
      <c r="B279" s="19">
        <v>43904</v>
      </c>
      <c r="C279" s="4">
        <v>0</v>
      </c>
      <c r="D279" s="21">
        <v>0</v>
      </c>
      <c r="F279" s="57">
        <f t="shared" si="9"/>
        <v>0</v>
      </c>
    </row>
    <row r="280" spans="1:6" x14ac:dyDescent="0.25">
      <c r="A280" s="5" t="s">
        <v>20</v>
      </c>
      <c r="B280" s="19">
        <v>43904</v>
      </c>
      <c r="C280" s="4">
        <v>0</v>
      </c>
      <c r="D280" s="21">
        <v>0</v>
      </c>
      <c r="F280" s="57">
        <f t="shared" si="9"/>
        <v>0</v>
      </c>
    </row>
    <row r="281" spans="1:6" x14ac:dyDescent="0.25">
      <c r="A281" s="5" t="s">
        <v>19</v>
      </c>
      <c r="B281" s="19">
        <v>43904</v>
      </c>
      <c r="C281" s="4">
        <v>0</v>
      </c>
      <c r="D281" s="21">
        <v>1</v>
      </c>
      <c r="F281" s="57">
        <f t="shared" si="9"/>
        <v>0</v>
      </c>
    </row>
    <row r="282" spans="1:6" x14ac:dyDescent="0.25">
      <c r="A282" s="5" t="s">
        <v>35</v>
      </c>
      <c r="B282" s="19">
        <v>43904</v>
      </c>
      <c r="C282" s="4">
        <v>0</v>
      </c>
      <c r="D282" s="21">
        <v>0</v>
      </c>
      <c r="F282" s="57">
        <f t="shared" si="9"/>
        <v>0</v>
      </c>
    </row>
    <row r="283" spans="1:6" x14ac:dyDescent="0.25">
      <c r="A283" s="5" t="s">
        <v>36</v>
      </c>
      <c r="B283" s="19">
        <v>43904</v>
      </c>
      <c r="C283" s="4">
        <v>0</v>
      </c>
      <c r="D283" s="21">
        <v>0</v>
      </c>
      <c r="F283" s="57">
        <f t="shared" si="9"/>
        <v>0</v>
      </c>
    </row>
    <row r="284" spans="1:6" x14ac:dyDescent="0.25">
      <c r="A284" s="5" t="s">
        <v>37</v>
      </c>
      <c r="B284" s="19">
        <v>43904</v>
      </c>
      <c r="C284" s="4">
        <v>2</v>
      </c>
      <c r="D284" s="21">
        <v>3</v>
      </c>
      <c r="F284" s="57">
        <f t="shared" si="9"/>
        <v>0</v>
      </c>
    </row>
    <row r="285" spans="1:6" x14ac:dyDescent="0.25">
      <c r="A285" s="5" t="s">
        <v>38</v>
      </c>
      <c r="B285" s="19">
        <v>43904</v>
      </c>
      <c r="C285" s="4">
        <v>0</v>
      </c>
      <c r="D285" s="21">
        <v>0</v>
      </c>
      <c r="F285" s="57">
        <f t="shared" si="9"/>
        <v>0</v>
      </c>
    </row>
    <row r="286" spans="1:6" x14ac:dyDescent="0.25">
      <c r="A286" s="5" t="s">
        <v>23</v>
      </c>
      <c r="B286" s="19">
        <v>43904</v>
      </c>
      <c r="C286" s="4">
        <v>1</v>
      </c>
      <c r="D286" s="21">
        <v>1</v>
      </c>
      <c r="F286" s="57">
        <f t="shared" si="9"/>
        <v>0</v>
      </c>
    </row>
    <row r="287" spans="1:6" x14ac:dyDescent="0.25">
      <c r="A287" s="5" t="s">
        <v>39</v>
      </c>
      <c r="B287" s="19">
        <v>43904</v>
      </c>
      <c r="C287" s="4">
        <v>0</v>
      </c>
      <c r="D287" s="21">
        <v>0</v>
      </c>
      <c r="F287" s="57">
        <f t="shared" si="9"/>
        <v>0</v>
      </c>
    </row>
    <row r="288" spans="1:6" x14ac:dyDescent="0.25">
      <c r="A288" s="5" t="s">
        <v>40</v>
      </c>
      <c r="B288" s="19">
        <v>43904</v>
      </c>
      <c r="C288" s="4">
        <v>0</v>
      </c>
      <c r="D288" s="21">
        <v>0</v>
      </c>
      <c r="F288" s="57">
        <f t="shared" si="9"/>
        <v>0</v>
      </c>
    </row>
    <row r="289" spans="1:6" x14ac:dyDescent="0.25">
      <c r="A289" s="5" t="s">
        <v>41</v>
      </c>
      <c r="B289" s="19">
        <v>43904</v>
      </c>
      <c r="C289" s="4">
        <v>0</v>
      </c>
      <c r="D289" s="21">
        <v>0</v>
      </c>
      <c r="F289" s="57">
        <f t="shared" si="9"/>
        <v>0</v>
      </c>
    </row>
    <row r="290" spans="1:6" x14ac:dyDescent="0.25">
      <c r="A290" s="42" t="s">
        <v>17</v>
      </c>
      <c r="B290" s="19">
        <v>43905</v>
      </c>
      <c r="C290" s="4">
        <v>1</v>
      </c>
      <c r="D290" s="21">
        <v>11</v>
      </c>
      <c r="F290" s="57">
        <f>E290+F266</f>
        <v>0</v>
      </c>
    </row>
    <row r="291" spans="1:6" x14ac:dyDescent="0.25">
      <c r="A291" s="5" t="s">
        <v>29</v>
      </c>
      <c r="B291" s="19">
        <v>43905</v>
      </c>
      <c r="C291" s="4">
        <v>0</v>
      </c>
      <c r="D291" s="21">
        <v>0</v>
      </c>
      <c r="F291" s="57">
        <f t="shared" ref="F291:F313" si="10">E291+F267</f>
        <v>0</v>
      </c>
    </row>
    <row r="292" spans="1:6" x14ac:dyDescent="0.25">
      <c r="A292" s="5" t="s">
        <v>16</v>
      </c>
      <c r="B292" s="19">
        <v>43905</v>
      </c>
      <c r="C292" s="4">
        <v>2</v>
      </c>
      <c r="D292" s="21">
        <v>7</v>
      </c>
      <c r="F292" s="57">
        <f t="shared" si="10"/>
        <v>1</v>
      </c>
    </row>
    <row r="293" spans="1:6" x14ac:dyDescent="0.25">
      <c r="A293" s="5" t="s">
        <v>30</v>
      </c>
      <c r="B293" s="19">
        <v>43905</v>
      </c>
      <c r="C293" s="4">
        <v>0</v>
      </c>
      <c r="D293" s="21">
        <v>0</v>
      </c>
      <c r="F293" s="57">
        <f t="shared" si="10"/>
        <v>0</v>
      </c>
    </row>
    <row r="294" spans="1:6" x14ac:dyDescent="0.25">
      <c r="A294" s="5" t="s">
        <v>44</v>
      </c>
      <c r="B294" s="19">
        <v>43905</v>
      </c>
      <c r="C294" s="4">
        <v>6</v>
      </c>
      <c r="D294" s="21">
        <v>28</v>
      </c>
      <c r="F294" s="57">
        <f t="shared" si="10"/>
        <v>1</v>
      </c>
    </row>
    <row r="295" spans="1:6" x14ac:dyDescent="0.25">
      <c r="A295" s="5" t="s">
        <v>21</v>
      </c>
      <c r="B295" s="19">
        <v>43905</v>
      </c>
      <c r="C295" s="4">
        <v>0</v>
      </c>
      <c r="D295" s="21">
        <v>2</v>
      </c>
      <c r="F295" s="57">
        <f t="shared" si="10"/>
        <v>0</v>
      </c>
    </row>
    <row r="296" spans="1:6" x14ac:dyDescent="0.25">
      <c r="A296" s="5" t="s">
        <v>31</v>
      </c>
      <c r="B296" s="19">
        <v>43905</v>
      </c>
      <c r="C296" s="4">
        <v>0</v>
      </c>
      <c r="D296" s="21">
        <v>0</v>
      </c>
      <c r="F296" s="57">
        <f t="shared" si="10"/>
        <v>0</v>
      </c>
    </row>
    <row r="297" spans="1:6" x14ac:dyDescent="0.25">
      <c r="A297" s="5" t="s">
        <v>32</v>
      </c>
      <c r="B297" s="19">
        <v>43905</v>
      </c>
      <c r="C297" s="4">
        <v>0</v>
      </c>
      <c r="D297" s="21">
        <v>1</v>
      </c>
      <c r="F297" s="57">
        <f t="shared" si="10"/>
        <v>0</v>
      </c>
    </row>
    <row r="298" spans="1:6" x14ac:dyDescent="0.25">
      <c r="A298" s="5" t="s">
        <v>42</v>
      </c>
      <c r="B298" s="19">
        <v>43905</v>
      </c>
      <c r="C298" s="4">
        <v>0</v>
      </c>
      <c r="D298" s="21">
        <v>0</v>
      </c>
      <c r="F298" s="57">
        <f t="shared" si="10"/>
        <v>0</v>
      </c>
    </row>
    <row r="299" spans="1:6" x14ac:dyDescent="0.25">
      <c r="A299" s="5" t="s">
        <v>33</v>
      </c>
      <c r="B299" s="19">
        <v>43905</v>
      </c>
      <c r="C299" s="4">
        <v>0</v>
      </c>
      <c r="D299" s="21">
        <v>0</v>
      </c>
      <c r="F299" s="57">
        <f t="shared" si="10"/>
        <v>0</v>
      </c>
    </row>
    <row r="300" spans="1:6" x14ac:dyDescent="0.25">
      <c r="A300" s="5" t="s">
        <v>34</v>
      </c>
      <c r="B300" s="19">
        <v>43905</v>
      </c>
      <c r="C300" s="4">
        <v>0</v>
      </c>
      <c r="D300" s="21">
        <v>0</v>
      </c>
      <c r="F300" s="57">
        <f t="shared" si="10"/>
        <v>0</v>
      </c>
    </row>
    <row r="301" spans="1:6" x14ac:dyDescent="0.25">
      <c r="A301" s="5" t="s">
        <v>22</v>
      </c>
      <c r="B301" s="19">
        <v>43905</v>
      </c>
      <c r="C301" s="4">
        <v>0</v>
      </c>
      <c r="D301" s="21">
        <v>0</v>
      </c>
      <c r="F301" s="57">
        <f t="shared" si="10"/>
        <v>0</v>
      </c>
    </row>
    <row r="302" spans="1:6" x14ac:dyDescent="0.25">
      <c r="A302" s="5" t="s">
        <v>18</v>
      </c>
      <c r="B302" s="19">
        <v>43905</v>
      </c>
      <c r="C302" s="4">
        <v>0</v>
      </c>
      <c r="D302" s="21">
        <v>0</v>
      </c>
      <c r="F302" s="57">
        <f t="shared" si="10"/>
        <v>0</v>
      </c>
    </row>
    <row r="303" spans="1:6" x14ac:dyDescent="0.25">
      <c r="A303" s="5" t="s">
        <v>24</v>
      </c>
      <c r="B303" s="19">
        <v>43905</v>
      </c>
      <c r="C303" s="4">
        <v>0</v>
      </c>
      <c r="D303" s="21">
        <v>0</v>
      </c>
      <c r="F303" s="57">
        <f t="shared" si="10"/>
        <v>0</v>
      </c>
    </row>
    <row r="304" spans="1:6" x14ac:dyDescent="0.25">
      <c r="A304" s="5" t="s">
        <v>20</v>
      </c>
      <c r="B304" s="19">
        <v>43905</v>
      </c>
      <c r="C304" s="4">
        <v>0</v>
      </c>
      <c r="D304" s="21">
        <v>0</v>
      </c>
      <c r="F304" s="57">
        <f t="shared" si="10"/>
        <v>0</v>
      </c>
    </row>
    <row r="305" spans="1:6" x14ac:dyDescent="0.25">
      <c r="A305" s="5" t="s">
        <v>19</v>
      </c>
      <c r="B305" s="19">
        <v>43905</v>
      </c>
      <c r="C305" s="4">
        <v>0</v>
      </c>
      <c r="D305" s="21">
        <v>1</v>
      </c>
      <c r="F305" s="57">
        <f t="shared" si="10"/>
        <v>0</v>
      </c>
    </row>
    <row r="306" spans="1:6" x14ac:dyDescent="0.25">
      <c r="A306" s="5" t="s">
        <v>35</v>
      </c>
      <c r="B306" s="19">
        <v>43905</v>
      </c>
      <c r="C306" s="4">
        <v>0</v>
      </c>
      <c r="D306" s="21">
        <v>0</v>
      </c>
      <c r="F306" s="57">
        <f t="shared" si="10"/>
        <v>0</v>
      </c>
    </row>
    <row r="307" spans="1:6" x14ac:dyDescent="0.25">
      <c r="A307" s="5" t="s">
        <v>36</v>
      </c>
      <c r="B307" s="19">
        <v>43905</v>
      </c>
      <c r="C307" s="4">
        <v>0</v>
      </c>
      <c r="D307" s="21">
        <v>0</v>
      </c>
      <c r="F307" s="57">
        <f t="shared" si="10"/>
        <v>0</v>
      </c>
    </row>
    <row r="308" spans="1:6" x14ac:dyDescent="0.25">
      <c r="A308" s="5" t="s">
        <v>37</v>
      </c>
      <c r="B308" s="19">
        <v>43905</v>
      </c>
      <c r="C308" s="4">
        <v>0</v>
      </c>
      <c r="D308" s="21">
        <v>3</v>
      </c>
      <c r="F308" s="57">
        <f t="shared" si="10"/>
        <v>0</v>
      </c>
    </row>
    <row r="309" spans="1:6" x14ac:dyDescent="0.25">
      <c r="A309" s="5" t="s">
        <v>38</v>
      </c>
      <c r="B309" s="19">
        <v>43905</v>
      </c>
      <c r="C309" s="4">
        <v>0</v>
      </c>
      <c r="D309" s="21">
        <v>0</v>
      </c>
      <c r="F309" s="57">
        <f t="shared" si="10"/>
        <v>0</v>
      </c>
    </row>
    <row r="310" spans="1:6" x14ac:dyDescent="0.25">
      <c r="A310" s="5" t="s">
        <v>23</v>
      </c>
      <c r="B310" s="19">
        <v>43905</v>
      </c>
      <c r="C310" s="4">
        <v>0</v>
      </c>
      <c r="D310" s="21">
        <v>1</v>
      </c>
      <c r="F310" s="57">
        <f t="shared" si="10"/>
        <v>0</v>
      </c>
    </row>
    <row r="311" spans="1:6" x14ac:dyDescent="0.25">
      <c r="A311" s="5" t="s">
        <v>39</v>
      </c>
      <c r="B311" s="19">
        <v>43905</v>
      </c>
      <c r="C311" s="4">
        <v>0</v>
      </c>
      <c r="D311" s="21">
        <v>0</v>
      </c>
      <c r="F311" s="57">
        <f t="shared" si="10"/>
        <v>0</v>
      </c>
    </row>
    <row r="312" spans="1:6" x14ac:dyDescent="0.25">
      <c r="A312" s="5" t="s">
        <v>40</v>
      </c>
      <c r="B312" s="19">
        <v>43905</v>
      </c>
      <c r="C312" s="4">
        <v>2</v>
      </c>
      <c r="D312" s="21">
        <v>2</v>
      </c>
      <c r="F312" s="57">
        <f t="shared" si="10"/>
        <v>0</v>
      </c>
    </row>
    <row r="313" spans="1:6" x14ac:dyDescent="0.25">
      <c r="A313" s="5" t="s">
        <v>41</v>
      </c>
      <c r="B313" s="19">
        <v>43905</v>
      </c>
      <c r="C313" s="4">
        <v>0</v>
      </c>
      <c r="D313" s="21">
        <v>0</v>
      </c>
      <c r="F313" s="57">
        <f t="shared" si="10"/>
        <v>0</v>
      </c>
    </row>
    <row r="314" spans="1:6" x14ac:dyDescent="0.25">
      <c r="A314" s="42" t="s">
        <v>17</v>
      </c>
      <c r="B314" s="19">
        <v>43906</v>
      </c>
      <c r="C314" s="4">
        <v>1</v>
      </c>
      <c r="D314" s="21">
        <v>12</v>
      </c>
      <c r="F314" s="57">
        <f>E314+F290</f>
        <v>0</v>
      </c>
    </row>
    <row r="315" spans="1:6" x14ac:dyDescent="0.25">
      <c r="A315" s="5" t="s">
        <v>29</v>
      </c>
      <c r="B315" s="19">
        <v>43906</v>
      </c>
      <c r="C315" s="4">
        <v>0</v>
      </c>
      <c r="D315" s="21">
        <v>0</v>
      </c>
      <c r="F315" s="57">
        <f t="shared" ref="F315:F337" si="11">E315+F291</f>
        <v>0</v>
      </c>
    </row>
    <row r="316" spans="1:6" x14ac:dyDescent="0.25">
      <c r="A316" s="5" t="s">
        <v>16</v>
      </c>
      <c r="B316" s="19">
        <v>43906</v>
      </c>
      <c r="C316" s="4">
        <v>3</v>
      </c>
      <c r="D316" s="21">
        <v>10</v>
      </c>
      <c r="F316" s="57">
        <f t="shared" si="11"/>
        <v>1</v>
      </c>
    </row>
    <row r="317" spans="1:6" x14ac:dyDescent="0.25">
      <c r="A317" s="5" t="s">
        <v>30</v>
      </c>
      <c r="B317" s="19">
        <v>43906</v>
      </c>
      <c r="C317" s="4">
        <v>0</v>
      </c>
      <c r="D317" s="21">
        <v>0</v>
      </c>
      <c r="F317" s="57">
        <f t="shared" si="11"/>
        <v>0</v>
      </c>
    </row>
    <row r="318" spans="1:6" x14ac:dyDescent="0.25">
      <c r="A318" s="5" t="s">
        <v>44</v>
      </c>
      <c r="B318" s="19">
        <v>43906</v>
      </c>
      <c r="C318" s="4">
        <v>5</v>
      </c>
      <c r="D318" s="21">
        <v>33</v>
      </c>
      <c r="F318" s="57">
        <f t="shared" si="11"/>
        <v>1</v>
      </c>
    </row>
    <row r="319" spans="1:6" x14ac:dyDescent="0.25">
      <c r="A319" s="5" t="s">
        <v>21</v>
      </c>
      <c r="B319" s="19">
        <v>43906</v>
      </c>
      <c r="C319" s="4">
        <v>0</v>
      </c>
      <c r="D319" s="21">
        <v>2</v>
      </c>
      <c r="F319" s="57">
        <f t="shared" si="11"/>
        <v>0</v>
      </c>
    </row>
    <row r="320" spans="1:6" x14ac:dyDescent="0.25">
      <c r="A320" s="5" t="s">
        <v>31</v>
      </c>
      <c r="B320" s="19">
        <v>43906</v>
      </c>
      <c r="C320" s="4">
        <v>0</v>
      </c>
      <c r="D320" s="21">
        <v>0</v>
      </c>
      <c r="F320" s="57">
        <f t="shared" si="11"/>
        <v>0</v>
      </c>
    </row>
    <row r="321" spans="1:6" x14ac:dyDescent="0.25">
      <c r="A321" s="5" t="s">
        <v>32</v>
      </c>
      <c r="B321" s="19">
        <v>43906</v>
      </c>
      <c r="C321" s="4">
        <v>0</v>
      </c>
      <c r="D321" s="21">
        <v>1</v>
      </c>
      <c r="F321" s="57">
        <f t="shared" si="11"/>
        <v>0</v>
      </c>
    </row>
    <row r="322" spans="1:6" x14ac:dyDescent="0.25">
      <c r="A322" s="5" t="s">
        <v>42</v>
      </c>
      <c r="B322" s="19">
        <v>43906</v>
      </c>
      <c r="C322" s="4">
        <v>0</v>
      </c>
      <c r="D322" s="21">
        <v>0</v>
      </c>
      <c r="F322" s="57">
        <f t="shared" si="11"/>
        <v>0</v>
      </c>
    </row>
    <row r="323" spans="1:6" x14ac:dyDescent="0.25">
      <c r="A323" s="5" t="s">
        <v>33</v>
      </c>
      <c r="B323" s="19">
        <v>43906</v>
      </c>
      <c r="C323" s="4">
        <v>0</v>
      </c>
      <c r="D323" s="21">
        <v>0</v>
      </c>
      <c r="F323" s="57">
        <f t="shared" si="11"/>
        <v>0</v>
      </c>
    </row>
    <row r="324" spans="1:6" x14ac:dyDescent="0.25">
      <c r="A324" s="5" t="s">
        <v>34</v>
      </c>
      <c r="B324" s="19">
        <v>43906</v>
      </c>
      <c r="C324" s="4">
        <v>0</v>
      </c>
      <c r="D324" s="21">
        <v>0</v>
      </c>
      <c r="F324" s="57">
        <f t="shared" si="11"/>
        <v>0</v>
      </c>
    </row>
    <row r="325" spans="1:6" x14ac:dyDescent="0.25">
      <c r="A325" s="5" t="s">
        <v>22</v>
      </c>
      <c r="B325" s="19">
        <v>43906</v>
      </c>
      <c r="C325" s="4">
        <v>0</v>
      </c>
      <c r="D325" s="21">
        <v>0</v>
      </c>
      <c r="F325" s="57">
        <f t="shared" si="11"/>
        <v>0</v>
      </c>
    </row>
    <row r="326" spans="1:6" x14ac:dyDescent="0.25">
      <c r="A326" s="5" t="s">
        <v>18</v>
      </c>
      <c r="B326" s="19">
        <v>43906</v>
      </c>
      <c r="C326" s="4">
        <v>0</v>
      </c>
      <c r="D326" s="21">
        <v>0</v>
      </c>
      <c r="F326" s="57">
        <f t="shared" si="11"/>
        <v>0</v>
      </c>
    </row>
    <row r="327" spans="1:6" x14ac:dyDescent="0.25">
      <c r="A327" s="5" t="s">
        <v>24</v>
      </c>
      <c r="B327" s="19">
        <v>43906</v>
      </c>
      <c r="C327" s="4">
        <v>0</v>
      </c>
      <c r="D327" s="21">
        <v>0</v>
      </c>
      <c r="F327" s="57">
        <f t="shared" si="11"/>
        <v>0</v>
      </c>
    </row>
    <row r="328" spans="1:6" x14ac:dyDescent="0.25">
      <c r="A328" s="5" t="s">
        <v>20</v>
      </c>
      <c r="B328" s="19">
        <v>43906</v>
      </c>
      <c r="C328" s="4">
        <v>0</v>
      </c>
      <c r="D328" s="21">
        <v>0</v>
      </c>
      <c r="F328" s="57">
        <f t="shared" si="11"/>
        <v>0</v>
      </c>
    </row>
    <row r="329" spans="1:6" x14ac:dyDescent="0.25">
      <c r="A329" s="5" t="s">
        <v>19</v>
      </c>
      <c r="B329" s="19">
        <v>43906</v>
      </c>
      <c r="C329" s="4">
        <v>0</v>
      </c>
      <c r="D329" s="21">
        <v>1</v>
      </c>
      <c r="F329" s="57">
        <f t="shared" si="11"/>
        <v>0</v>
      </c>
    </row>
    <row r="330" spans="1:6" x14ac:dyDescent="0.25">
      <c r="A330" s="5" t="s">
        <v>35</v>
      </c>
      <c r="B330" s="19">
        <v>43906</v>
      </c>
      <c r="C330" s="4">
        <v>0</v>
      </c>
      <c r="D330" s="21">
        <v>0</v>
      </c>
      <c r="F330" s="57">
        <f t="shared" si="11"/>
        <v>0</v>
      </c>
    </row>
    <row r="331" spans="1:6" x14ac:dyDescent="0.25">
      <c r="A331" s="5" t="s">
        <v>36</v>
      </c>
      <c r="B331" s="19">
        <v>43906</v>
      </c>
      <c r="C331" s="4">
        <v>0</v>
      </c>
      <c r="D331" s="21">
        <v>0</v>
      </c>
      <c r="F331" s="57">
        <f t="shared" si="11"/>
        <v>0</v>
      </c>
    </row>
    <row r="332" spans="1:6" x14ac:dyDescent="0.25">
      <c r="A332" s="5" t="s">
        <v>37</v>
      </c>
      <c r="B332" s="19">
        <v>43906</v>
      </c>
      <c r="C332" s="4">
        <v>0</v>
      </c>
      <c r="D332" s="21">
        <v>3</v>
      </c>
      <c r="F332" s="57">
        <f t="shared" si="11"/>
        <v>0</v>
      </c>
    </row>
    <row r="333" spans="1:6" x14ac:dyDescent="0.25">
      <c r="A333" s="5" t="s">
        <v>38</v>
      </c>
      <c r="B333" s="19">
        <v>43906</v>
      </c>
      <c r="C333" s="4">
        <v>0</v>
      </c>
      <c r="D333" s="21">
        <v>0</v>
      </c>
      <c r="F333" s="57">
        <f t="shared" si="11"/>
        <v>0</v>
      </c>
    </row>
    <row r="334" spans="1:6" x14ac:dyDescent="0.25">
      <c r="A334" s="5" t="s">
        <v>23</v>
      </c>
      <c r="B334" s="19">
        <v>43906</v>
      </c>
      <c r="C334" s="4">
        <v>0</v>
      </c>
      <c r="D334" s="21">
        <v>1</v>
      </c>
      <c r="F334" s="57">
        <f t="shared" si="11"/>
        <v>0</v>
      </c>
    </row>
    <row r="335" spans="1:6" x14ac:dyDescent="0.25">
      <c r="A335" s="5" t="s">
        <v>39</v>
      </c>
      <c r="B335" s="19">
        <v>43906</v>
      </c>
      <c r="C335" s="4">
        <v>0</v>
      </c>
      <c r="D335" s="21">
        <v>0</v>
      </c>
      <c r="F335" s="57">
        <f t="shared" si="11"/>
        <v>0</v>
      </c>
    </row>
    <row r="336" spans="1:6" x14ac:dyDescent="0.25">
      <c r="A336" s="5" t="s">
        <v>40</v>
      </c>
      <c r="B336" s="19">
        <v>43906</v>
      </c>
      <c r="C336" s="4">
        <v>0</v>
      </c>
      <c r="D336" s="21">
        <v>2</v>
      </c>
      <c r="F336" s="57">
        <f t="shared" si="11"/>
        <v>0</v>
      </c>
    </row>
    <row r="337" spans="1:6" x14ac:dyDescent="0.25">
      <c r="A337" s="5" t="s">
        <v>41</v>
      </c>
      <c r="B337" s="19">
        <v>43906</v>
      </c>
      <c r="C337" s="4">
        <v>0</v>
      </c>
      <c r="D337" s="21">
        <v>0</v>
      </c>
      <c r="F337" s="57">
        <f t="shared" si="11"/>
        <v>0</v>
      </c>
    </row>
    <row r="338" spans="1:6" x14ac:dyDescent="0.25">
      <c r="A338" s="42" t="s">
        <v>17</v>
      </c>
      <c r="B338" s="19">
        <v>43907</v>
      </c>
      <c r="C338" s="4">
        <v>1</v>
      </c>
      <c r="D338" s="21">
        <v>13</v>
      </c>
      <c r="F338" s="57">
        <f>E338+F314</f>
        <v>0</v>
      </c>
    </row>
    <row r="339" spans="1:6" x14ac:dyDescent="0.25">
      <c r="A339" s="5" t="s">
        <v>29</v>
      </c>
      <c r="B339" s="19">
        <v>43907</v>
      </c>
      <c r="C339" s="4">
        <v>0</v>
      </c>
      <c r="D339" s="21">
        <v>0</v>
      </c>
      <c r="F339" s="57">
        <f t="shared" ref="F339:F361" si="12">E339+F315</f>
        <v>0</v>
      </c>
    </row>
    <row r="340" spans="1:6" x14ac:dyDescent="0.25">
      <c r="A340" s="5" t="s">
        <v>16</v>
      </c>
      <c r="B340" s="19">
        <v>43907</v>
      </c>
      <c r="C340" s="4">
        <v>1</v>
      </c>
      <c r="D340" s="21">
        <v>11</v>
      </c>
      <c r="F340" s="57">
        <f t="shared" si="12"/>
        <v>1</v>
      </c>
    </row>
    <row r="341" spans="1:6" x14ac:dyDescent="0.25">
      <c r="A341" s="5" t="s">
        <v>30</v>
      </c>
      <c r="B341" s="19">
        <v>43907</v>
      </c>
      <c r="C341" s="4">
        <v>0</v>
      </c>
      <c r="D341" s="21">
        <v>0</v>
      </c>
      <c r="F341" s="57">
        <f t="shared" si="12"/>
        <v>0</v>
      </c>
    </row>
    <row r="342" spans="1:6" x14ac:dyDescent="0.25">
      <c r="A342" s="5" t="s">
        <v>44</v>
      </c>
      <c r="B342" s="19">
        <v>43907</v>
      </c>
      <c r="C342" s="4">
        <v>4</v>
      </c>
      <c r="D342" s="21">
        <v>37</v>
      </c>
      <c r="F342" s="57">
        <f t="shared" si="12"/>
        <v>1</v>
      </c>
    </row>
    <row r="343" spans="1:6" x14ac:dyDescent="0.25">
      <c r="A343" s="5" t="s">
        <v>21</v>
      </c>
      <c r="B343" s="19">
        <v>43907</v>
      </c>
      <c r="C343" s="4">
        <v>2</v>
      </c>
      <c r="D343" s="21">
        <v>4</v>
      </c>
      <c r="F343" s="57">
        <f t="shared" si="12"/>
        <v>0</v>
      </c>
    </row>
    <row r="344" spans="1:6" x14ac:dyDescent="0.25">
      <c r="A344" s="5" t="s">
        <v>31</v>
      </c>
      <c r="B344" s="19">
        <v>43907</v>
      </c>
      <c r="C344" s="4">
        <v>0</v>
      </c>
      <c r="D344" s="21">
        <v>0</v>
      </c>
      <c r="F344" s="57">
        <f t="shared" si="12"/>
        <v>0</v>
      </c>
    </row>
    <row r="345" spans="1:6" x14ac:dyDescent="0.25">
      <c r="A345" s="5" t="s">
        <v>32</v>
      </c>
      <c r="B345" s="19">
        <v>43907</v>
      </c>
      <c r="C345" s="4">
        <v>1</v>
      </c>
      <c r="D345" s="21">
        <v>2</v>
      </c>
      <c r="F345" s="57">
        <f t="shared" si="12"/>
        <v>0</v>
      </c>
    </row>
    <row r="346" spans="1:6" x14ac:dyDescent="0.25">
      <c r="A346" s="5" t="s">
        <v>42</v>
      </c>
      <c r="B346" s="19">
        <v>43907</v>
      </c>
      <c r="C346" s="4">
        <v>0</v>
      </c>
      <c r="D346" s="21">
        <v>0</v>
      </c>
      <c r="F346" s="57">
        <f t="shared" si="12"/>
        <v>0</v>
      </c>
    </row>
    <row r="347" spans="1:6" x14ac:dyDescent="0.25">
      <c r="A347" s="5" t="s">
        <v>33</v>
      </c>
      <c r="B347" s="19">
        <v>43907</v>
      </c>
      <c r="C347" s="4">
        <v>1</v>
      </c>
      <c r="D347" s="21">
        <v>1</v>
      </c>
      <c r="F347" s="57">
        <f t="shared" si="12"/>
        <v>0</v>
      </c>
    </row>
    <row r="348" spans="1:6" x14ac:dyDescent="0.25">
      <c r="A348" s="5" t="s">
        <v>34</v>
      </c>
      <c r="B348" s="19">
        <v>43907</v>
      </c>
      <c r="C348" s="4">
        <v>0</v>
      </c>
      <c r="D348" s="21">
        <v>0</v>
      </c>
      <c r="F348" s="57">
        <f t="shared" si="12"/>
        <v>0</v>
      </c>
    </row>
    <row r="349" spans="1:6" x14ac:dyDescent="0.25">
      <c r="A349" s="5" t="s">
        <v>22</v>
      </c>
      <c r="B349" s="19">
        <v>43907</v>
      </c>
      <c r="C349" s="4">
        <v>0</v>
      </c>
      <c r="D349" s="21">
        <v>0</v>
      </c>
      <c r="F349" s="57">
        <f t="shared" si="12"/>
        <v>0</v>
      </c>
    </row>
    <row r="350" spans="1:6" x14ac:dyDescent="0.25">
      <c r="A350" s="5" t="s">
        <v>18</v>
      </c>
      <c r="B350" s="19">
        <v>43907</v>
      </c>
      <c r="C350" s="4">
        <v>0</v>
      </c>
      <c r="D350" s="21">
        <v>0</v>
      </c>
      <c r="F350" s="57">
        <f t="shared" si="12"/>
        <v>0</v>
      </c>
    </row>
    <row r="351" spans="1:6" x14ac:dyDescent="0.25">
      <c r="A351" s="5" t="s">
        <v>24</v>
      </c>
      <c r="B351" s="19">
        <v>43907</v>
      </c>
      <c r="C351" s="4">
        <v>0</v>
      </c>
      <c r="D351" s="21">
        <v>0</v>
      </c>
      <c r="F351" s="57">
        <f t="shared" si="12"/>
        <v>0</v>
      </c>
    </row>
    <row r="352" spans="1:6" x14ac:dyDescent="0.25">
      <c r="A352" s="5" t="s">
        <v>20</v>
      </c>
      <c r="B352" s="19">
        <v>43907</v>
      </c>
      <c r="C352" s="4">
        <v>0</v>
      </c>
      <c r="D352" s="21">
        <v>0</v>
      </c>
      <c r="F352" s="57">
        <f t="shared" si="12"/>
        <v>0</v>
      </c>
    </row>
    <row r="353" spans="1:6" x14ac:dyDescent="0.25">
      <c r="A353" s="5" t="s">
        <v>19</v>
      </c>
      <c r="B353" s="19">
        <v>43907</v>
      </c>
      <c r="C353" s="4">
        <v>1</v>
      </c>
      <c r="D353" s="21">
        <v>2</v>
      </c>
      <c r="F353" s="57">
        <f t="shared" si="12"/>
        <v>0</v>
      </c>
    </row>
    <row r="354" spans="1:6" x14ac:dyDescent="0.25">
      <c r="A354" s="5" t="s">
        <v>35</v>
      </c>
      <c r="B354" s="19">
        <v>43907</v>
      </c>
      <c r="C354" s="4">
        <v>1</v>
      </c>
      <c r="D354" s="21">
        <v>1</v>
      </c>
      <c r="F354" s="57">
        <f t="shared" si="12"/>
        <v>0</v>
      </c>
    </row>
    <row r="355" spans="1:6" x14ac:dyDescent="0.25">
      <c r="A355" s="5" t="s">
        <v>36</v>
      </c>
      <c r="B355" s="19">
        <v>43907</v>
      </c>
      <c r="C355" s="4">
        <v>0</v>
      </c>
      <c r="D355" s="21">
        <v>0</v>
      </c>
      <c r="F355" s="57">
        <f t="shared" si="12"/>
        <v>0</v>
      </c>
    </row>
    <row r="356" spans="1:6" x14ac:dyDescent="0.25">
      <c r="A356" s="5" t="s">
        <v>37</v>
      </c>
      <c r="B356" s="19">
        <v>43907</v>
      </c>
      <c r="C356" s="4">
        <v>0</v>
      </c>
      <c r="D356" s="21">
        <v>3</v>
      </c>
      <c r="F356" s="57">
        <f t="shared" si="12"/>
        <v>0</v>
      </c>
    </row>
    <row r="357" spans="1:6" x14ac:dyDescent="0.25">
      <c r="A357" s="5" t="s">
        <v>38</v>
      </c>
      <c r="B357" s="19">
        <v>43907</v>
      </c>
      <c r="C357" s="4">
        <v>1</v>
      </c>
      <c r="D357" s="21">
        <v>1</v>
      </c>
      <c r="F357" s="57">
        <f t="shared" si="12"/>
        <v>0</v>
      </c>
    </row>
    <row r="358" spans="1:6" x14ac:dyDescent="0.25">
      <c r="A358" s="5" t="s">
        <v>23</v>
      </c>
      <c r="B358" s="19">
        <v>43907</v>
      </c>
      <c r="C358" s="4">
        <v>0</v>
      </c>
      <c r="D358" s="21">
        <v>1</v>
      </c>
      <c r="F358" s="57">
        <f t="shared" si="12"/>
        <v>0</v>
      </c>
    </row>
    <row r="359" spans="1:6" x14ac:dyDescent="0.25">
      <c r="A359" s="5" t="s">
        <v>39</v>
      </c>
      <c r="B359" s="19">
        <v>43907</v>
      </c>
      <c r="C359" s="4">
        <v>0</v>
      </c>
      <c r="D359" s="21">
        <v>0</v>
      </c>
      <c r="F359" s="57">
        <f t="shared" si="12"/>
        <v>0</v>
      </c>
    </row>
    <row r="360" spans="1:6" x14ac:dyDescent="0.25">
      <c r="A360" s="5" t="s">
        <v>40</v>
      </c>
      <c r="B360" s="19">
        <v>43907</v>
      </c>
      <c r="C360" s="4">
        <v>0</v>
      </c>
      <c r="D360" s="21">
        <v>2</v>
      </c>
      <c r="F360" s="57">
        <f t="shared" si="12"/>
        <v>0</v>
      </c>
    </row>
    <row r="361" spans="1:6" x14ac:dyDescent="0.25">
      <c r="A361" s="5" t="s">
        <v>41</v>
      </c>
      <c r="B361" s="19">
        <v>43907</v>
      </c>
      <c r="C361" s="4">
        <v>0</v>
      </c>
      <c r="D361" s="21">
        <v>0</v>
      </c>
      <c r="F361" s="57">
        <f t="shared" si="12"/>
        <v>0</v>
      </c>
    </row>
    <row r="362" spans="1:6" x14ac:dyDescent="0.25">
      <c r="A362" s="42" t="s">
        <v>17</v>
      </c>
      <c r="B362" s="19">
        <v>43908</v>
      </c>
      <c r="C362" s="4">
        <v>6</v>
      </c>
      <c r="D362" s="21">
        <v>19</v>
      </c>
      <c r="E362" s="12"/>
      <c r="F362" s="57">
        <f>E362+F338</f>
        <v>0</v>
      </c>
    </row>
    <row r="363" spans="1:6" x14ac:dyDescent="0.25">
      <c r="A363" s="5" t="s">
        <v>29</v>
      </c>
      <c r="B363" s="19">
        <v>43908</v>
      </c>
      <c r="C363" s="4">
        <v>0</v>
      </c>
      <c r="D363" s="21">
        <v>0</v>
      </c>
      <c r="F363" s="57">
        <f t="shared" ref="F363:F385" si="13">E363+F339</f>
        <v>0</v>
      </c>
    </row>
    <row r="364" spans="1:6" x14ac:dyDescent="0.25">
      <c r="A364" s="5" t="s">
        <v>16</v>
      </c>
      <c r="B364" s="19">
        <v>43908</v>
      </c>
      <c r="C364" s="4">
        <v>1</v>
      </c>
      <c r="D364" s="21">
        <v>12</v>
      </c>
      <c r="F364" s="57">
        <f t="shared" si="13"/>
        <v>1</v>
      </c>
    </row>
    <row r="365" spans="1:6" x14ac:dyDescent="0.25">
      <c r="A365" s="5" t="s">
        <v>30</v>
      </c>
      <c r="B365" s="19">
        <v>43908</v>
      </c>
      <c r="C365" s="4">
        <v>0</v>
      </c>
      <c r="D365" s="21">
        <v>0</v>
      </c>
      <c r="F365" s="57">
        <f t="shared" si="13"/>
        <v>0</v>
      </c>
    </row>
    <row r="366" spans="1:6" x14ac:dyDescent="0.25">
      <c r="A366" s="5" t="s">
        <v>44</v>
      </c>
      <c r="B366" s="19">
        <v>43908</v>
      </c>
      <c r="C366" s="4">
        <v>10</v>
      </c>
      <c r="D366" s="21">
        <v>47</v>
      </c>
      <c r="F366" s="57">
        <f t="shared" si="13"/>
        <v>1</v>
      </c>
    </row>
    <row r="367" spans="1:6" x14ac:dyDescent="0.25">
      <c r="A367" s="5" t="s">
        <v>21</v>
      </c>
      <c r="B367" s="19">
        <v>43908</v>
      </c>
      <c r="C367" s="4">
        <v>1</v>
      </c>
      <c r="D367" s="21">
        <v>5</v>
      </c>
      <c r="F367" s="57">
        <f t="shared" si="13"/>
        <v>0</v>
      </c>
    </row>
    <row r="368" spans="1:6" x14ac:dyDescent="0.25">
      <c r="A368" s="5" t="s">
        <v>31</v>
      </c>
      <c r="B368" s="19">
        <v>43908</v>
      </c>
      <c r="C368" s="4">
        <v>0</v>
      </c>
      <c r="D368" s="21">
        <v>0</v>
      </c>
      <c r="F368" s="57">
        <f t="shared" si="13"/>
        <v>0</v>
      </c>
    </row>
    <row r="369" spans="1:6" x14ac:dyDescent="0.25">
      <c r="A369" s="5" t="s">
        <v>32</v>
      </c>
      <c r="B369" s="19">
        <v>43908</v>
      </c>
      <c r="C369" s="4">
        <v>1</v>
      </c>
      <c r="D369" s="21">
        <v>3</v>
      </c>
      <c r="F369" s="57">
        <f t="shared" si="13"/>
        <v>0</v>
      </c>
    </row>
    <row r="370" spans="1:6" x14ac:dyDescent="0.25">
      <c r="A370" s="5" t="s">
        <v>42</v>
      </c>
      <c r="B370" s="19">
        <v>43908</v>
      </c>
      <c r="C370" s="4">
        <v>0</v>
      </c>
      <c r="D370" s="21">
        <v>0</v>
      </c>
      <c r="F370" s="57">
        <f t="shared" si="13"/>
        <v>0</v>
      </c>
    </row>
    <row r="371" spans="1:6" x14ac:dyDescent="0.25">
      <c r="A371" s="5" t="s">
        <v>33</v>
      </c>
      <c r="B371" s="19">
        <v>43908</v>
      </c>
      <c r="C371" s="4">
        <v>0</v>
      </c>
      <c r="D371" s="21">
        <v>1</v>
      </c>
      <c r="F371" s="57">
        <f t="shared" si="13"/>
        <v>0</v>
      </c>
    </row>
    <row r="372" spans="1:6" x14ac:dyDescent="0.25">
      <c r="A372" s="5" t="s">
        <v>34</v>
      </c>
      <c r="B372" s="19">
        <v>43908</v>
      </c>
      <c r="C372" s="4">
        <v>0</v>
      </c>
      <c r="D372" s="21">
        <v>0</v>
      </c>
      <c r="F372" s="57">
        <f t="shared" si="13"/>
        <v>0</v>
      </c>
    </row>
    <row r="373" spans="1:6" x14ac:dyDescent="0.25">
      <c r="A373" s="5" t="s">
        <v>22</v>
      </c>
      <c r="B373" s="19">
        <v>43908</v>
      </c>
      <c r="C373" s="4">
        <v>0</v>
      </c>
      <c r="D373" s="21">
        <v>0</v>
      </c>
      <c r="F373" s="57">
        <f t="shared" si="13"/>
        <v>0</v>
      </c>
    </row>
    <row r="374" spans="1:6" x14ac:dyDescent="0.25">
      <c r="A374" s="5" t="s">
        <v>18</v>
      </c>
      <c r="B374" s="19">
        <v>43908</v>
      </c>
      <c r="C374" s="4">
        <v>0</v>
      </c>
      <c r="D374" s="21">
        <v>0</v>
      </c>
      <c r="F374" s="57">
        <f t="shared" si="13"/>
        <v>0</v>
      </c>
    </row>
    <row r="375" spans="1:6" x14ac:dyDescent="0.25">
      <c r="A375" s="5" t="s">
        <v>24</v>
      </c>
      <c r="B375" s="19">
        <v>43908</v>
      </c>
      <c r="C375" s="4">
        <v>0</v>
      </c>
      <c r="D375" s="21">
        <v>0</v>
      </c>
      <c r="F375" s="57">
        <f t="shared" si="13"/>
        <v>0</v>
      </c>
    </row>
    <row r="376" spans="1:6" x14ac:dyDescent="0.25">
      <c r="A376" s="5" t="s">
        <v>20</v>
      </c>
      <c r="B376" s="19">
        <v>43908</v>
      </c>
      <c r="C376" s="4">
        <v>0</v>
      </c>
      <c r="D376" s="21">
        <v>0</v>
      </c>
      <c r="F376" s="57">
        <f t="shared" si="13"/>
        <v>0</v>
      </c>
    </row>
    <row r="377" spans="1:6" x14ac:dyDescent="0.25">
      <c r="A377" s="5" t="s">
        <v>19</v>
      </c>
      <c r="B377" s="19">
        <v>43908</v>
      </c>
      <c r="C377" s="4">
        <v>0</v>
      </c>
      <c r="D377" s="21">
        <v>2</v>
      </c>
      <c r="F377" s="57">
        <f t="shared" si="13"/>
        <v>0</v>
      </c>
    </row>
    <row r="378" spans="1:6" x14ac:dyDescent="0.25">
      <c r="A378" s="5" t="s">
        <v>35</v>
      </c>
      <c r="B378" s="19">
        <v>43908</v>
      </c>
      <c r="C378" s="4">
        <v>0</v>
      </c>
      <c r="D378" s="21">
        <v>1</v>
      </c>
      <c r="F378" s="57">
        <f t="shared" si="13"/>
        <v>0</v>
      </c>
    </row>
    <row r="379" spans="1:6" x14ac:dyDescent="0.25">
      <c r="A379" s="5" t="s">
        <v>36</v>
      </c>
      <c r="B379" s="19">
        <v>43908</v>
      </c>
      <c r="C379" s="4">
        <v>0</v>
      </c>
      <c r="D379" s="21">
        <v>0</v>
      </c>
      <c r="F379" s="57">
        <f t="shared" si="13"/>
        <v>0</v>
      </c>
    </row>
    <row r="380" spans="1:6" x14ac:dyDescent="0.25">
      <c r="A380" s="5" t="s">
        <v>37</v>
      </c>
      <c r="B380" s="19">
        <v>43908</v>
      </c>
      <c r="C380" s="4">
        <v>0</v>
      </c>
      <c r="D380" s="21">
        <v>3</v>
      </c>
      <c r="F380" s="57">
        <f t="shared" si="13"/>
        <v>0</v>
      </c>
    </row>
    <row r="381" spans="1:6" x14ac:dyDescent="0.25">
      <c r="A381" s="5" t="s">
        <v>38</v>
      </c>
      <c r="B381" s="19">
        <v>43908</v>
      </c>
      <c r="C381" s="4">
        <v>0</v>
      </c>
      <c r="D381" s="21">
        <v>1</v>
      </c>
      <c r="F381" s="57">
        <f t="shared" si="13"/>
        <v>0</v>
      </c>
    </row>
    <row r="382" spans="1:6" x14ac:dyDescent="0.25">
      <c r="A382" s="5" t="s">
        <v>23</v>
      </c>
      <c r="B382" s="19">
        <v>43908</v>
      </c>
      <c r="C382" s="4">
        <v>0</v>
      </c>
      <c r="D382" s="21">
        <v>1</v>
      </c>
      <c r="F382" s="57">
        <f t="shared" si="13"/>
        <v>0</v>
      </c>
    </row>
    <row r="383" spans="1:6" x14ac:dyDescent="0.25">
      <c r="A383" s="5" t="s">
        <v>39</v>
      </c>
      <c r="B383" s="19">
        <v>43908</v>
      </c>
      <c r="C383" s="4">
        <v>0</v>
      </c>
      <c r="D383" s="21">
        <v>0</v>
      </c>
      <c r="F383" s="57">
        <f t="shared" si="13"/>
        <v>0</v>
      </c>
    </row>
    <row r="384" spans="1:6" x14ac:dyDescent="0.25">
      <c r="A384" s="5" t="s">
        <v>40</v>
      </c>
      <c r="B384" s="19">
        <v>43908</v>
      </c>
      <c r="C384" s="4">
        <v>0</v>
      </c>
      <c r="D384" s="21">
        <v>2</v>
      </c>
      <c r="F384" s="57">
        <f t="shared" si="13"/>
        <v>0</v>
      </c>
    </row>
    <row r="385" spans="1:6" x14ac:dyDescent="0.25">
      <c r="A385" s="5" t="s">
        <v>41</v>
      </c>
      <c r="B385" s="19">
        <v>43908</v>
      </c>
      <c r="C385" s="4">
        <v>0</v>
      </c>
      <c r="D385" s="21">
        <v>0</v>
      </c>
      <c r="F385" s="57">
        <f t="shared" si="13"/>
        <v>0</v>
      </c>
    </row>
    <row r="386" spans="1:6" x14ac:dyDescent="0.25">
      <c r="A386" s="42" t="s">
        <v>17</v>
      </c>
      <c r="B386" s="19">
        <v>43909</v>
      </c>
      <c r="C386" s="4">
        <v>14</v>
      </c>
      <c r="D386" s="21">
        <v>33</v>
      </c>
      <c r="F386" s="57">
        <f>E386+F362</f>
        <v>0</v>
      </c>
    </row>
    <row r="387" spans="1:6" x14ac:dyDescent="0.25">
      <c r="A387" s="5" t="s">
        <v>29</v>
      </c>
      <c r="B387" s="19">
        <v>43909</v>
      </c>
      <c r="C387" s="4">
        <v>0</v>
      </c>
      <c r="D387" s="21">
        <v>0</v>
      </c>
      <c r="F387" s="57">
        <f t="shared" ref="F387:F409" si="14">E387+F363</f>
        <v>0</v>
      </c>
    </row>
    <row r="388" spans="1:6" x14ac:dyDescent="0.25">
      <c r="A388" s="5" t="s">
        <v>16</v>
      </c>
      <c r="B388" s="19">
        <v>43909</v>
      </c>
      <c r="C388" s="4">
        <v>2</v>
      </c>
      <c r="D388" s="21">
        <v>14</v>
      </c>
      <c r="F388" s="57">
        <f t="shared" si="14"/>
        <v>1</v>
      </c>
    </row>
    <row r="389" spans="1:6" x14ac:dyDescent="0.25">
      <c r="A389" s="5" t="s">
        <v>30</v>
      </c>
      <c r="B389" s="19">
        <v>43909</v>
      </c>
      <c r="C389" s="4">
        <v>0</v>
      </c>
      <c r="D389" s="21">
        <v>0</v>
      </c>
      <c r="F389" s="57">
        <f t="shared" si="14"/>
        <v>0</v>
      </c>
    </row>
    <row r="390" spans="1:6" x14ac:dyDescent="0.25">
      <c r="A390" s="5" t="s">
        <v>44</v>
      </c>
      <c r="B390" s="19">
        <v>43909</v>
      </c>
      <c r="C390" s="4">
        <v>8</v>
      </c>
      <c r="D390" s="21">
        <v>55</v>
      </c>
      <c r="F390" s="57">
        <f t="shared" si="14"/>
        <v>1</v>
      </c>
    </row>
    <row r="391" spans="1:6" x14ac:dyDescent="0.25">
      <c r="A391" s="5" t="s">
        <v>21</v>
      </c>
      <c r="B391" s="19">
        <v>43909</v>
      </c>
      <c r="C391" s="4">
        <v>3</v>
      </c>
      <c r="D391" s="21">
        <v>8</v>
      </c>
      <c r="F391" s="57">
        <f t="shared" si="14"/>
        <v>0</v>
      </c>
    </row>
    <row r="392" spans="1:6" x14ac:dyDescent="0.25">
      <c r="A392" s="5" t="s">
        <v>31</v>
      </c>
      <c r="B392" s="19">
        <v>43909</v>
      </c>
      <c r="C392" s="4">
        <v>0</v>
      </c>
      <c r="D392" s="21">
        <v>0</v>
      </c>
      <c r="F392" s="57">
        <f t="shared" si="14"/>
        <v>0</v>
      </c>
    </row>
    <row r="393" spans="1:6" x14ac:dyDescent="0.25">
      <c r="A393" s="5" t="s">
        <v>32</v>
      </c>
      <c r="B393" s="19">
        <v>43909</v>
      </c>
      <c r="C393" s="4">
        <v>0</v>
      </c>
      <c r="D393" s="21">
        <v>3</v>
      </c>
      <c r="F393" s="57">
        <f t="shared" si="14"/>
        <v>0</v>
      </c>
    </row>
    <row r="394" spans="1:6" x14ac:dyDescent="0.25">
      <c r="A394" s="5" t="s">
        <v>42</v>
      </c>
      <c r="B394" s="19">
        <v>43909</v>
      </c>
      <c r="C394" s="4">
        <v>0</v>
      </c>
      <c r="D394" s="21">
        <v>0</v>
      </c>
      <c r="F394" s="57">
        <f t="shared" si="14"/>
        <v>0</v>
      </c>
    </row>
    <row r="395" spans="1:6" x14ac:dyDescent="0.25">
      <c r="A395" s="5" t="s">
        <v>33</v>
      </c>
      <c r="B395" s="19">
        <v>43909</v>
      </c>
      <c r="C395" s="4">
        <v>0</v>
      </c>
      <c r="D395" s="21">
        <v>1</v>
      </c>
      <c r="F395" s="57">
        <f t="shared" si="14"/>
        <v>0</v>
      </c>
    </row>
    <row r="396" spans="1:6" x14ac:dyDescent="0.25">
      <c r="A396" s="5" t="s">
        <v>34</v>
      </c>
      <c r="B396" s="19">
        <v>43909</v>
      </c>
      <c r="C396" s="4">
        <v>0</v>
      </c>
      <c r="D396" s="21">
        <v>0</v>
      </c>
      <c r="F396" s="57">
        <f t="shared" si="14"/>
        <v>0</v>
      </c>
    </row>
    <row r="397" spans="1:6" x14ac:dyDescent="0.25">
      <c r="A397" s="5" t="s">
        <v>22</v>
      </c>
      <c r="B397" s="19">
        <v>43909</v>
      </c>
      <c r="C397" s="4">
        <v>0</v>
      </c>
      <c r="D397" s="21">
        <v>0</v>
      </c>
      <c r="F397" s="57">
        <f t="shared" si="14"/>
        <v>0</v>
      </c>
    </row>
    <row r="398" spans="1:6" x14ac:dyDescent="0.25">
      <c r="A398" s="5" t="s">
        <v>18</v>
      </c>
      <c r="B398" s="19">
        <v>43909</v>
      </c>
      <c r="C398" s="4">
        <v>0</v>
      </c>
      <c r="D398" s="21">
        <v>0</v>
      </c>
      <c r="F398" s="57">
        <f t="shared" si="14"/>
        <v>0</v>
      </c>
    </row>
    <row r="399" spans="1:6" x14ac:dyDescent="0.25">
      <c r="A399" s="5" t="s">
        <v>24</v>
      </c>
      <c r="B399" s="19">
        <v>43909</v>
      </c>
      <c r="C399" s="4">
        <v>0</v>
      </c>
      <c r="D399" s="21">
        <v>0</v>
      </c>
      <c r="F399" s="57">
        <f t="shared" si="14"/>
        <v>0</v>
      </c>
    </row>
    <row r="400" spans="1:6" x14ac:dyDescent="0.25">
      <c r="A400" s="5" t="s">
        <v>20</v>
      </c>
      <c r="B400" s="19">
        <v>43909</v>
      </c>
      <c r="C400" s="4">
        <v>0</v>
      </c>
      <c r="D400" s="21">
        <v>0</v>
      </c>
      <c r="F400" s="57">
        <f t="shared" si="14"/>
        <v>0</v>
      </c>
    </row>
    <row r="401" spans="1:6" x14ac:dyDescent="0.25">
      <c r="A401" s="5" t="s">
        <v>19</v>
      </c>
      <c r="B401" s="19">
        <v>43909</v>
      </c>
      <c r="C401" s="4">
        <v>1</v>
      </c>
      <c r="D401" s="21">
        <v>3</v>
      </c>
      <c r="F401" s="57">
        <f t="shared" si="14"/>
        <v>0</v>
      </c>
    </row>
    <row r="402" spans="1:6" x14ac:dyDescent="0.25">
      <c r="A402" s="5" t="s">
        <v>35</v>
      </c>
      <c r="B402" s="19">
        <v>43909</v>
      </c>
      <c r="C402" s="4">
        <v>0</v>
      </c>
      <c r="D402" s="21">
        <v>1</v>
      </c>
      <c r="F402" s="57">
        <f t="shared" si="14"/>
        <v>0</v>
      </c>
    </row>
    <row r="403" spans="1:6" x14ac:dyDescent="0.25">
      <c r="A403" s="5" t="s">
        <v>36</v>
      </c>
      <c r="B403" s="19">
        <v>43909</v>
      </c>
      <c r="C403" s="4">
        <v>0</v>
      </c>
      <c r="D403" s="21">
        <v>0</v>
      </c>
      <c r="F403" s="57">
        <f t="shared" si="14"/>
        <v>0</v>
      </c>
    </row>
    <row r="404" spans="1:6" x14ac:dyDescent="0.25">
      <c r="A404" s="5" t="s">
        <v>37</v>
      </c>
      <c r="B404" s="19">
        <v>43909</v>
      </c>
      <c r="C404" s="4">
        <v>0</v>
      </c>
      <c r="D404" s="21">
        <v>3</v>
      </c>
      <c r="F404" s="57">
        <f t="shared" si="14"/>
        <v>0</v>
      </c>
    </row>
    <row r="405" spans="1:6" x14ac:dyDescent="0.25">
      <c r="A405" s="5" t="s">
        <v>38</v>
      </c>
      <c r="B405" s="19">
        <v>43909</v>
      </c>
      <c r="C405" s="4">
        <v>0</v>
      </c>
      <c r="D405" s="21">
        <v>1</v>
      </c>
      <c r="F405" s="57">
        <f t="shared" si="14"/>
        <v>0</v>
      </c>
    </row>
    <row r="406" spans="1:6" x14ac:dyDescent="0.25">
      <c r="A406" s="5" t="s">
        <v>23</v>
      </c>
      <c r="B406" s="19">
        <v>43909</v>
      </c>
      <c r="C406" s="4">
        <v>1</v>
      </c>
      <c r="D406" s="21">
        <v>2</v>
      </c>
      <c r="F406" s="57">
        <f t="shared" si="14"/>
        <v>0</v>
      </c>
    </row>
    <row r="407" spans="1:6" x14ac:dyDescent="0.25">
      <c r="A407" s="5" t="s">
        <v>39</v>
      </c>
      <c r="B407" s="19">
        <v>43909</v>
      </c>
      <c r="C407" s="4">
        <v>0</v>
      </c>
      <c r="D407" s="21">
        <v>0</v>
      </c>
      <c r="F407" s="57">
        <f t="shared" si="14"/>
        <v>0</v>
      </c>
    </row>
    <row r="408" spans="1:6" x14ac:dyDescent="0.25">
      <c r="A408" s="5" t="s">
        <v>40</v>
      </c>
      <c r="B408" s="19">
        <v>43909</v>
      </c>
      <c r="C408" s="4">
        <v>0</v>
      </c>
      <c r="D408" s="21">
        <v>2</v>
      </c>
      <c r="F408" s="57">
        <f t="shared" si="14"/>
        <v>0</v>
      </c>
    </row>
    <row r="409" spans="1:6" x14ac:dyDescent="0.25">
      <c r="A409" s="5" t="s">
        <v>41</v>
      </c>
      <c r="B409" s="19">
        <v>43909</v>
      </c>
      <c r="C409" s="4">
        <v>1</v>
      </c>
      <c r="D409" s="21">
        <v>1</v>
      </c>
      <c r="F409" s="57">
        <f t="shared" si="14"/>
        <v>0</v>
      </c>
    </row>
    <row r="410" spans="1:6" x14ac:dyDescent="0.25">
      <c r="A410" s="42" t="s">
        <v>17</v>
      </c>
      <c r="B410" s="19">
        <v>43910</v>
      </c>
      <c r="C410" s="4">
        <v>9</v>
      </c>
      <c r="D410" s="21">
        <v>42</v>
      </c>
      <c r="F410" s="57">
        <f>E410+F386</f>
        <v>0</v>
      </c>
    </row>
    <row r="411" spans="1:6" x14ac:dyDescent="0.25">
      <c r="A411" s="5" t="s">
        <v>29</v>
      </c>
      <c r="B411" s="19">
        <v>43910</v>
      </c>
      <c r="C411" s="4">
        <v>0</v>
      </c>
      <c r="D411" s="21">
        <v>0</v>
      </c>
      <c r="F411" s="57">
        <f t="shared" ref="F411:F433" si="15">E411+F387</f>
        <v>0</v>
      </c>
    </row>
    <row r="412" spans="1:6" x14ac:dyDescent="0.25">
      <c r="A412" s="5" t="s">
        <v>16</v>
      </c>
      <c r="B412" s="19">
        <v>43910</v>
      </c>
      <c r="C412" s="4">
        <v>1</v>
      </c>
      <c r="D412" s="21">
        <v>15</v>
      </c>
      <c r="F412" s="57">
        <f t="shared" si="15"/>
        <v>1</v>
      </c>
    </row>
    <row r="413" spans="1:6" x14ac:dyDescent="0.25">
      <c r="A413" s="5" t="s">
        <v>30</v>
      </c>
      <c r="B413" s="19">
        <v>43910</v>
      </c>
      <c r="C413" s="4">
        <v>0</v>
      </c>
      <c r="D413" s="21">
        <v>0</v>
      </c>
      <c r="F413" s="57">
        <f t="shared" si="15"/>
        <v>0</v>
      </c>
    </row>
    <row r="414" spans="1:6" x14ac:dyDescent="0.25">
      <c r="A414" s="5" t="s">
        <v>44</v>
      </c>
      <c r="B414" s="19">
        <v>43910</v>
      </c>
      <c r="C414" s="4">
        <v>9</v>
      </c>
      <c r="D414" s="21">
        <v>64</v>
      </c>
      <c r="F414" s="57">
        <f t="shared" si="15"/>
        <v>1</v>
      </c>
    </row>
    <row r="415" spans="1:6" x14ac:dyDescent="0.25">
      <c r="A415" s="5" t="s">
        <v>21</v>
      </c>
      <c r="B415" s="19">
        <v>43910</v>
      </c>
      <c r="C415" s="4">
        <v>5</v>
      </c>
      <c r="D415" s="21">
        <v>13</v>
      </c>
      <c r="F415" s="57">
        <f t="shared" si="15"/>
        <v>0</v>
      </c>
    </row>
    <row r="416" spans="1:6" x14ac:dyDescent="0.25">
      <c r="A416" s="5" t="s">
        <v>31</v>
      </c>
      <c r="B416" s="19">
        <v>43910</v>
      </c>
      <c r="C416" s="4">
        <v>1</v>
      </c>
      <c r="D416" s="21">
        <v>1</v>
      </c>
      <c r="F416" s="57">
        <f t="shared" si="15"/>
        <v>0</v>
      </c>
    </row>
    <row r="417" spans="1:6" x14ac:dyDescent="0.25">
      <c r="A417" s="5" t="s">
        <v>32</v>
      </c>
      <c r="B417" s="19">
        <v>43910</v>
      </c>
      <c r="C417" s="4">
        <v>1</v>
      </c>
      <c r="D417" s="21">
        <v>4</v>
      </c>
      <c r="F417" s="57">
        <f t="shared" si="15"/>
        <v>0</v>
      </c>
    </row>
    <row r="418" spans="1:6" x14ac:dyDescent="0.25">
      <c r="A418" s="5" t="s">
        <v>42</v>
      </c>
      <c r="B418" s="19">
        <v>43910</v>
      </c>
      <c r="C418" s="4">
        <v>0</v>
      </c>
      <c r="D418" s="21">
        <v>0</v>
      </c>
      <c r="F418" s="57">
        <f t="shared" si="15"/>
        <v>0</v>
      </c>
    </row>
    <row r="419" spans="1:6" x14ac:dyDescent="0.25">
      <c r="A419" s="5" t="s">
        <v>33</v>
      </c>
      <c r="B419" s="19">
        <v>43910</v>
      </c>
      <c r="C419" s="4">
        <v>0</v>
      </c>
      <c r="D419" s="21">
        <v>1</v>
      </c>
      <c r="F419" s="57">
        <f t="shared" si="15"/>
        <v>0</v>
      </c>
    </row>
    <row r="420" spans="1:6" x14ac:dyDescent="0.25">
      <c r="A420" s="5" t="s">
        <v>34</v>
      </c>
      <c r="B420" s="19">
        <v>43910</v>
      </c>
      <c r="C420" s="4">
        <v>0</v>
      </c>
      <c r="D420" s="21">
        <v>0</v>
      </c>
      <c r="F420" s="57">
        <f t="shared" si="15"/>
        <v>0</v>
      </c>
    </row>
    <row r="421" spans="1:6" x14ac:dyDescent="0.25">
      <c r="A421" s="5" t="s">
        <v>22</v>
      </c>
      <c r="B421" s="19">
        <v>43910</v>
      </c>
      <c r="C421" s="4">
        <v>0</v>
      </c>
      <c r="D421" s="21">
        <v>0</v>
      </c>
      <c r="F421" s="57">
        <f t="shared" si="15"/>
        <v>0</v>
      </c>
    </row>
    <row r="422" spans="1:6" x14ac:dyDescent="0.25">
      <c r="A422" s="5" t="s">
        <v>18</v>
      </c>
      <c r="B422" s="19">
        <v>43910</v>
      </c>
      <c r="C422" s="4">
        <v>0</v>
      </c>
      <c r="D422" s="21">
        <v>0</v>
      </c>
      <c r="F422" s="57">
        <f t="shared" si="15"/>
        <v>0</v>
      </c>
    </row>
    <row r="423" spans="1:6" x14ac:dyDescent="0.25">
      <c r="A423" s="5" t="s">
        <v>24</v>
      </c>
      <c r="B423" s="19">
        <v>43910</v>
      </c>
      <c r="C423" s="4">
        <v>0</v>
      </c>
      <c r="D423" s="21">
        <v>0</v>
      </c>
      <c r="F423" s="57">
        <f t="shared" si="15"/>
        <v>0</v>
      </c>
    </row>
    <row r="424" spans="1:6" x14ac:dyDescent="0.25">
      <c r="A424" s="5" t="s">
        <v>20</v>
      </c>
      <c r="B424" s="19">
        <v>43910</v>
      </c>
      <c r="C424" s="4">
        <v>2</v>
      </c>
      <c r="D424" s="21">
        <v>2</v>
      </c>
      <c r="F424" s="57">
        <f t="shared" si="15"/>
        <v>0</v>
      </c>
    </row>
    <row r="425" spans="1:6" x14ac:dyDescent="0.25">
      <c r="A425" s="5" t="s">
        <v>19</v>
      </c>
      <c r="B425" s="19">
        <v>43910</v>
      </c>
      <c r="C425" s="4">
        <v>0</v>
      </c>
      <c r="D425" s="21">
        <v>3</v>
      </c>
      <c r="F425" s="57">
        <f t="shared" si="15"/>
        <v>0</v>
      </c>
    </row>
    <row r="426" spans="1:6" x14ac:dyDescent="0.25">
      <c r="A426" s="5" t="s">
        <v>35</v>
      </c>
      <c r="B426" s="19">
        <v>43910</v>
      </c>
      <c r="C426" s="4">
        <v>0</v>
      </c>
      <c r="D426" s="21">
        <v>1</v>
      </c>
      <c r="F426" s="57">
        <f t="shared" si="15"/>
        <v>0</v>
      </c>
    </row>
    <row r="427" spans="1:6" x14ac:dyDescent="0.25">
      <c r="A427" s="5" t="s">
        <v>36</v>
      </c>
      <c r="B427" s="19">
        <v>43910</v>
      </c>
      <c r="C427" s="4">
        <v>0</v>
      </c>
      <c r="D427" s="21">
        <v>0</v>
      </c>
      <c r="F427" s="57">
        <f t="shared" si="15"/>
        <v>0</v>
      </c>
    </row>
    <row r="428" spans="1:6" x14ac:dyDescent="0.25">
      <c r="A428" s="5" t="s">
        <v>37</v>
      </c>
      <c r="B428" s="19">
        <v>43910</v>
      </c>
      <c r="C428" s="4">
        <v>0</v>
      </c>
      <c r="D428" s="21">
        <v>3</v>
      </c>
      <c r="F428" s="57">
        <f t="shared" si="15"/>
        <v>0</v>
      </c>
    </row>
    <row r="429" spans="1:6" x14ac:dyDescent="0.25">
      <c r="A429" s="5" t="s">
        <v>38</v>
      </c>
      <c r="B429" s="19">
        <v>43910</v>
      </c>
      <c r="C429" s="4">
        <v>0</v>
      </c>
      <c r="D429" s="21">
        <v>1</v>
      </c>
      <c r="F429" s="57">
        <f t="shared" si="15"/>
        <v>0</v>
      </c>
    </row>
    <row r="430" spans="1:6" x14ac:dyDescent="0.25">
      <c r="A430" s="5" t="s">
        <v>23</v>
      </c>
      <c r="B430" s="19">
        <v>43910</v>
      </c>
      <c r="C430" s="4">
        <v>0</v>
      </c>
      <c r="D430" s="21">
        <v>2</v>
      </c>
      <c r="F430" s="57">
        <f t="shared" si="15"/>
        <v>0</v>
      </c>
    </row>
    <row r="431" spans="1:6" x14ac:dyDescent="0.25">
      <c r="A431" s="5" t="s">
        <v>39</v>
      </c>
      <c r="B431" s="19">
        <v>43910</v>
      </c>
      <c r="C431" s="4">
        <v>1</v>
      </c>
      <c r="D431" s="21">
        <v>1</v>
      </c>
      <c r="F431" s="57">
        <f t="shared" si="15"/>
        <v>0</v>
      </c>
    </row>
    <row r="432" spans="1:6" x14ac:dyDescent="0.25">
      <c r="A432" s="5" t="s">
        <v>40</v>
      </c>
      <c r="B432" s="19">
        <v>43910</v>
      </c>
      <c r="C432" s="4">
        <v>1</v>
      </c>
      <c r="D432" s="21">
        <v>3</v>
      </c>
      <c r="F432" s="57">
        <f t="shared" si="15"/>
        <v>0</v>
      </c>
    </row>
    <row r="433" spans="1:6" x14ac:dyDescent="0.25">
      <c r="A433" s="5" t="s">
        <v>41</v>
      </c>
      <c r="B433" s="19">
        <v>43910</v>
      </c>
      <c r="C433" s="4">
        <v>0</v>
      </c>
      <c r="D433" s="21">
        <v>1</v>
      </c>
      <c r="F433" s="57">
        <f t="shared" si="15"/>
        <v>0</v>
      </c>
    </row>
    <row r="434" spans="1:6" x14ac:dyDescent="0.25">
      <c r="A434" s="42" t="s">
        <v>17</v>
      </c>
      <c r="B434" s="19">
        <v>43911</v>
      </c>
      <c r="C434" s="4">
        <v>15</v>
      </c>
      <c r="D434" s="21">
        <v>57</v>
      </c>
      <c r="E434" s="4">
        <v>1</v>
      </c>
      <c r="F434" s="57">
        <f>E434+F410</f>
        <v>1</v>
      </c>
    </row>
    <row r="435" spans="1:6" x14ac:dyDescent="0.25">
      <c r="A435" s="5" t="s">
        <v>29</v>
      </c>
      <c r="B435" s="19">
        <v>43911</v>
      </c>
      <c r="C435" s="4">
        <v>0</v>
      </c>
      <c r="D435" s="21">
        <v>0</v>
      </c>
      <c r="F435" s="57">
        <f t="shared" ref="F435:F457" si="16">E435+F411</f>
        <v>0</v>
      </c>
    </row>
    <row r="436" spans="1:6" x14ac:dyDescent="0.25">
      <c r="A436" s="5" t="s">
        <v>16</v>
      </c>
      <c r="B436" s="19">
        <v>43911</v>
      </c>
      <c r="C436" s="4">
        <v>5</v>
      </c>
      <c r="D436" s="21">
        <v>20</v>
      </c>
      <c r="F436" s="57">
        <f t="shared" si="16"/>
        <v>1</v>
      </c>
    </row>
    <row r="437" spans="1:6" x14ac:dyDescent="0.25">
      <c r="A437" s="5" t="s">
        <v>30</v>
      </c>
      <c r="B437" s="19">
        <v>43911</v>
      </c>
      <c r="C437" s="4">
        <v>0</v>
      </c>
      <c r="D437" s="21">
        <v>0</v>
      </c>
      <c r="F437" s="57">
        <f t="shared" si="16"/>
        <v>0</v>
      </c>
    </row>
    <row r="438" spans="1:6" x14ac:dyDescent="0.25">
      <c r="A438" s="5" t="s">
        <v>44</v>
      </c>
      <c r="B438" s="19">
        <v>43911</v>
      </c>
      <c r="C438" s="4">
        <v>29</v>
      </c>
      <c r="D438" s="21">
        <v>93</v>
      </c>
      <c r="F438" s="57">
        <f t="shared" si="16"/>
        <v>1</v>
      </c>
    </row>
    <row r="439" spans="1:6" x14ac:dyDescent="0.25">
      <c r="A439" s="5" t="s">
        <v>21</v>
      </c>
      <c r="B439" s="19">
        <v>43911</v>
      </c>
      <c r="C439" s="4">
        <v>4</v>
      </c>
      <c r="D439" s="21">
        <v>17</v>
      </c>
      <c r="F439" s="57">
        <f t="shared" si="16"/>
        <v>0</v>
      </c>
    </row>
    <row r="440" spans="1:6" x14ac:dyDescent="0.25">
      <c r="A440" s="5" t="s">
        <v>31</v>
      </c>
      <c r="B440" s="19">
        <v>43911</v>
      </c>
      <c r="C440" s="4">
        <v>2</v>
      </c>
      <c r="D440" s="21">
        <v>3</v>
      </c>
      <c r="F440" s="57">
        <f t="shared" si="16"/>
        <v>0</v>
      </c>
    </row>
    <row r="441" spans="1:6" x14ac:dyDescent="0.25">
      <c r="A441" s="5" t="s">
        <v>32</v>
      </c>
      <c r="B441" s="19">
        <v>43911</v>
      </c>
      <c r="C441" s="4">
        <v>0</v>
      </c>
      <c r="D441" s="21">
        <v>4</v>
      </c>
      <c r="F441" s="57">
        <f t="shared" si="16"/>
        <v>0</v>
      </c>
    </row>
    <row r="442" spans="1:6" x14ac:dyDescent="0.25">
      <c r="A442" s="5" t="s">
        <v>42</v>
      </c>
      <c r="B442" s="19">
        <v>43911</v>
      </c>
      <c r="C442" s="4">
        <v>0</v>
      </c>
      <c r="D442" s="21">
        <v>0</v>
      </c>
      <c r="F442" s="57">
        <f t="shared" si="16"/>
        <v>0</v>
      </c>
    </row>
    <row r="443" spans="1:6" x14ac:dyDescent="0.25">
      <c r="A443" s="5" t="s">
        <v>33</v>
      </c>
      <c r="B443" s="19">
        <v>43911</v>
      </c>
      <c r="C443" s="4">
        <v>0</v>
      </c>
      <c r="D443" s="21">
        <v>1</v>
      </c>
      <c r="F443" s="57">
        <f t="shared" si="16"/>
        <v>0</v>
      </c>
    </row>
    <row r="444" spans="1:6" x14ac:dyDescent="0.25">
      <c r="A444" s="5" t="s">
        <v>34</v>
      </c>
      <c r="B444" s="19">
        <v>43911</v>
      </c>
      <c r="C444" s="4">
        <v>0</v>
      </c>
      <c r="D444" s="21">
        <v>0</v>
      </c>
      <c r="F444" s="57">
        <f t="shared" si="16"/>
        <v>0</v>
      </c>
    </row>
    <row r="445" spans="1:6" x14ac:dyDescent="0.25">
      <c r="A445" s="5" t="s">
        <v>22</v>
      </c>
      <c r="B445" s="19">
        <v>43911</v>
      </c>
      <c r="C445" s="4">
        <v>0</v>
      </c>
      <c r="D445" s="21">
        <v>0</v>
      </c>
      <c r="F445" s="57">
        <f t="shared" si="16"/>
        <v>0</v>
      </c>
    </row>
    <row r="446" spans="1:6" x14ac:dyDescent="0.25">
      <c r="A446" s="5" t="s">
        <v>18</v>
      </c>
      <c r="B446" s="19">
        <v>43911</v>
      </c>
      <c r="C446" s="4">
        <v>5</v>
      </c>
      <c r="D446" s="21">
        <v>5</v>
      </c>
      <c r="F446" s="57">
        <f t="shared" si="16"/>
        <v>0</v>
      </c>
    </row>
    <row r="447" spans="1:6" x14ac:dyDescent="0.25">
      <c r="A447" s="5" t="s">
        <v>24</v>
      </c>
      <c r="B447" s="19">
        <v>43911</v>
      </c>
      <c r="C447" s="4">
        <v>0</v>
      </c>
      <c r="D447" s="21">
        <v>0</v>
      </c>
      <c r="F447" s="57">
        <f t="shared" si="16"/>
        <v>0</v>
      </c>
    </row>
    <row r="448" spans="1:6" x14ac:dyDescent="0.25">
      <c r="A448" s="5" t="s">
        <v>20</v>
      </c>
      <c r="B448" s="19">
        <v>43911</v>
      </c>
      <c r="C448" s="4">
        <v>0</v>
      </c>
      <c r="D448" s="21">
        <v>2</v>
      </c>
      <c r="F448" s="57">
        <f t="shared" si="16"/>
        <v>0</v>
      </c>
    </row>
    <row r="449" spans="1:6" x14ac:dyDescent="0.25">
      <c r="A449" s="5" t="s">
        <v>19</v>
      </c>
      <c r="B449" s="19">
        <v>43911</v>
      </c>
      <c r="C449" s="4">
        <v>1</v>
      </c>
      <c r="D449" s="21">
        <v>4</v>
      </c>
      <c r="F449" s="57">
        <f t="shared" si="16"/>
        <v>0</v>
      </c>
    </row>
    <row r="450" spans="1:6" x14ac:dyDescent="0.25">
      <c r="A450" s="5" t="s">
        <v>35</v>
      </c>
      <c r="B450" s="19">
        <v>43911</v>
      </c>
      <c r="C450" s="4">
        <v>0</v>
      </c>
      <c r="D450" s="21">
        <v>1</v>
      </c>
      <c r="F450" s="57">
        <f t="shared" si="16"/>
        <v>0</v>
      </c>
    </row>
    <row r="451" spans="1:6" x14ac:dyDescent="0.25">
      <c r="A451" s="5" t="s">
        <v>36</v>
      </c>
      <c r="B451" s="19">
        <v>43911</v>
      </c>
      <c r="C451" s="4">
        <v>0</v>
      </c>
      <c r="D451" s="21">
        <v>0</v>
      </c>
      <c r="F451" s="57">
        <f t="shared" si="16"/>
        <v>0</v>
      </c>
    </row>
    <row r="452" spans="1:6" x14ac:dyDescent="0.25">
      <c r="A452" s="5" t="s">
        <v>37</v>
      </c>
      <c r="B452" s="19">
        <v>43911</v>
      </c>
      <c r="C452" s="4">
        <v>0</v>
      </c>
      <c r="D452" s="21">
        <v>3</v>
      </c>
      <c r="F452" s="57">
        <f t="shared" si="16"/>
        <v>0</v>
      </c>
    </row>
    <row r="453" spans="1:6" x14ac:dyDescent="0.25">
      <c r="A453" s="5" t="s">
        <v>38</v>
      </c>
      <c r="B453" s="19">
        <v>43911</v>
      </c>
      <c r="C453" s="4">
        <v>0</v>
      </c>
      <c r="D453" s="21">
        <v>1</v>
      </c>
      <c r="F453" s="57">
        <f t="shared" si="16"/>
        <v>0</v>
      </c>
    </row>
    <row r="454" spans="1:6" x14ac:dyDescent="0.25">
      <c r="A454" s="5" t="s">
        <v>23</v>
      </c>
      <c r="B454" s="19">
        <v>43911</v>
      </c>
      <c r="C454" s="4">
        <v>2</v>
      </c>
      <c r="D454" s="21">
        <v>4</v>
      </c>
      <c r="F454" s="57">
        <f t="shared" si="16"/>
        <v>0</v>
      </c>
    </row>
    <row r="455" spans="1:6" x14ac:dyDescent="0.25">
      <c r="A455" s="5" t="s">
        <v>39</v>
      </c>
      <c r="B455" s="19">
        <v>43911</v>
      </c>
      <c r="C455" s="4">
        <v>0</v>
      </c>
      <c r="D455" s="21">
        <v>1</v>
      </c>
      <c r="F455" s="57">
        <f t="shared" si="16"/>
        <v>0</v>
      </c>
    </row>
    <row r="456" spans="1:6" x14ac:dyDescent="0.25">
      <c r="A456" s="5" t="s">
        <v>40</v>
      </c>
      <c r="B456" s="19">
        <v>43911</v>
      </c>
      <c r="C456" s="4">
        <v>3</v>
      </c>
      <c r="D456" s="21">
        <v>6</v>
      </c>
      <c r="F456" s="57">
        <f t="shared" si="16"/>
        <v>0</v>
      </c>
    </row>
    <row r="457" spans="1:6" x14ac:dyDescent="0.25">
      <c r="A457" s="5" t="s">
        <v>41</v>
      </c>
      <c r="B457" s="19">
        <v>43911</v>
      </c>
      <c r="C457" s="4">
        <v>1</v>
      </c>
      <c r="D457" s="21">
        <v>2</v>
      </c>
      <c r="F457" s="57">
        <f t="shared" si="16"/>
        <v>0</v>
      </c>
    </row>
    <row r="458" spans="1:6" x14ac:dyDescent="0.25">
      <c r="A458" s="42" t="s">
        <v>17</v>
      </c>
      <c r="B458" s="19">
        <v>43912</v>
      </c>
      <c r="C458" s="4">
        <v>8</v>
      </c>
      <c r="D458" s="21">
        <v>65</v>
      </c>
      <c r="F458" s="57">
        <f>E458+F434</f>
        <v>1</v>
      </c>
    </row>
    <row r="459" spans="1:6" x14ac:dyDescent="0.25">
      <c r="A459" s="5" t="s">
        <v>29</v>
      </c>
      <c r="B459" s="19">
        <v>43912</v>
      </c>
      <c r="C459" s="4">
        <v>0</v>
      </c>
      <c r="D459" s="21">
        <v>0</v>
      </c>
      <c r="F459" s="57">
        <f t="shared" ref="F459:F481" si="17">E459+F435</f>
        <v>0</v>
      </c>
    </row>
    <row r="460" spans="1:6" x14ac:dyDescent="0.25">
      <c r="A460" s="5" t="s">
        <v>16</v>
      </c>
      <c r="B460" s="19">
        <v>43912</v>
      </c>
      <c r="C460" s="4">
        <v>7</v>
      </c>
      <c r="D460" s="21">
        <v>27</v>
      </c>
      <c r="F460" s="57">
        <f t="shared" si="17"/>
        <v>1</v>
      </c>
    </row>
    <row r="461" spans="1:6" x14ac:dyDescent="0.25">
      <c r="A461" s="5" t="s">
        <v>30</v>
      </c>
      <c r="B461" s="19">
        <v>43912</v>
      </c>
      <c r="C461" s="4">
        <v>0</v>
      </c>
      <c r="D461" s="21">
        <v>0</v>
      </c>
      <c r="F461" s="57">
        <f t="shared" si="17"/>
        <v>0</v>
      </c>
    </row>
    <row r="462" spans="1:6" x14ac:dyDescent="0.25">
      <c r="A462" s="5" t="s">
        <v>44</v>
      </c>
      <c r="B462" s="19">
        <v>43912</v>
      </c>
      <c r="C462" s="4">
        <v>11</v>
      </c>
      <c r="D462" s="21">
        <v>104</v>
      </c>
      <c r="F462" s="57">
        <f t="shared" si="17"/>
        <v>1</v>
      </c>
    </row>
    <row r="463" spans="1:6" x14ac:dyDescent="0.25">
      <c r="A463" s="5" t="s">
        <v>21</v>
      </c>
      <c r="B463" s="19">
        <v>43912</v>
      </c>
      <c r="C463" s="4">
        <v>8</v>
      </c>
      <c r="D463" s="21">
        <v>25</v>
      </c>
      <c r="F463" s="57">
        <f t="shared" si="17"/>
        <v>0</v>
      </c>
    </row>
    <row r="464" spans="1:6" x14ac:dyDescent="0.25">
      <c r="A464" s="5" t="s">
        <v>31</v>
      </c>
      <c r="B464" s="19">
        <v>43912</v>
      </c>
      <c r="C464" s="4">
        <v>0</v>
      </c>
      <c r="D464" s="21">
        <v>3</v>
      </c>
      <c r="F464" s="57">
        <f t="shared" si="17"/>
        <v>0</v>
      </c>
    </row>
    <row r="465" spans="1:6" x14ac:dyDescent="0.25">
      <c r="A465" s="5" t="s">
        <v>32</v>
      </c>
      <c r="B465" s="19">
        <v>43912</v>
      </c>
      <c r="C465" s="4">
        <v>0</v>
      </c>
      <c r="D465" s="21">
        <v>4</v>
      </c>
      <c r="F465" s="57">
        <f t="shared" si="17"/>
        <v>0</v>
      </c>
    </row>
    <row r="466" spans="1:6" x14ac:dyDescent="0.25">
      <c r="A466" s="5" t="s">
        <v>42</v>
      </c>
      <c r="B466" s="19">
        <v>43912</v>
      </c>
      <c r="C466" s="4">
        <v>0</v>
      </c>
      <c r="D466" s="21">
        <v>0</v>
      </c>
      <c r="F466" s="57">
        <f t="shared" si="17"/>
        <v>0</v>
      </c>
    </row>
    <row r="467" spans="1:6" x14ac:dyDescent="0.25">
      <c r="A467" s="5" t="s">
        <v>33</v>
      </c>
      <c r="B467" s="19">
        <v>43912</v>
      </c>
      <c r="C467" s="4">
        <v>0</v>
      </c>
      <c r="D467" s="21">
        <v>1</v>
      </c>
      <c r="F467" s="57">
        <f t="shared" si="17"/>
        <v>0</v>
      </c>
    </row>
    <row r="468" spans="1:6" x14ac:dyDescent="0.25">
      <c r="A468" s="5" t="s">
        <v>34</v>
      </c>
      <c r="B468" s="19">
        <v>43912</v>
      </c>
      <c r="C468" s="4">
        <v>0</v>
      </c>
      <c r="D468" s="21">
        <v>0</v>
      </c>
      <c r="F468" s="57">
        <f t="shared" si="17"/>
        <v>0</v>
      </c>
    </row>
    <row r="469" spans="1:6" x14ac:dyDescent="0.25">
      <c r="A469" s="5" t="s">
        <v>22</v>
      </c>
      <c r="B469" s="19">
        <v>43912</v>
      </c>
      <c r="C469" s="4">
        <v>0</v>
      </c>
      <c r="D469" s="21">
        <v>0</v>
      </c>
      <c r="F469" s="57">
        <f t="shared" si="17"/>
        <v>0</v>
      </c>
    </row>
    <row r="470" spans="1:6" x14ac:dyDescent="0.25">
      <c r="A470" s="5" t="s">
        <v>18</v>
      </c>
      <c r="B470" s="19">
        <v>43912</v>
      </c>
      <c r="C470" s="4">
        <v>0</v>
      </c>
      <c r="D470" s="21">
        <v>5</v>
      </c>
      <c r="F470" s="57">
        <f t="shared" si="17"/>
        <v>0</v>
      </c>
    </row>
    <row r="471" spans="1:6" x14ac:dyDescent="0.25">
      <c r="A471" s="5" t="s">
        <v>24</v>
      </c>
      <c r="B471" s="19">
        <v>43912</v>
      </c>
      <c r="C471" s="4">
        <v>1</v>
      </c>
      <c r="D471" s="21">
        <v>1</v>
      </c>
      <c r="F471" s="57">
        <f t="shared" si="17"/>
        <v>0</v>
      </c>
    </row>
    <row r="472" spans="1:6" x14ac:dyDescent="0.25">
      <c r="A472" s="5" t="s">
        <v>20</v>
      </c>
      <c r="B472" s="19">
        <v>43912</v>
      </c>
      <c r="C472" s="4">
        <v>0</v>
      </c>
      <c r="D472" s="21">
        <v>2</v>
      </c>
      <c r="F472" s="57">
        <f t="shared" si="17"/>
        <v>0</v>
      </c>
    </row>
    <row r="473" spans="1:6" x14ac:dyDescent="0.25">
      <c r="A473" s="5" t="s">
        <v>19</v>
      </c>
      <c r="B473" s="19">
        <v>43912</v>
      </c>
      <c r="C473" s="4">
        <v>0</v>
      </c>
      <c r="D473" s="21">
        <v>4</v>
      </c>
      <c r="F473" s="57">
        <f t="shared" si="17"/>
        <v>0</v>
      </c>
    </row>
    <row r="474" spans="1:6" x14ac:dyDescent="0.25">
      <c r="A474" s="5" t="s">
        <v>35</v>
      </c>
      <c r="B474" s="19">
        <v>43912</v>
      </c>
      <c r="C474" s="4">
        <v>0</v>
      </c>
      <c r="D474" s="21">
        <v>1</v>
      </c>
      <c r="F474" s="57">
        <f t="shared" si="17"/>
        <v>0</v>
      </c>
    </row>
    <row r="475" spans="1:6" x14ac:dyDescent="0.25">
      <c r="A475" s="5" t="s">
        <v>36</v>
      </c>
      <c r="B475" s="19">
        <v>43912</v>
      </c>
      <c r="C475" s="4">
        <v>0</v>
      </c>
      <c r="D475" s="21">
        <v>0</v>
      </c>
      <c r="F475" s="57">
        <f t="shared" si="17"/>
        <v>0</v>
      </c>
    </row>
    <row r="476" spans="1:6" x14ac:dyDescent="0.25">
      <c r="A476" s="5" t="s">
        <v>37</v>
      </c>
      <c r="B476" s="19">
        <v>43912</v>
      </c>
      <c r="C476" s="4">
        <v>0</v>
      </c>
      <c r="D476" s="21">
        <v>3</v>
      </c>
      <c r="F476" s="57">
        <f t="shared" si="17"/>
        <v>0</v>
      </c>
    </row>
    <row r="477" spans="1:6" x14ac:dyDescent="0.25">
      <c r="A477" s="5" t="s">
        <v>38</v>
      </c>
      <c r="B477" s="19">
        <v>43912</v>
      </c>
      <c r="C477" s="4">
        <v>0</v>
      </c>
      <c r="D477" s="21">
        <v>1</v>
      </c>
      <c r="F477" s="57">
        <f t="shared" si="17"/>
        <v>0</v>
      </c>
    </row>
    <row r="478" spans="1:6" x14ac:dyDescent="0.25">
      <c r="A478" s="5" t="s">
        <v>23</v>
      </c>
      <c r="B478" s="19">
        <v>43912</v>
      </c>
      <c r="C478" s="4">
        <v>0</v>
      </c>
      <c r="D478" s="21">
        <v>4</v>
      </c>
      <c r="F478" s="57">
        <f t="shared" si="17"/>
        <v>0</v>
      </c>
    </row>
    <row r="479" spans="1:6" x14ac:dyDescent="0.25">
      <c r="A479" s="5" t="s">
        <v>39</v>
      </c>
      <c r="B479" s="19">
        <v>43912</v>
      </c>
      <c r="C479" s="4">
        <v>0</v>
      </c>
      <c r="D479" s="21">
        <v>1</v>
      </c>
      <c r="F479" s="57">
        <f t="shared" si="17"/>
        <v>0</v>
      </c>
    </row>
    <row r="480" spans="1:6" x14ac:dyDescent="0.25">
      <c r="A480" s="5" t="s">
        <v>40</v>
      </c>
      <c r="B480" s="19">
        <v>43912</v>
      </c>
      <c r="C480" s="4">
        <v>0</v>
      </c>
      <c r="D480" s="21">
        <v>6</v>
      </c>
      <c r="F480" s="57">
        <f t="shared" si="17"/>
        <v>0</v>
      </c>
    </row>
    <row r="481" spans="1:6" x14ac:dyDescent="0.25">
      <c r="A481" s="5" t="s">
        <v>41</v>
      </c>
      <c r="B481" s="19">
        <v>43912</v>
      </c>
      <c r="C481" s="4">
        <v>5</v>
      </c>
      <c r="D481" s="21">
        <v>7</v>
      </c>
      <c r="F481" s="57">
        <f t="shared" si="17"/>
        <v>0</v>
      </c>
    </row>
    <row r="482" spans="1:6" x14ac:dyDescent="0.25">
      <c r="A482" s="42" t="s">
        <v>17</v>
      </c>
      <c r="B482" s="19">
        <v>43913</v>
      </c>
      <c r="C482" s="4">
        <v>5</v>
      </c>
      <c r="D482" s="21">
        <v>70</v>
      </c>
      <c r="F482" s="57">
        <f>E482+F458</f>
        <v>1</v>
      </c>
    </row>
    <row r="483" spans="1:6" x14ac:dyDescent="0.25">
      <c r="A483" s="5" t="s">
        <v>29</v>
      </c>
      <c r="B483" s="19">
        <v>43913</v>
      </c>
      <c r="C483" s="4">
        <v>0</v>
      </c>
      <c r="D483" s="21">
        <v>0</v>
      </c>
      <c r="F483" s="57">
        <f t="shared" ref="F483:F505" si="18">E483+F459</f>
        <v>0</v>
      </c>
    </row>
    <row r="484" spans="1:6" x14ac:dyDescent="0.25">
      <c r="A484" s="5" t="s">
        <v>16</v>
      </c>
      <c r="B484" s="19">
        <v>43913</v>
      </c>
      <c r="C484" s="4">
        <v>4</v>
      </c>
      <c r="D484" s="21">
        <v>31</v>
      </c>
      <c r="F484" s="57">
        <f t="shared" si="18"/>
        <v>1</v>
      </c>
    </row>
    <row r="485" spans="1:6" x14ac:dyDescent="0.25">
      <c r="A485" s="5" t="s">
        <v>30</v>
      </c>
      <c r="B485" s="19">
        <v>43913</v>
      </c>
      <c r="C485" s="4">
        <v>0</v>
      </c>
      <c r="D485" s="21">
        <v>0</v>
      </c>
      <c r="F485" s="57">
        <f t="shared" si="18"/>
        <v>0</v>
      </c>
    </row>
    <row r="486" spans="1:6" x14ac:dyDescent="0.25">
      <c r="A486" s="5" t="s">
        <v>44</v>
      </c>
      <c r="B486" s="19">
        <v>43913</v>
      </c>
      <c r="C486" s="4">
        <v>11</v>
      </c>
      <c r="D486" s="21">
        <v>115</v>
      </c>
      <c r="F486" s="57">
        <f t="shared" si="18"/>
        <v>1</v>
      </c>
    </row>
    <row r="487" spans="1:6" x14ac:dyDescent="0.25">
      <c r="A487" s="5" t="s">
        <v>21</v>
      </c>
      <c r="B487" s="19">
        <v>43913</v>
      </c>
      <c r="C487" s="4">
        <v>3</v>
      </c>
      <c r="D487" s="21">
        <v>28</v>
      </c>
      <c r="F487" s="57">
        <f t="shared" si="18"/>
        <v>0</v>
      </c>
    </row>
    <row r="488" spans="1:6" x14ac:dyDescent="0.25">
      <c r="A488" s="5" t="s">
        <v>31</v>
      </c>
      <c r="B488" s="19">
        <v>43913</v>
      </c>
      <c r="C488" s="4">
        <v>0</v>
      </c>
      <c r="D488" s="21">
        <v>3</v>
      </c>
      <c r="F488" s="57">
        <f t="shared" si="18"/>
        <v>0</v>
      </c>
    </row>
    <row r="489" spans="1:6" x14ac:dyDescent="0.25">
      <c r="A489" s="5" t="s">
        <v>32</v>
      </c>
      <c r="B489" s="19">
        <v>43913</v>
      </c>
      <c r="C489" s="4">
        <v>0</v>
      </c>
      <c r="D489" s="21">
        <v>4</v>
      </c>
      <c r="F489" s="57">
        <f t="shared" si="18"/>
        <v>0</v>
      </c>
    </row>
    <row r="490" spans="1:6" x14ac:dyDescent="0.25">
      <c r="A490" s="5" t="s">
        <v>42</v>
      </c>
      <c r="B490" s="19">
        <v>43913</v>
      </c>
      <c r="C490" s="4">
        <v>0</v>
      </c>
      <c r="D490" s="21">
        <v>0</v>
      </c>
      <c r="F490" s="57">
        <f t="shared" si="18"/>
        <v>0</v>
      </c>
    </row>
    <row r="491" spans="1:6" x14ac:dyDescent="0.25">
      <c r="A491" s="5" t="s">
        <v>33</v>
      </c>
      <c r="B491" s="19">
        <v>43913</v>
      </c>
      <c r="C491" s="4">
        <v>0</v>
      </c>
      <c r="D491" s="21">
        <v>1</v>
      </c>
      <c r="F491" s="57">
        <f t="shared" si="18"/>
        <v>0</v>
      </c>
    </row>
    <row r="492" spans="1:6" x14ac:dyDescent="0.25">
      <c r="A492" s="5" t="s">
        <v>34</v>
      </c>
      <c r="B492" s="19">
        <v>43913</v>
      </c>
      <c r="C492" s="4">
        <v>0</v>
      </c>
      <c r="D492" s="21">
        <v>0</v>
      </c>
      <c r="F492" s="57">
        <f t="shared" si="18"/>
        <v>0</v>
      </c>
    </row>
    <row r="493" spans="1:6" x14ac:dyDescent="0.25">
      <c r="A493" s="5" t="s">
        <v>22</v>
      </c>
      <c r="B493" s="19">
        <v>43913</v>
      </c>
      <c r="C493" s="4">
        <v>0</v>
      </c>
      <c r="D493" s="21">
        <v>0</v>
      </c>
      <c r="F493" s="57">
        <f t="shared" si="18"/>
        <v>0</v>
      </c>
    </row>
    <row r="494" spans="1:6" x14ac:dyDescent="0.25">
      <c r="A494" s="5" t="s">
        <v>18</v>
      </c>
      <c r="B494" s="19">
        <v>43913</v>
      </c>
      <c r="C494" s="4">
        <v>0</v>
      </c>
      <c r="D494" s="21">
        <v>5</v>
      </c>
      <c r="F494" s="57">
        <f t="shared" si="18"/>
        <v>0</v>
      </c>
    </row>
    <row r="495" spans="1:6" x14ac:dyDescent="0.25">
      <c r="A495" s="5" t="s">
        <v>24</v>
      </c>
      <c r="B495" s="19">
        <v>43913</v>
      </c>
      <c r="C495" s="4">
        <v>0</v>
      </c>
      <c r="D495" s="21">
        <v>1</v>
      </c>
      <c r="F495" s="57">
        <f t="shared" si="18"/>
        <v>0</v>
      </c>
    </row>
    <row r="496" spans="1:6" x14ac:dyDescent="0.25">
      <c r="A496" s="5" t="s">
        <v>20</v>
      </c>
      <c r="B496" s="19">
        <v>43913</v>
      </c>
      <c r="C496" s="4">
        <v>0</v>
      </c>
      <c r="D496" s="21">
        <v>2</v>
      </c>
      <c r="F496" s="57">
        <f t="shared" si="18"/>
        <v>0</v>
      </c>
    </row>
    <row r="497" spans="1:6" x14ac:dyDescent="0.25">
      <c r="A497" s="5" t="s">
        <v>19</v>
      </c>
      <c r="B497" s="19">
        <v>43913</v>
      </c>
      <c r="C497" s="4">
        <v>0</v>
      </c>
      <c r="D497" s="21">
        <v>4</v>
      </c>
      <c r="F497" s="57">
        <f t="shared" si="18"/>
        <v>0</v>
      </c>
    </row>
    <row r="498" spans="1:6" x14ac:dyDescent="0.25">
      <c r="A498" s="5" t="s">
        <v>35</v>
      </c>
      <c r="B498" s="19">
        <v>43913</v>
      </c>
      <c r="C498" s="4">
        <v>0</v>
      </c>
      <c r="D498" s="21">
        <v>1</v>
      </c>
      <c r="F498" s="57">
        <f t="shared" si="18"/>
        <v>0</v>
      </c>
    </row>
    <row r="499" spans="1:6" x14ac:dyDescent="0.25">
      <c r="A499" s="5" t="s">
        <v>36</v>
      </c>
      <c r="B499" s="19">
        <v>43913</v>
      </c>
      <c r="C499" s="4">
        <v>0</v>
      </c>
      <c r="D499" s="21">
        <v>0</v>
      </c>
      <c r="F499" s="57">
        <f t="shared" si="18"/>
        <v>0</v>
      </c>
    </row>
    <row r="500" spans="1:6" x14ac:dyDescent="0.25">
      <c r="A500" s="5" t="s">
        <v>37</v>
      </c>
      <c r="B500" s="19">
        <v>43913</v>
      </c>
      <c r="C500" s="4">
        <v>0</v>
      </c>
      <c r="D500" s="21">
        <v>3</v>
      </c>
      <c r="F500" s="57">
        <f t="shared" si="18"/>
        <v>0</v>
      </c>
    </row>
    <row r="501" spans="1:6" x14ac:dyDescent="0.25">
      <c r="A501" s="5" t="s">
        <v>38</v>
      </c>
      <c r="B501" s="19">
        <v>43913</v>
      </c>
      <c r="C501" s="4">
        <v>0</v>
      </c>
      <c r="D501" s="21">
        <v>1</v>
      </c>
      <c r="F501" s="57">
        <f t="shared" si="18"/>
        <v>0</v>
      </c>
    </row>
    <row r="502" spans="1:6" x14ac:dyDescent="0.25">
      <c r="A502" s="5" t="s">
        <v>23</v>
      </c>
      <c r="B502" s="19">
        <v>43913</v>
      </c>
      <c r="C502" s="4">
        <v>13</v>
      </c>
      <c r="D502" s="21">
        <v>17</v>
      </c>
      <c r="F502" s="57">
        <f t="shared" si="18"/>
        <v>0</v>
      </c>
    </row>
    <row r="503" spans="1:6" x14ac:dyDescent="0.25">
      <c r="A503" s="5" t="s">
        <v>39</v>
      </c>
      <c r="B503" s="19">
        <v>43913</v>
      </c>
      <c r="C503" s="4">
        <v>0</v>
      </c>
      <c r="D503" s="21">
        <v>1</v>
      </c>
      <c r="F503" s="57">
        <f t="shared" si="18"/>
        <v>0</v>
      </c>
    </row>
    <row r="504" spans="1:6" x14ac:dyDescent="0.25">
      <c r="A504" s="5" t="s">
        <v>40</v>
      </c>
      <c r="B504" s="19">
        <v>43913</v>
      </c>
      <c r="C504" s="4">
        <v>0</v>
      </c>
      <c r="D504" s="21">
        <v>6</v>
      </c>
      <c r="F504" s="57">
        <f t="shared" si="18"/>
        <v>0</v>
      </c>
    </row>
    <row r="505" spans="1:6" x14ac:dyDescent="0.25">
      <c r="A505" s="5" t="s">
        <v>41</v>
      </c>
      <c r="B505" s="19">
        <v>43913</v>
      </c>
      <c r="C505" s="4">
        <v>0</v>
      </c>
      <c r="D505" s="21">
        <v>7</v>
      </c>
      <c r="F505" s="57">
        <f t="shared" si="18"/>
        <v>0</v>
      </c>
    </row>
    <row r="506" spans="1:6" x14ac:dyDescent="0.25">
      <c r="A506" s="42" t="s">
        <v>17</v>
      </c>
      <c r="B506" s="19">
        <v>43914</v>
      </c>
      <c r="C506" s="4">
        <v>28</v>
      </c>
      <c r="D506" s="21">
        <v>98</v>
      </c>
      <c r="E506" s="4">
        <v>1</v>
      </c>
      <c r="F506" s="57">
        <f>E506+F482</f>
        <v>2</v>
      </c>
    </row>
    <row r="507" spans="1:6" x14ac:dyDescent="0.25">
      <c r="A507" s="5" t="s">
        <v>29</v>
      </c>
      <c r="B507" s="19">
        <v>43914</v>
      </c>
      <c r="C507" s="4">
        <v>0</v>
      </c>
      <c r="D507" s="21">
        <v>0</v>
      </c>
      <c r="F507" s="57">
        <f t="shared" ref="F507:F570" si="19">E507+F483</f>
        <v>0</v>
      </c>
    </row>
    <row r="508" spans="1:6" x14ac:dyDescent="0.25">
      <c r="A508" s="5" t="s">
        <v>16</v>
      </c>
      <c r="B508" s="19">
        <v>43914</v>
      </c>
      <c r="C508" s="4">
        <v>9</v>
      </c>
      <c r="D508" s="21">
        <v>40</v>
      </c>
      <c r="E508" s="4">
        <v>1</v>
      </c>
      <c r="F508" s="57">
        <f t="shared" si="19"/>
        <v>2</v>
      </c>
    </row>
    <row r="509" spans="1:6" x14ac:dyDescent="0.25">
      <c r="A509" s="5" t="s">
        <v>30</v>
      </c>
      <c r="B509" s="19">
        <v>43914</v>
      </c>
      <c r="C509" s="4">
        <v>0</v>
      </c>
      <c r="D509" s="21">
        <v>0</v>
      </c>
      <c r="F509" s="57">
        <f t="shared" si="19"/>
        <v>0</v>
      </c>
    </row>
    <row r="510" spans="1:6" x14ac:dyDescent="0.25">
      <c r="A510" s="5" t="s">
        <v>44</v>
      </c>
      <c r="B510" s="19">
        <v>43914</v>
      </c>
      <c r="C510" s="4">
        <v>30</v>
      </c>
      <c r="D510" s="21">
        <v>145</v>
      </c>
      <c r="F510" s="57">
        <f t="shared" si="19"/>
        <v>1</v>
      </c>
    </row>
    <row r="511" spans="1:6" x14ac:dyDescent="0.25">
      <c r="A511" s="5" t="s">
        <v>21</v>
      </c>
      <c r="B511" s="19">
        <v>43914</v>
      </c>
      <c r="C511" s="4">
        <v>7</v>
      </c>
      <c r="D511" s="21">
        <v>35</v>
      </c>
      <c r="F511" s="57">
        <f t="shared" si="19"/>
        <v>0</v>
      </c>
    </row>
    <row r="512" spans="1:6" x14ac:dyDescent="0.25">
      <c r="A512" s="5" t="s">
        <v>31</v>
      </c>
      <c r="B512" s="19">
        <v>43914</v>
      </c>
      <c r="C512" s="4">
        <v>0</v>
      </c>
      <c r="D512" s="21">
        <v>3</v>
      </c>
      <c r="F512" s="57">
        <f t="shared" si="19"/>
        <v>0</v>
      </c>
    </row>
    <row r="513" spans="1:6" x14ac:dyDescent="0.25">
      <c r="A513" s="5" t="s">
        <v>32</v>
      </c>
      <c r="B513" s="19">
        <v>43914</v>
      </c>
      <c r="C513" s="4">
        <v>0</v>
      </c>
      <c r="D513" s="21">
        <v>4</v>
      </c>
      <c r="F513" s="57">
        <f t="shared" si="19"/>
        <v>0</v>
      </c>
    </row>
    <row r="514" spans="1:6" x14ac:dyDescent="0.25">
      <c r="A514" s="5" t="s">
        <v>42</v>
      </c>
      <c r="B514" s="19">
        <v>43914</v>
      </c>
      <c r="C514" s="4">
        <v>0</v>
      </c>
      <c r="D514" s="21">
        <v>0</v>
      </c>
      <c r="F514" s="57">
        <f t="shared" si="19"/>
        <v>0</v>
      </c>
    </row>
    <row r="515" spans="1:6" x14ac:dyDescent="0.25">
      <c r="A515" s="5" t="s">
        <v>33</v>
      </c>
      <c r="B515" s="19">
        <v>43914</v>
      </c>
      <c r="C515" s="4">
        <v>0</v>
      </c>
      <c r="D515" s="21">
        <v>1</v>
      </c>
      <c r="F515" s="57">
        <f t="shared" si="19"/>
        <v>0</v>
      </c>
    </row>
    <row r="516" spans="1:6" x14ac:dyDescent="0.25">
      <c r="A516" s="5" t="s">
        <v>34</v>
      </c>
      <c r="B516" s="19">
        <v>43914</v>
      </c>
      <c r="C516" s="4">
        <v>1</v>
      </c>
      <c r="D516" s="21">
        <v>1</v>
      </c>
      <c r="F516" s="57">
        <f t="shared" si="19"/>
        <v>0</v>
      </c>
    </row>
    <row r="517" spans="1:6" x14ac:dyDescent="0.25">
      <c r="A517" s="5" t="s">
        <v>22</v>
      </c>
      <c r="B517" s="19">
        <v>43914</v>
      </c>
      <c r="C517" s="4">
        <v>0</v>
      </c>
      <c r="D517" s="21">
        <v>0</v>
      </c>
      <c r="F517" s="57">
        <f t="shared" si="19"/>
        <v>0</v>
      </c>
    </row>
    <row r="518" spans="1:6" x14ac:dyDescent="0.25">
      <c r="A518" s="5" t="s">
        <v>18</v>
      </c>
      <c r="B518" s="19">
        <v>43914</v>
      </c>
      <c r="C518" s="4">
        <v>0</v>
      </c>
      <c r="D518" s="21">
        <v>5</v>
      </c>
      <c r="F518" s="57">
        <f t="shared" si="19"/>
        <v>0</v>
      </c>
    </row>
    <row r="519" spans="1:6" x14ac:dyDescent="0.25">
      <c r="A519" s="5" t="s">
        <v>24</v>
      </c>
      <c r="B519" s="19">
        <v>43914</v>
      </c>
      <c r="C519" s="4">
        <v>0</v>
      </c>
      <c r="D519" s="21">
        <v>1</v>
      </c>
      <c r="F519" s="57">
        <f t="shared" si="19"/>
        <v>0</v>
      </c>
    </row>
    <row r="520" spans="1:6" x14ac:dyDescent="0.25">
      <c r="A520" s="5" t="s">
        <v>20</v>
      </c>
      <c r="B520" s="19">
        <v>43914</v>
      </c>
      <c r="C520" s="4">
        <v>1</v>
      </c>
      <c r="D520" s="21">
        <v>3</v>
      </c>
      <c r="F520" s="57">
        <f t="shared" si="19"/>
        <v>0</v>
      </c>
    </row>
    <row r="521" spans="1:6" x14ac:dyDescent="0.25">
      <c r="A521" s="5" t="s">
        <v>19</v>
      </c>
      <c r="B521" s="19">
        <v>43914</v>
      </c>
      <c r="C521" s="4">
        <v>0</v>
      </c>
      <c r="D521" s="21">
        <v>4</v>
      </c>
      <c r="F521" s="57">
        <f t="shared" si="19"/>
        <v>0</v>
      </c>
    </row>
    <row r="522" spans="1:6" x14ac:dyDescent="0.25">
      <c r="A522" s="5" t="s">
        <v>35</v>
      </c>
      <c r="B522" s="19">
        <v>43914</v>
      </c>
      <c r="C522" s="4">
        <v>0</v>
      </c>
      <c r="D522" s="21">
        <v>1</v>
      </c>
      <c r="F522" s="57">
        <f t="shared" si="19"/>
        <v>0</v>
      </c>
    </row>
    <row r="523" spans="1:6" x14ac:dyDescent="0.25">
      <c r="A523" s="5" t="s">
        <v>36</v>
      </c>
      <c r="B523" s="19">
        <v>43914</v>
      </c>
      <c r="C523" s="4">
        <v>0</v>
      </c>
      <c r="D523" s="21">
        <v>0</v>
      </c>
      <c r="F523" s="57">
        <f t="shared" si="19"/>
        <v>0</v>
      </c>
    </row>
    <row r="524" spans="1:6" x14ac:dyDescent="0.25">
      <c r="A524" s="5" t="s">
        <v>37</v>
      </c>
      <c r="B524" s="19">
        <v>43914</v>
      </c>
      <c r="C524" s="4">
        <v>0</v>
      </c>
      <c r="D524" s="21">
        <v>3</v>
      </c>
      <c r="F524" s="57">
        <f t="shared" si="19"/>
        <v>0</v>
      </c>
    </row>
    <row r="525" spans="1:6" x14ac:dyDescent="0.25">
      <c r="A525" s="5" t="s">
        <v>38</v>
      </c>
      <c r="B525" s="19">
        <v>43914</v>
      </c>
      <c r="C525" s="4">
        <v>1</v>
      </c>
      <c r="D525" s="21">
        <v>2</v>
      </c>
      <c r="F525" s="57">
        <f t="shared" si="19"/>
        <v>0</v>
      </c>
    </row>
    <row r="526" spans="1:6" x14ac:dyDescent="0.25">
      <c r="A526" s="5" t="s">
        <v>23</v>
      </c>
      <c r="B526" s="19">
        <v>43914</v>
      </c>
      <c r="C526" s="4">
        <v>3</v>
      </c>
      <c r="D526" s="21">
        <v>20</v>
      </c>
      <c r="F526" s="57">
        <f t="shared" si="19"/>
        <v>0</v>
      </c>
    </row>
    <row r="527" spans="1:6" x14ac:dyDescent="0.25">
      <c r="A527" s="5" t="s">
        <v>39</v>
      </c>
      <c r="B527" s="19">
        <v>43914</v>
      </c>
      <c r="C527" s="4">
        <v>0</v>
      </c>
      <c r="D527" s="21">
        <v>1</v>
      </c>
      <c r="F527" s="57">
        <f t="shared" si="19"/>
        <v>0</v>
      </c>
    </row>
    <row r="528" spans="1:6" x14ac:dyDescent="0.25">
      <c r="A528" s="5" t="s">
        <v>40</v>
      </c>
      <c r="B528" s="19">
        <v>43914</v>
      </c>
      <c r="C528" s="4">
        <v>4</v>
      </c>
      <c r="D528" s="21">
        <v>10</v>
      </c>
      <c r="F528" s="57">
        <f t="shared" si="19"/>
        <v>0</v>
      </c>
    </row>
    <row r="529" spans="1:6" x14ac:dyDescent="0.25">
      <c r="A529" s="5" t="s">
        <v>41</v>
      </c>
      <c r="B529" s="19">
        <v>43914</v>
      </c>
      <c r="C529" s="4">
        <v>0</v>
      </c>
      <c r="D529" s="21">
        <v>7</v>
      </c>
      <c r="F529" s="57">
        <f t="shared" si="19"/>
        <v>0</v>
      </c>
    </row>
    <row r="530" spans="1:6" x14ac:dyDescent="0.25">
      <c r="A530" s="42" t="s">
        <v>17</v>
      </c>
      <c r="B530" s="19">
        <v>43915</v>
      </c>
      <c r="C530" s="4">
        <v>30</v>
      </c>
      <c r="D530" s="21">
        <v>128</v>
      </c>
      <c r="F530" s="57">
        <f>E530+F506</f>
        <v>2</v>
      </c>
    </row>
    <row r="531" spans="1:6" x14ac:dyDescent="0.25">
      <c r="A531" s="5" t="s">
        <v>29</v>
      </c>
      <c r="B531" s="19">
        <v>43915</v>
      </c>
      <c r="C531" s="4">
        <v>0</v>
      </c>
      <c r="D531" s="21">
        <v>0</v>
      </c>
      <c r="F531" s="57">
        <f t="shared" si="19"/>
        <v>0</v>
      </c>
    </row>
    <row r="532" spans="1:6" x14ac:dyDescent="0.25">
      <c r="A532" s="5" t="s">
        <v>16</v>
      </c>
      <c r="B532" s="19">
        <v>43915</v>
      </c>
      <c r="C532" s="4">
        <v>12</v>
      </c>
      <c r="D532" s="21">
        <v>52</v>
      </c>
      <c r="E532" s="4">
        <v>1</v>
      </c>
      <c r="F532" s="57">
        <f t="shared" si="19"/>
        <v>3</v>
      </c>
    </row>
    <row r="533" spans="1:6" x14ac:dyDescent="0.25">
      <c r="A533" s="5" t="s">
        <v>30</v>
      </c>
      <c r="B533" s="19">
        <v>43915</v>
      </c>
      <c r="C533" s="4">
        <v>0</v>
      </c>
      <c r="D533" s="21">
        <v>0</v>
      </c>
      <c r="F533" s="57">
        <f t="shared" si="19"/>
        <v>0</v>
      </c>
    </row>
    <row r="534" spans="1:6" x14ac:dyDescent="0.25">
      <c r="A534" s="5" t="s">
        <v>44</v>
      </c>
      <c r="B534" s="19">
        <v>43915</v>
      </c>
      <c r="C534" s="4">
        <v>21</v>
      </c>
      <c r="D534" s="21">
        <v>166</v>
      </c>
      <c r="E534" s="4">
        <v>1</v>
      </c>
      <c r="F534" s="57">
        <f t="shared" si="19"/>
        <v>2</v>
      </c>
    </row>
    <row r="535" spans="1:6" x14ac:dyDescent="0.25">
      <c r="A535" s="5" t="s">
        <v>21</v>
      </c>
      <c r="B535" s="19">
        <v>43915</v>
      </c>
      <c r="C535" s="4">
        <v>15</v>
      </c>
      <c r="D535" s="21">
        <v>50</v>
      </c>
      <c r="F535" s="57">
        <f t="shared" si="19"/>
        <v>0</v>
      </c>
    </row>
    <row r="536" spans="1:6" x14ac:dyDescent="0.25">
      <c r="A536" s="5" t="s">
        <v>31</v>
      </c>
      <c r="B536" s="19">
        <v>43915</v>
      </c>
      <c r="C536" s="4">
        <v>0</v>
      </c>
      <c r="D536" s="21">
        <v>3</v>
      </c>
      <c r="F536" s="57">
        <f t="shared" si="19"/>
        <v>0</v>
      </c>
    </row>
    <row r="537" spans="1:6" x14ac:dyDescent="0.25">
      <c r="A537" s="5" t="s">
        <v>32</v>
      </c>
      <c r="B537" s="19">
        <v>43915</v>
      </c>
      <c r="C537" s="4">
        <v>3</v>
      </c>
      <c r="D537" s="21">
        <v>7</v>
      </c>
      <c r="F537" s="57">
        <f t="shared" si="19"/>
        <v>0</v>
      </c>
    </row>
    <row r="538" spans="1:6" x14ac:dyDescent="0.25">
      <c r="A538" s="5" t="s">
        <v>42</v>
      </c>
      <c r="B538" s="19">
        <v>43915</v>
      </c>
      <c r="C538" s="4">
        <v>0</v>
      </c>
      <c r="D538" s="21">
        <v>0</v>
      </c>
      <c r="F538" s="57">
        <f t="shared" si="19"/>
        <v>0</v>
      </c>
    </row>
    <row r="539" spans="1:6" x14ac:dyDescent="0.25">
      <c r="A539" s="5" t="s">
        <v>33</v>
      </c>
      <c r="B539" s="19">
        <v>43915</v>
      </c>
      <c r="C539" s="4">
        <v>0</v>
      </c>
      <c r="D539" s="21">
        <v>1</v>
      </c>
      <c r="F539" s="57">
        <f t="shared" si="19"/>
        <v>0</v>
      </c>
    </row>
    <row r="540" spans="1:6" x14ac:dyDescent="0.25">
      <c r="A540" s="5" t="s">
        <v>34</v>
      </c>
      <c r="B540" s="19">
        <v>43915</v>
      </c>
      <c r="C540" s="4">
        <v>0</v>
      </c>
      <c r="D540" s="21">
        <v>1</v>
      </c>
      <c r="F540" s="57">
        <f t="shared" si="19"/>
        <v>0</v>
      </c>
    </row>
    <row r="541" spans="1:6" x14ac:dyDescent="0.25">
      <c r="A541" s="5" t="s">
        <v>22</v>
      </c>
      <c r="B541" s="19">
        <v>43915</v>
      </c>
      <c r="C541" s="4">
        <v>0</v>
      </c>
      <c r="D541" s="21">
        <v>0</v>
      </c>
      <c r="F541" s="57">
        <f t="shared" si="19"/>
        <v>0</v>
      </c>
    </row>
    <row r="542" spans="1:6" x14ac:dyDescent="0.25">
      <c r="A542" s="5" t="s">
        <v>18</v>
      </c>
      <c r="B542" s="19">
        <v>43915</v>
      </c>
      <c r="C542" s="4">
        <v>1</v>
      </c>
      <c r="D542" s="21">
        <v>6</v>
      </c>
      <c r="F542" s="57">
        <f t="shared" si="19"/>
        <v>0</v>
      </c>
    </row>
    <row r="543" spans="1:6" x14ac:dyDescent="0.25">
      <c r="A543" s="5" t="s">
        <v>24</v>
      </c>
      <c r="B543" s="19">
        <v>43915</v>
      </c>
      <c r="C543" s="4">
        <v>0</v>
      </c>
      <c r="D543" s="21">
        <v>1</v>
      </c>
      <c r="F543" s="57">
        <f t="shared" si="19"/>
        <v>0</v>
      </c>
    </row>
    <row r="544" spans="1:6" x14ac:dyDescent="0.25">
      <c r="A544" s="5" t="s">
        <v>20</v>
      </c>
      <c r="B544" s="19">
        <v>43915</v>
      </c>
      <c r="C544" s="4">
        <v>1</v>
      </c>
      <c r="D544" s="21">
        <v>4</v>
      </c>
      <c r="F544" s="57">
        <f t="shared" si="19"/>
        <v>0</v>
      </c>
    </row>
    <row r="545" spans="1:6" x14ac:dyDescent="0.25">
      <c r="A545" s="5" t="s">
        <v>19</v>
      </c>
      <c r="B545" s="19">
        <v>43915</v>
      </c>
      <c r="C545" s="4">
        <v>0</v>
      </c>
      <c r="D545" s="21">
        <v>4</v>
      </c>
      <c r="F545" s="57">
        <f t="shared" si="19"/>
        <v>0</v>
      </c>
    </row>
    <row r="546" spans="1:6" x14ac:dyDescent="0.25">
      <c r="A546" s="5" t="s">
        <v>35</v>
      </c>
      <c r="B546" s="19">
        <v>43915</v>
      </c>
      <c r="C546" s="4">
        <v>0</v>
      </c>
      <c r="D546" s="21">
        <v>1</v>
      </c>
      <c r="F546" s="57">
        <f t="shared" si="19"/>
        <v>0</v>
      </c>
    </row>
    <row r="547" spans="1:6" x14ac:dyDescent="0.25">
      <c r="A547" s="5" t="s">
        <v>36</v>
      </c>
      <c r="B547" s="19">
        <v>43915</v>
      </c>
      <c r="C547" s="4">
        <v>0</v>
      </c>
      <c r="D547" s="21">
        <v>0</v>
      </c>
      <c r="F547" s="57">
        <f t="shared" si="19"/>
        <v>0</v>
      </c>
    </row>
    <row r="548" spans="1:6" x14ac:dyDescent="0.25">
      <c r="A548" s="5" t="s">
        <v>37</v>
      </c>
      <c r="B548" s="19">
        <v>43915</v>
      </c>
      <c r="C548" s="4">
        <v>3</v>
      </c>
      <c r="D548" s="21">
        <v>6</v>
      </c>
      <c r="F548" s="57">
        <f t="shared" si="19"/>
        <v>0</v>
      </c>
    </row>
    <row r="549" spans="1:6" x14ac:dyDescent="0.25">
      <c r="A549" s="5" t="s">
        <v>38</v>
      </c>
      <c r="B549" s="19">
        <v>43915</v>
      </c>
      <c r="C549" s="4">
        <v>5</v>
      </c>
      <c r="D549" s="21">
        <v>7</v>
      </c>
      <c r="F549" s="57">
        <f t="shared" si="19"/>
        <v>0</v>
      </c>
    </row>
    <row r="550" spans="1:6" x14ac:dyDescent="0.25">
      <c r="A550" s="5" t="s">
        <v>23</v>
      </c>
      <c r="B550" s="19">
        <v>43915</v>
      </c>
      <c r="C550" s="4">
        <v>22</v>
      </c>
      <c r="D550" s="21">
        <v>42</v>
      </c>
      <c r="F550" s="57">
        <f t="shared" si="19"/>
        <v>0</v>
      </c>
    </row>
    <row r="551" spans="1:6" x14ac:dyDescent="0.25">
      <c r="A551" s="5" t="s">
        <v>39</v>
      </c>
      <c r="B551" s="19">
        <v>43915</v>
      </c>
      <c r="C551" s="4">
        <v>0</v>
      </c>
      <c r="D551" s="21">
        <v>1</v>
      </c>
      <c r="F551" s="57">
        <f t="shared" si="19"/>
        <v>0</v>
      </c>
    </row>
    <row r="552" spans="1:6" x14ac:dyDescent="0.25">
      <c r="A552" s="5" t="s">
        <v>40</v>
      </c>
      <c r="B552" s="19">
        <v>43915</v>
      </c>
      <c r="C552" s="4">
        <v>1</v>
      </c>
      <c r="D552" s="21">
        <v>11</v>
      </c>
      <c r="F552" s="57">
        <f t="shared" si="19"/>
        <v>0</v>
      </c>
    </row>
    <row r="553" spans="1:6" x14ac:dyDescent="0.25">
      <c r="A553" s="5" t="s">
        <v>41</v>
      </c>
      <c r="B553" s="19">
        <v>43915</v>
      </c>
      <c r="C553" s="4">
        <v>2</v>
      </c>
      <c r="D553" s="21">
        <v>9</v>
      </c>
      <c r="F553" s="57">
        <f t="shared" si="19"/>
        <v>0</v>
      </c>
    </row>
    <row r="554" spans="1:6" x14ac:dyDescent="0.25">
      <c r="A554" s="42" t="s">
        <v>17</v>
      </c>
      <c r="B554" s="19">
        <v>43916</v>
      </c>
      <c r="C554" s="4">
        <v>27</v>
      </c>
      <c r="D554" s="21">
        <v>155</v>
      </c>
      <c r="E554" s="4">
        <v>2</v>
      </c>
      <c r="F554" s="57">
        <f>E554+F530</f>
        <v>4</v>
      </c>
    </row>
    <row r="555" spans="1:6" x14ac:dyDescent="0.25">
      <c r="A555" s="5" t="s">
        <v>29</v>
      </c>
      <c r="B555" s="19">
        <v>43916</v>
      </c>
      <c r="C555" s="4">
        <v>0</v>
      </c>
      <c r="D555" s="21">
        <v>0</v>
      </c>
      <c r="F555" s="57">
        <f t="shared" si="19"/>
        <v>0</v>
      </c>
    </row>
    <row r="556" spans="1:6" x14ac:dyDescent="0.25">
      <c r="A556" s="5" t="s">
        <v>16</v>
      </c>
      <c r="B556" s="19">
        <v>43916</v>
      </c>
      <c r="C556" s="4">
        <v>3</v>
      </c>
      <c r="D556" s="21">
        <v>55</v>
      </c>
      <c r="F556" s="57">
        <f t="shared" si="19"/>
        <v>3</v>
      </c>
    </row>
    <row r="557" spans="1:6" x14ac:dyDescent="0.25">
      <c r="A557" s="5" t="s">
        <v>30</v>
      </c>
      <c r="B557" s="19">
        <v>43916</v>
      </c>
      <c r="C557" s="4">
        <v>0</v>
      </c>
      <c r="D557" s="21">
        <v>0</v>
      </c>
      <c r="E557" s="4">
        <v>1</v>
      </c>
      <c r="F557" s="57">
        <f t="shared" si="19"/>
        <v>1</v>
      </c>
    </row>
    <row r="558" spans="1:6" x14ac:dyDescent="0.25">
      <c r="A558" s="5" t="s">
        <v>44</v>
      </c>
      <c r="B558" s="19">
        <v>43916</v>
      </c>
      <c r="C558" s="4">
        <v>30</v>
      </c>
      <c r="D558" s="21">
        <v>196</v>
      </c>
      <c r="E558" s="4">
        <v>1</v>
      </c>
      <c r="F558" s="57">
        <f t="shared" si="19"/>
        <v>3</v>
      </c>
    </row>
    <row r="559" spans="1:6" x14ac:dyDescent="0.25">
      <c r="A559" s="5" t="s">
        <v>21</v>
      </c>
      <c r="B559" s="19">
        <v>43916</v>
      </c>
      <c r="C559" s="4">
        <v>4</v>
      </c>
      <c r="D559" s="21">
        <v>54</v>
      </c>
      <c r="F559" s="57">
        <f t="shared" si="19"/>
        <v>0</v>
      </c>
    </row>
    <row r="560" spans="1:6" x14ac:dyDescent="0.25">
      <c r="A560" s="5" t="s">
        <v>31</v>
      </c>
      <c r="B560" s="19">
        <v>43916</v>
      </c>
      <c r="C560" s="4">
        <v>0</v>
      </c>
      <c r="D560" s="21">
        <v>3</v>
      </c>
      <c r="F560" s="57">
        <f t="shared" si="19"/>
        <v>0</v>
      </c>
    </row>
    <row r="561" spans="1:6" x14ac:dyDescent="0.25">
      <c r="A561" s="5" t="s">
        <v>32</v>
      </c>
      <c r="B561" s="19">
        <v>43916</v>
      </c>
      <c r="C561" s="4">
        <v>0</v>
      </c>
      <c r="D561" s="21">
        <v>7</v>
      </c>
      <c r="F561" s="57">
        <f t="shared" si="19"/>
        <v>0</v>
      </c>
    </row>
    <row r="562" spans="1:6" x14ac:dyDescent="0.25">
      <c r="A562" s="5" t="s">
        <v>42</v>
      </c>
      <c r="B562" s="19">
        <v>43916</v>
      </c>
      <c r="C562" s="4">
        <v>0</v>
      </c>
      <c r="D562" s="21">
        <v>0</v>
      </c>
      <c r="F562" s="57">
        <f t="shared" si="19"/>
        <v>0</v>
      </c>
    </row>
    <row r="563" spans="1:6" x14ac:dyDescent="0.25">
      <c r="A563" s="5" t="s">
        <v>33</v>
      </c>
      <c r="B563" s="19">
        <v>43916</v>
      </c>
      <c r="C563" s="4">
        <v>2</v>
      </c>
      <c r="D563" s="21">
        <v>3</v>
      </c>
      <c r="F563" s="57">
        <f t="shared" si="19"/>
        <v>0</v>
      </c>
    </row>
    <row r="564" spans="1:6" x14ac:dyDescent="0.25">
      <c r="A564" s="5" t="s">
        <v>34</v>
      </c>
      <c r="B564" s="19">
        <v>43916</v>
      </c>
      <c r="C564" s="4">
        <v>0</v>
      </c>
      <c r="D564" s="21">
        <v>1</v>
      </c>
      <c r="F564" s="57">
        <f t="shared" si="19"/>
        <v>0</v>
      </c>
    </row>
    <row r="565" spans="1:6" x14ac:dyDescent="0.25">
      <c r="A565" s="5" t="s">
        <v>22</v>
      </c>
      <c r="B565" s="19">
        <v>43916</v>
      </c>
      <c r="C565" s="4">
        <v>0</v>
      </c>
      <c r="D565" s="21">
        <v>0</v>
      </c>
      <c r="F565" s="57">
        <f t="shared" si="19"/>
        <v>0</v>
      </c>
    </row>
    <row r="566" spans="1:6" x14ac:dyDescent="0.25">
      <c r="A566" s="5" t="s">
        <v>18</v>
      </c>
      <c r="B566" s="19">
        <v>43916</v>
      </c>
      <c r="C566" s="4">
        <v>1</v>
      </c>
      <c r="D566" s="21">
        <v>7</v>
      </c>
      <c r="F566" s="57">
        <f t="shared" si="19"/>
        <v>0</v>
      </c>
    </row>
    <row r="567" spans="1:6" x14ac:dyDescent="0.25">
      <c r="A567" s="5" t="s">
        <v>24</v>
      </c>
      <c r="B567" s="19">
        <v>43916</v>
      </c>
      <c r="C567" s="4">
        <v>0</v>
      </c>
      <c r="D567" s="21">
        <v>1</v>
      </c>
      <c r="F567" s="57">
        <f t="shared" si="19"/>
        <v>0</v>
      </c>
    </row>
    <row r="568" spans="1:6" x14ac:dyDescent="0.25">
      <c r="A568" s="5" t="s">
        <v>20</v>
      </c>
      <c r="B568" s="19">
        <v>43916</v>
      </c>
      <c r="C568" s="4">
        <v>3</v>
      </c>
      <c r="D568" s="21">
        <v>7</v>
      </c>
      <c r="F568" s="57">
        <f t="shared" si="19"/>
        <v>0</v>
      </c>
    </row>
    <row r="569" spans="1:6" x14ac:dyDescent="0.25">
      <c r="A569" s="5" t="s">
        <v>19</v>
      </c>
      <c r="B569" s="19">
        <v>43916</v>
      </c>
      <c r="C569" s="4">
        <v>0</v>
      </c>
      <c r="D569" s="21">
        <v>4</v>
      </c>
      <c r="F569" s="57">
        <f t="shared" si="19"/>
        <v>0</v>
      </c>
    </row>
    <row r="570" spans="1:6" x14ac:dyDescent="0.25">
      <c r="A570" s="5" t="s">
        <v>35</v>
      </c>
      <c r="B570" s="19">
        <v>43916</v>
      </c>
      <c r="C570" s="4">
        <v>0</v>
      </c>
      <c r="D570" s="21">
        <v>1</v>
      </c>
      <c r="F570" s="57">
        <f t="shared" si="19"/>
        <v>0</v>
      </c>
    </row>
    <row r="571" spans="1:6" x14ac:dyDescent="0.25">
      <c r="A571" s="5" t="s">
        <v>36</v>
      </c>
      <c r="B571" s="19">
        <v>43916</v>
      </c>
      <c r="C571" s="4">
        <v>0</v>
      </c>
      <c r="D571" s="21">
        <v>0</v>
      </c>
      <c r="F571" s="57">
        <f t="shared" ref="F571:F577" si="20">E571+F547</f>
        <v>0</v>
      </c>
    </row>
    <row r="572" spans="1:6" x14ac:dyDescent="0.25">
      <c r="A572" s="5" t="s">
        <v>37</v>
      </c>
      <c r="B572" s="19">
        <v>43916</v>
      </c>
      <c r="C572" s="4">
        <v>0</v>
      </c>
      <c r="D572" s="21">
        <v>6</v>
      </c>
      <c r="F572" s="57">
        <f t="shared" si="20"/>
        <v>0</v>
      </c>
    </row>
    <row r="573" spans="1:6" x14ac:dyDescent="0.25">
      <c r="A573" s="5" t="s">
        <v>38</v>
      </c>
      <c r="B573" s="19">
        <v>43916</v>
      </c>
      <c r="C573" s="4">
        <v>2</v>
      </c>
      <c r="D573" s="21">
        <v>9</v>
      </c>
      <c r="F573" s="57">
        <f t="shared" si="20"/>
        <v>0</v>
      </c>
    </row>
    <row r="574" spans="1:6" x14ac:dyDescent="0.25">
      <c r="A574" s="5" t="s">
        <v>23</v>
      </c>
      <c r="B574" s="19">
        <v>43916</v>
      </c>
      <c r="C574" s="4">
        <v>12</v>
      </c>
      <c r="D574" s="21">
        <v>54</v>
      </c>
      <c r="F574" s="57">
        <f t="shared" si="20"/>
        <v>0</v>
      </c>
    </row>
    <row r="575" spans="1:6" x14ac:dyDescent="0.25">
      <c r="A575" s="5" t="s">
        <v>39</v>
      </c>
      <c r="B575" s="19">
        <v>43916</v>
      </c>
      <c r="C575" s="4">
        <v>0</v>
      </c>
      <c r="D575" s="21">
        <v>1</v>
      </c>
      <c r="F575" s="57">
        <f t="shared" si="20"/>
        <v>0</v>
      </c>
    </row>
    <row r="576" spans="1:6" x14ac:dyDescent="0.25">
      <c r="A576" s="5" t="s">
        <v>40</v>
      </c>
      <c r="B576" s="19">
        <v>43916</v>
      </c>
      <c r="C576" s="4">
        <v>3</v>
      </c>
      <c r="D576" s="21">
        <v>14</v>
      </c>
      <c r="F576" s="57">
        <f t="shared" si="20"/>
        <v>0</v>
      </c>
    </row>
    <row r="577" spans="1:6" x14ac:dyDescent="0.25">
      <c r="A577" s="5" t="s">
        <v>41</v>
      </c>
      <c r="B577" s="19">
        <v>43916</v>
      </c>
      <c r="C577" s="4">
        <v>0</v>
      </c>
      <c r="D577" s="21">
        <v>9</v>
      </c>
      <c r="F577" s="57">
        <f t="shared" si="20"/>
        <v>0</v>
      </c>
    </row>
    <row r="578" spans="1:6" x14ac:dyDescent="0.25">
      <c r="A578" s="42" t="s">
        <v>17</v>
      </c>
      <c r="B578" s="19">
        <v>43917</v>
      </c>
      <c r="C578" s="4">
        <v>36</v>
      </c>
      <c r="D578" s="21">
        <v>191</v>
      </c>
      <c r="E578" s="12">
        <v>1</v>
      </c>
      <c r="F578" s="57">
        <f>E578+F554</f>
        <v>5</v>
      </c>
    </row>
    <row r="579" spans="1:6" x14ac:dyDescent="0.25">
      <c r="A579" s="5" t="s">
        <v>29</v>
      </c>
      <c r="B579" s="19">
        <v>43917</v>
      </c>
      <c r="C579" s="4">
        <v>0</v>
      </c>
      <c r="D579" s="21">
        <v>0</v>
      </c>
      <c r="F579" s="57">
        <f t="shared" ref="F579:F601" si="21">E579+F555</f>
        <v>0</v>
      </c>
    </row>
    <row r="580" spans="1:6" x14ac:dyDescent="0.25">
      <c r="A580" s="5" t="s">
        <v>16</v>
      </c>
      <c r="B580" s="19">
        <v>43917</v>
      </c>
      <c r="C580" s="4">
        <v>3</v>
      </c>
      <c r="D580" s="21">
        <v>58</v>
      </c>
      <c r="F580" s="57">
        <f t="shared" si="21"/>
        <v>3</v>
      </c>
    </row>
    <row r="581" spans="1:6" x14ac:dyDescent="0.25">
      <c r="A581" s="5" t="s">
        <v>30</v>
      </c>
      <c r="B581" s="19">
        <v>43917</v>
      </c>
      <c r="C581" s="4">
        <v>0</v>
      </c>
      <c r="D581" s="21">
        <v>0</v>
      </c>
      <c r="F581" s="57">
        <f t="shared" si="21"/>
        <v>1</v>
      </c>
    </row>
    <row r="582" spans="1:6" x14ac:dyDescent="0.25">
      <c r="A582" s="5" t="s">
        <v>44</v>
      </c>
      <c r="B582" s="19">
        <v>43917</v>
      </c>
      <c r="C582" s="4">
        <v>43</v>
      </c>
      <c r="D582" s="21">
        <v>239</v>
      </c>
      <c r="E582" s="4">
        <v>1</v>
      </c>
      <c r="F582" s="57">
        <f t="shared" si="21"/>
        <v>4</v>
      </c>
    </row>
    <row r="583" spans="1:6" x14ac:dyDescent="0.25">
      <c r="A583" s="5" t="s">
        <v>21</v>
      </c>
      <c r="B583" s="19">
        <v>43917</v>
      </c>
      <c r="C583" s="4">
        <v>5</v>
      </c>
      <c r="D583" s="21">
        <v>59</v>
      </c>
      <c r="F583" s="57">
        <f t="shared" si="21"/>
        <v>0</v>
      </c>
    </row>
    <row r="584" spans="1:6" x14ac:dyDescent="0.25">
      <c r="A584" s="5" t="s">
        <v>31</v>
      </c>
      <c r="B584" s="19">
        <v>43917</v>
      </c>
      <c r="C584" s="4">
        <v>2</v>
      </c>
      <c r="D584" s="21">
        <v>5</v>
      </c>
      <c r="F584" s="57">
        <f t="shared" si="21"/>
        <v>0</v>
      </c>
    </row>
    <row r="585" spans="1:6" x14ac:dyDescent="0.25">
      <c r="A585" s="5" t="s">
        <v>32</v>
      </c>
      <c r="B585" s="19">
        <v>43917</v>
      </c>
      <c r="C585" s="4">
        <v>3</v>
      </c>
      <c r="D585" s="21">
        <v>10</v>
      </c>
      <c r="F585" s="57">
        <f t="shared" si="21"/>
        <v>0</v>
      </c>
    </row>
    <row r="586" spans="1:6" x14ac:dyDescent="0.25">
      <c r="A586" s="5" t="s">
        <v>42</v>
      </c>
      <c r="B586" s="19">
        <v>43917</v>
      </c>
      <c r="C586" s="4">
        <v>0</v>
      </c>
      <c r="D586" s="21">
        <v>0</v>
      </c>
      <c r="F586" s="57">
        <f t="shared" si="21"/>
        <v>0</v>
      </c>
    </row>
    <row r="587" spans="1:6" x14ac:dyDescent="0.25">
      <c r="A587" s="5" t="s">
        <v>33</v>
      </c>
      <c r="B587" s="19">
        <v>43917</v>
      </c>
      <c r="C587" s="4">
        <v>0</v>
      </c>
      <c r="D587" s="21">
        <v>3</v>
      </c>
      <c r="F587" s="57">
        <f t="shared" si="21"/>
        <v>0</v>
      </c>
    </row>
    <row r="588" spans="1:6" x14ac:dyDescent="0.25">
      <c r="A588" s="5" t="s">
        <v>34</v>
      </c>
      <c r="B588" s="19">
        <v>43917</v>
      </c>
      <c r="C588" s="4">
        <v>0</v>
      </c>
      <c r="D588" s="21">
        <v>1</v>
      </c>
      <c r="F588" s="57">
        <f t="shared" si="21"/>
        <v>0</v>
      </c>
    </row>
    <row r="589" spans="1:6" x14ac:dyDescent="0.25">
      <c r="A589" s="5" t="s">
        <v>22</v>
      </c>
      <c r="B589" s="19">
        <v>43917</v>
      </c>
      <c r="C589" s="4">
        <v>0</v>
      </c>
      <c r="D589" s="21">
        <v>0</v>
      </c>
      <c r="F589" s="57">
        <f t="shared" si="21"/>
        <v>0</v>
      </c>
    </row>
    <row r="590" spans="1:6" x14ac:dyDescent="0.25">
      <c r="A590" s="5" t="s">
        <v>18</v>
      </c>
      <c r="B590" s="19">
        <v>43917</v>
      </c>
      <c r="C590" s="4">
        <v>1</v>
      </c>
      <c r="D590" s="21">
        <v>8</v>
      </c>
      <c r="E590" s="4">
        <v>1</v>
      </c>
      <c r="F590" s="57">
        <f t="shared" si="21"/>
        <v>1</v>
      </c>
    </row>
    <row r="591" spans="1:6" x14ac:dyDescent="0.25">
      <c r="A591" s="5" t="s">
        <v>24</v>
      </c>
      <c r="B591" s="19">
        <v>43917</v>
      </c>
      <c r="C591" s="4">
        <v>0</v>
      </c>
      <c r="D591" s="21">
        <v>1</v>
      </c>
      <c r="F591" s="57">
        <f t="shared" si="21"/>
        <v>0</v>
      </c>
    </row>
    <row r="592" spans="1:6" x14ac:dyDescent="0.25">
      <c r="A592" s="5" t="s">
        <v>20</v>
      </c>
      <c r="B592" s="19">
        <v>43917</v>
      </c>
      <c r="C592" s="4">
        <v>3</v>
      </c>
      <c r="D592" s="21">
        <v>10</v>
      </c>
      <c r="F592" s="57">
        <f t="shared" si="21"/>
        <v>0</v>
      </c>
    </row>
    <row r="593" spans="1:6" x14ac:dyDescent="0.25">
      <c r="A593" s="5" t="s">
        <v>19</v>
      </c>
      <c r="B593" s="19">
        <v>43917</v>
      </c>
      <c r="C593" s="4">
        <v>3</v>
      </c>
      <c r="D593" s="21">
        <v>7</v>
      </c>
      <c r="E593" s="4">
        <v>1</v>
      </c>
      <c r="F593" s="57">
        <f t="shared" si="21"/>
        <v>1</v>
      </c>
    </row>
    <row r="594" spans="1:6" x14ac:dyDescent="0.25">
      <c r="A594" s="5" t="s">
        <v>35</v>
      </c>
      <c r="B594" s="19">
        <v>43917</v>
      </c>
      <c r="C594" s="4">
        <v>0</v>
      </c>
      <c r="D594" s="21">
        <v>1</v>
      </c>
      <c r="F594" s="57">
        <f t="shared" si="21"/>
        <v>0</v>
      </c>
    </row>
    <row r="595" spans="1:6" x14ac:dyDescent="0.25">
      <c r="A595" s="5" t="s">
        <v>36</v>
      </c>
      <c r="B595" s="19">
        <v>43917</v>
      </c>
      <c r="C595" s="4">
        <v>0</v>
      </c>
      <c r="D595" s="21">
        <v>0</v>
      </c>
      <c r="F595" s="57">
        <f t="shared" si="21"/>
        <v>0</v>
      </c>
    </row>
    <row r="596" spans="1:6" x14ac:dyDescent="0.25">
      <c r="A596" s="5" t="s">
        <v>37</v>
      </c>
      <c r="B596" s="19">
        <v>43917</v>
      </c>
      <c r="C596" s="4">
        <v>0</v>
      </c>
      <c r="D596" s="21">
        <v>6</v>
      </c>
      <c r="F596" s="57">
        <f t="shared" si="21"/>
        <v>0</v>
      </c>
    </row>
    <row r="597" spans="1:6" x14ac:dyDescent="0.25">
      <c r="A597" s="5" t="s">
        <v>38</v>
      </c>
      <c r="B597" s="19">
        <v>43917</v>
      </c>
      <c r="C597" s="4">
        <v>0</v>
      </c>
      <c r="D597" s="21">
        <v>9</v>
      </c>
      <c r="F597" s="57">
        <f t="shared" si="21"/>
        <v>0</v>
      </c>
    </row>
    <row r="598" spans="1:6" x14ac:dyDescent="0.25">
      <c r="A598" s="5" t="s">
        <v>23</v>
      </c>
      <c r="B598" s="19">
        <v>43917</v>
      </c>
      <c r="C598" s="4">
        <v>9</v>
      </c>
      <c r="D598" s="21">
        <v>63</v>
      </c>
      <c r="F598" s="57">
        <f t="shared" si="21"/>
        <v>0</v>
      </c>
    </row>
    <row r="599" spans="1:6" x14ac:dyDescent="0.25">
      <c r="A599" s="5" t="s">
        <v>39</v>
      </c>
      <c r="B599" s="19">
        <v>43917</v>
      </c>
      <c r="C599" s="4">
        <v>1</v>
      </c>
      <c r="D599" s="21">
        <v>2</v>
      </c>
      <c r="F599" s="57">
        <f t="shared" si="21"/>
        <v>0</v>
      </c>
    </row>
    <row r="600" spans="1:6" x14ac:dyDescent="0.25">
      <c r="A600" s="5" t="s">
        <v>40</v>
      </c>
      <c r="B600" s="19">
        <v>43917</v>
      </c>
      <c r="C600" s="4">
        <v>0</v>
      </c>
      <c r="D600" s="21">
        <v>14</v>
      </c>
      <c r="F600" s="57">
        <f t="shared" si="21"/>
        <v>0</v>
      </c>
    </row>
    <row r="601" spans="1:6" x14ac:dyDescent="0.25">
      <c r="A601" s="5" t="s">
        <v>41</v>
      </c>
      <c r="B601" s="19">
        <v>43917</v>
      </c>
      <c r="C601" s="4">
        <v>6</v>
      </c>
      <c r="D601" s="21">
        <v>15</v>
      </c>
      <c r="F601" s="57">
        <f t="shared" si="21"/>
        <v>0</v>
      </c>
    </row>
    <row r="602" spans="1:6" x14ac:dyDescent="0.25">
      <c r="A602" s="42" t="s">
        <v>17</v>
      </c>
      <c r="B602" s="19">
        <v>43918</v>
      </c>
      <c r="C602" s="4">
        <v>8</v>
      </c>
      <c r="D602" s="21">
        <v>199</v>
      </c>
      <c r="E602" s="4">
        <v>1</v>
      </c>
      <c r="F602" s="57">
        <f>E602+F578</f>
        <v>6</v>
      </c>
    </row>
    <row r="603" spans="1:6" x14ac:dyDescent="0.25">
      <c r="A603" s="5" t="s">
        <v>29</v>
      </c>
      <c r="B603" s="19">
        <v>43918</v>
      </c>
      <c r="C603" s="4">
        <v>0</v>
      </c>
      <c r="D603" s="21">
        <v>0</v>
      </c>
      <c r="F603" s="57">
        <f t="shared" ref="F603:F625" si="22">E603+F579</f>
        <v>0</v>
      </c>
    </row>
    <row r="604" spans="1:6" x14ac:dyDescent="0.25">
      <c r="A604" s="5" t="s">
        <v>16</v>
      </c>
      <c r="B604" s="19">
        <v>43918</v>
      </c>
      <c r="C604" s="4">
        <v>5</v>
      </c>
      <c r="D604" s="21">
        <v>63</v>
      </c>
      <c r="F604" s="57">
        <f t="shared" si="22"/>
        <v>3</v>
      </c>
    </row>
    <row r="605" spans="1:6" x14ac:dyDescent="0.25">
      <c r="A605" s="5" t="s">
        <v>30</v>
      </c>
      <c r="B605" s="19">
        <v>43918</v>
      </c>
      <c r="C605" s="4">
        <v>0</v>
      </c>
      <c r="D605" s="21">
        <v>0</v>
      </c>
      <c r="F605" s="57">
        <f t="shared" si="22"/>
        <v>1</v>
      </c>
    </row>
    <row r="606" spans="1:6" x14ac:dyDescent="0.25">
      <c r="A606" s="5" t="s">
        <v>44</v>
      </c>
      <c r="B606" s="19">
        <v>43918</v>
      </c>
      <c r="C606" s="4">
        <v>18</v>
      </c>
      <c r="D606" s="21">
        <v>257</v>
      </c>
      <c r="E606" s="4">
        <v>1</v>
      </c>
      <c r="F606" s="57">
        <f t="shared" si="22"/>
        <v>5</v>
      </c>
    </row>
    <row r="607" spans="1:6" x14ac:dyDescent="0.25">
      <c r="A607" s="5" t="s">
        <v>21</v>
      </c>
      <c r="B607" s="19">
        <v>43918</v>
      </c>
      <c r="C607" s="4">
        <v>1</v>
      </c>
      <c r="D607" s="21">
        <v>60</v>
      </c>
      <c r="F607" s="57">
        <f t="shared" si="22"/>
        <v>0</v>
      </c>
    </row>
    <row r="608" spans="1:6" x14ac:dyDescent="0.25">
      <c r="A608" s="5" t="s">
        <v>31</v>
      </c>
      <c r="B608" s="19">
        <v>43918</v>
      </c>
      <c r="C608" s="4">
        <v>3</v>
      </c>
      <c r="D608" s="21">
        <v>8</v>
      </c>
      <c r="F608" s="57">
        <f t="shared" si="22"/>
        <v>0</v>
      </c>
    </row>
    <row r="609" spans="1:6" x14ac:dyDescent="0.25">
      <c r="A609" s="5" t="s">
        <v>32</v>
      </c>
      <c r="B609" s="19">
        <v>43918</v>
      </c>
      <c r="C609" s="4">
        <v>0</v>
      </c>
      <c r="D609" s="21">
        <v>10</v>
      </c>
      <c r="F609" s="57">
        <f t="shared" si="22"/>
        <v>0</v>
      </c>
    </row>
    <row r="610" spans="1:6" x14ac:dyDescent="0.25">
      <c r="A610" s="5" t="s">
        <v>42</v>
      </c>
      <c r="B610" s="19">
        <v>43918</v>
      </c>
      <c r="C610" s="4">
        <v>0</v>
      </c>
      <c r="D610" s="21">
        <v>0</v>
      </c>
      <c r="F610" s="57">
        <f t="shared" si="22"/>
        <v>0</v>
      </c>
    </row>
    <row r="611" spans="1:6" x14ac:dyDescent="0.25">
      <c r="A611" s="5" t="s">
        <v>33</v>
      </c>
      <c r="B611" s="19">
        <v>43918</v>
      </c>
      <c r="C611" s="4">
        <v>0</v>
      </c>
      <c r="D611" s="21">
        <v>3</v>
      </c>
      <c r="F611" s="57">
        <f t="shared" si="22"/>
        <v>0</v>
      </c>
    </row>
    <row r="612" spans="1:6" x14ac:dyDescent="0.25">
      <c r="A612" s="5" t="s">
        <v>34</v>
      </c>
      <c r="B612" s="19">
        <v>43918</v>
      </c>
      <c r="C612" s="4">
        <v>0</v>
      </c>
      <c r="D612" s="21">
        <v>1</v>
      </c>
      <c r="F612" s="57">
        <f t="shared" si="22"/>
        <v>0</v>
      </c>
    </row>
    <row r="613" spans="1:6" x14ac:dyDescent="0.25">
      <c r="A613" s="5" t="s">
        <v>22</v>
      </c>
      <c r="B613" s="19">
        <v>43918</v>
      </c>
      <c r="C613" s="4">
        <v>0</v>
      </c>
      <c r="D613" s="21">
        <v>0</v>
      </c>
      <c r="F613" s="57">
        <f t="shared" si="22"/>
        <v>0</v>
      </c>
    </row>
    <row r="614" spans="1:6" x14ac:dyDescent="0.25">
      <c r="A614" s="5" t="s">
        <v>18</v>
      </c>
      <c r="B614" s="19">
        <v>43918</v>
      </c>
      <c r="C614" s="4">
        <v>1</v>
      </c>
      <c r="D614" s="21">
        <v>9</v>
      </c>
      <c r="F614" s="57">
        <f t="shared" si="22"/>
        <v>1</v>
      </c>
    </row>
    <row r="615" spans="1:6" x14ac:dyDescent="0.25">
      <c r="A615" s="5" t="s">
        <v>24</v>
      </c>
      <c r="B615" s="19">
        <v>43918</v>
      </c>
      <c r="C615" s="4">
        <v>0</v>
      </c>
      <c r="D615" s="21">
        <v>1</v>
      </c>
      <c r="F615" s="57">
        <f t="shared" si="22"/>
        <v>0</v>
      </c>
    </row>
    <row r="616" spans="1:6" x14ac:dyDescent="0.25">
      <c r="A616" s="5" t="s">
        <v>20</v>
      </c>
      <c r="B616" s="19">
        <v>43918</v>
      </c>
      <c r="C616" s="4">
        <v>2</v>
      </c>
      <c r="D616" s="21">
        <v>12</v>
      </c>
      <c r="F616" s="57">
        <f t="shared" si="22"/>
        <v>0</v>
      </c>
    </row>
    <row r="617" spans="1:6" x14ac:dyDescent="0.25">
      <c r="A617" s="5" t="s">
        <v>19</v>
      </c>
      <c r="B617" s="19">
        <v>43918</v>
      </c>
      <c r="C617" s="4">
        <v>0</v>
      </c>
      <c r="D617" s="21">
        <v>7</v>
      </c>
      <c r="F617" s="57">
        <f t="shared" si="22"/>
        <v>1</v>
      </c>
    </row>
    <row r="618" spans="1:6" x14ac:dyDescent="0.25">
      <c r="A618" s="5" t="s">
        <v>35</v>
      </c>
      <c r="B618" s="19">
        <v>43918</v>
      </c>
      <c r="C618" s="4">
        <v>0</v>
      </c>
      <c r="D618" s="21">
        <v>1</v>
      </c>
      <c r="F618" s="57">
        <f t="shared" si="22"/>
        <v>0</v>
      </c>
    </row>
    <row r="619" spans="1:6" x14ac:dyDescent="0.25">
      <c r="A619" s="5" t="s">
        <v>36</v>
      </c>
      <c r="B619" s="19">
        <v>43918</v>
      </c>
      <c r="C619" s="4">
        <v>0</v>
      </c>
      <c r="D619" s="21">
        <v>0</v>
      </c>
      <c r="F619" s="57">
        <f t="shared" si="22"/>
        <v>0</v>
      </c>
    </row>
    <row r="620" spans="1:6" x14ac:dyDescent="0.25">
      <c r="A620" s="5" t="s">
        <v>37</v>
      </c>
      <c r="B620" s="19">
        <v>43918</v>
      </c>
      <c r="C620" s="4">
        <v>0</v>
      </c>
      <c r="D620" s="21">
        <v>6</v>
      </c>
      <c r="F620" s="57">
        <f t="shared" si="22"/>
        <v>0</v>
      </c>
    </row>
    <row r="621" spans="1:6" x14ac:dyDescent="0.25">
      <c r="A621" s="5" t="s">
        <v>38</v>
      </c>
      <c r="B621" s="19">
        <v>43918</v>
      </c>
      <c r="C621" s="4">
        <v>0</v>
      </c>
      <c r="D621" s="21">
        <v>9</v>
      </c>
      <c r="F621" s="57">
        <f t="shared" si="22"/>
        <v>0</v>
      </c>
    </row>
    <row r="622" spans="1:6" x14ac:dyDescent="0.25">
      <c r="A622" s="5" t="s">
        <v>23</v>
      </c>
      <c r="B622" s="19">
        <v>43918</v>
      </c>
      <c r="C622" s="4">
        <v>13</v>
      </c>
      <c r="D622" s="21">
        <v>76</v>
      </c>
      <c r="F622" s="57">
        <f t="shared" si="22"/>
        <v>0</v>
      </c>
    </row>
    <row r="623" spans="1:6" x14ac:dyDescent="0.25">
      <c r="A623" s="5" t="s">
        <v>39</v>
      </c>
      <c r="B623" s="19">
        <v>43918</v>
      </c>
      <c r="C623" s="4">
        <v>0</v>
      </c>
      <c r="D623" s="21">
        <v>2</v>
      </c>
      <c r="F623" s="57">
        <f t="shared" si="22"/>
        <v>0</v>
      </c>
    </row>
    <row r="624" spans="1:6" x14ac:dyDescent="0.25">
      <c r="A624" s="5" t="s">
        <v>40</v>
      </c>
      <c r="B624" s="19">
        <v>43918</v>
      </c>
      <c r="C624" s="4">
        <v>4</v>
      </c>
      <c r="D624" s="21">
        <v>18</v>
      </c>
      <c r="F624" s="57">
        <f t="shared" si="22"/>
        <v>0</v>
      </c>
    </row>
    <row r="625" spans="1:6" x14ac:dyDescent="0.25">
      <c r="A625" s="5" t="s">
        <v>41</v>
      </c>
      <c r="B625" s="19">
        <v>43918</v>
      </c>
      <c r="C625" s="4">
        <v>0</v>
      </c>
      <c r="D625" s="21">
        <v>15</v>
      </c>
      <c r="F625" s="57">
        <f t="shared" si="22"/>
        <v>0</v>
      </c>
    </row>
    <row r="626" spans="1:6" x14ac:dyDescent="0.25">
      <c r="A626" s="42" t="s">
        <v>17</v>
      </c>
      <c r="B626" s="19">
        <v>43919</v>
      </c>
      <c r="C626" s="4">
        <v>18</v>
      </c>
      <c r="D626" s="21">
        <v>217</v>
      </c>
      <c r="E626" s="12"/>
      <c r="F626" s="57">
        <f>E626+F602</f>
        <v>6</v>
      </c>
    </row>
    <row r="627" spans="1:6" x14ac:dyDescent="0.25">
      <c r="A627" s="5" t="s">
        <v>29</v>
      </c>
      <c r="B627" s="19">
        <v>43919</v>
      </c>
      <c r="C627" s="4">
        <v>0</v>
      </c>
      <c r="D627" s="21">
        <v>0</v>
      </c>
      <c r="F627" s="57">
        <f t="shared" ref="F627:F649" si="23">E627+F603</f>
        <v>0</v>
      </c>
    </row>
    <row r="628" spans="1:6" x14ac:dyDescent="0.25">
      <c r="A628" s="5" t="s">
        <v>16</v>
      </c>
      <c r="B628" s="19">
        <v>43919</v>
      </c>
      <c r="C628" s="4">
        <v>6</v>
      </c>
      <c r="D628" s="21">
        <v>69</v>
      </c>
      <c r="F628" s="57">
        <f t="shared" si="23"/>
        <v>3</v>
      </c>
    </row>
    <row r="629" spans="1:6" x14ac:dyDescent="0.25">
      <c r="A629" s="5" t="s">
        <v>30</v>
      </c>
      <c r="B629" s="19">
        <v>43919</v>
      </c>
      <c r="C629" s="4">
        <v>0</v>
      </c>
      <c r="D629" s="21">
        <v>0</v>
      </c>
      <c r="F629" s="57">
        <f t="shared" si="23"/>
        <v>1</v>
      </c>
    </row>
    <row r="630" spans="1:6" x14ac:dyDescent="0.25">
      <c r="A630" s="5" t="s">
        <v>44</v>
      </c>
      <c r="B630" s="19">
        <v>43919</v>
      </c>
      <c r="C630" s="4">
        <v>1</v>
      </c>
      <c r="D630" s="21">
        <v>258</v>
      </c>
      <c r="F630" s="57">
        <f t="shared" si="23"/>
        <v>5</v>
      </c>
    </row>
    <row r="631" spans="1:6" x14ac:dyDescent="0.25">
      <c r="A631" s="5" t="s">
        <v>21</v>
      </c>
      <c r="B631" s="19">
        <v>43919</v>
      </c>
      <c r="C631" s="4">
        <v>13</v>
      </c>
      <c r="D631" s="21">
        <v>73</v>
      </c>
      <c r="F631" s="57">
        <f t="shared" si="23"/>
        <v>0</v>
      </c>
    </row>
    <row r="632" spans="1:6" x14ac:dyDescent="0.25">
      <c r="A632" s="5" t="s">
        <v>31</v>
      </c>
      <c r="B632" s="19">
        <v>43919</v>
      </c>
      <c r="C632" s="4">
        <v>1</v>
      </c>
      <c r="D632" s="21">
        <v>9</v>
      </c>
      <c r="F632" s="57">
        <f t="shared" si="23"/>
        <v>0</v>
      </c>
    </row>
    <row r="633" spans="1:6" x14ac:dyDescent="0.25">
      <c r="A633" s="5" t="s">
        <v>32</v>
      </c>
      <c r="B633" s="19">
        <v>43919</v>
      </c>
      <c r="C633" s="4">
        <v>0</v>
      </c>
      <c r="D633" s="21">
        <v>10</v>
      </c>
      <c r="F633" s="57">
        <f t="shared" si="23"/>
        <v>0</v>
      </c>
    </row>
    <row r="634" spans="1:6" x14ac:dyDescent="0.25">
      <c r="A634" s="5" t="s">
        <v>42</v>
      </c>
      <c r="B634" s="19">
        <v>43919</v>
      </c>
      <c r="C634" s="4">
        <v>0</v>
      </c>
      <c r="D634" s="21">
        <v>0</v>
      </c>
      <c r="F634" s="57">
        <f t="shared" si="23"/>
        <v>0</v>
      </c>
    </row>
    <row r="635" spans="1:6" x14ac:dyDescent="0.25">
      <c r="A635" s="5" t="s">
        <v>33</v>
      </c>
      <c r="B635" s="19">
        <v>43919</v>
      </c>
      <c r="C635" s="4">
        <v>0</v>
      </c>
      <c r="D635" s="21">
        <v>3</v>
      </c>
      <c r="F635" s="57">
        <f t="shared" si="23"/>
        <v>0</v>
      </c>
    </row>
    <row r="636" spans="1:6" x14ac:dyDescent="0.25">
      <c r="A636" s="5" t="s">
        <v>34</v>
      </c>
      <c r="B636" s="19">
        <v>43919</v>
      </c>
      <c r="C636" s="4">
        <v>2</v>
      </c>
      <c r="D636" s="21">
        <v>3</v>
      </c>
      <c r="F636" s="57">
        <f t="shared" si="23"/>
        <v>0</v>
      </c>
    </row>
    <row r="637" spans="1:6" x14ac:dyDescent="0.25">
      <c r="A637" s="5" t="s">
        <v>22</v>
      </c>
      <c r="B637" s="19">
        <v>43919</v>
      </c>
      <c r="C637" s="4">
        <v>1</v>
      </c>
      <c r="D637" s="21">
        <v>1</v>
      </c>
      <c r="F637" s="57">
        <f t="shared" si="23"/>
        <v>0</v>
      </c>
    </row>
    <row r="638" spans="1:6" x14ac:dyDescent="0.25">
      <c r="A638" s="5" t="s">
        <v>18</v>
      </c>
      <c r="B638" s="19">
        <v>43919</v>
      </c>
      <c r="C638" s="4">
        <v>1</v>
      </c>
      <c r="D638" s="21">
        <v>10</v>
      </c>
      <c r="F638" s="57">
        <f t="shared" si="23"/>
        <v>1</v>
      </c>
    </row>
    <row r="639" spans="1:6" x14ac:dyDescent="0.25">
      <c r="A639" s="5" t="s">
        <v>24</v>
      </c>
      <c r="B639" s="19">
        <v>43919</v>
      </c>
      <c r="C639" s="4">
        <v>1</v>
      </c>
      <c r="D639" s="21">
        <v>2</v>
      </c>
      <c r="F639" s="57">
        <f t="shared" si="23"/>
        <v>0</v>
      </c>
    </row>
    <row r="640" spans="1:6" x14ac:dyDescent="0.25">
      <c r="A640" s="5" t="s">
        <v>20</v>
      </c>
      <c r="B640" s="19">
        <v>43919</v>
      </c>
      <c r="C640" s="4">
        <v>0</v>
      </c>
      <c r="D640" s="21">
        <v>12</v>
      </c>
      <c r="F640" s="57">
        <f t="shared" si="23"/>
        <v>0</v>
      </c>
    </row>
    <row r="641" spans="1:6" x14ac:dyDescent="0.25">
      <c r="A641" s="5" t="s">
        <v>19</v>
      </c>
      <c r="B641" s="19">
        <v>43919</v>
      </c>
      <c r="C641" s="4">
        <v>1</v>
      </c>
      <c r="D641" s="21">
        <v>8</v>
      </c>
      <c r="F641" s="57">
        <f t="shared" si="23"/>
        <v>1</v>
      </c>
    </row>
    <row r="642" spans="1:6" x14ac:dyDescent="0.25">
      <c r="A642" s="5" t="s">
        <v>35</v>
      </c>
      <c r="B642" s="19">
        <v>43919</v>
      </c>
      <c r="C642" s="4">
        <v>0</v>
      </c>
      <c r="D642" s="21">
        <v>1</v>
      </c>
      <c r="F642" s="57">
        <f t="shared" si="23"/>
        <v>0</v>
      </c>
    </row>
    <row r="643" spans="1:6" x14ac:dyDescent="0.25">
      <c r="A643" s="5" t="s">
        <v>36</v>
      </c>
      <c r="B643" s="19">
        <v>43919</v>
      </c>
      <c r="C643" s="4">
        <v>1</v>
      </c>
      <c r="D643" s="21">
        <v>1</v>
      </c>
      <c r="F643" s="57">
        <f t="shared" si="23"/>
        <v>0</v>
      </c>
    </row>
    <row r="644" spans="1:6" x14ac:dyDescent="0.25">
      <c r="A644" s="5" t="s">
        <v>37</v>
      </c>
      <c r="B644" s="19">
        <v>43919</v>
      </c>
      <c r="C644" s="4">
        <v>0</v>
      </c>
      <c r="D644" s="21">
        <v>6</v>
      </c>
      <c r="F644" s="57">
        <f t="shared" si="23"/>
        <v>0</v>
      </c>
    </row>
    <row r="645" spans="1:6" x14ac:dyDescent="0.25">
      <c r="A645" s="5" t="s">
        <v>38</v>
      </c>
      <c r="B645" s="19">
        <v>43919</v>
      </c>
      <c r="C645" s="4">
        <v>0</v>
      </c>
      <c r="D645" s="21">
        <v>9</v>
      </c>
      <c r="F645" s="57">
        <f t="shared" si="23"/>
        <v>0</v>
      </c>
    </row>
    <row r="646" spans="1:6" x14ac:dyDescent="0.25">
      <c r="A646" s="5" t="s">
        <v>23</v>
      </c>
      <c r="B646" s="19">
        <v>43919</v>
      </c>
      <c r="C646" s="4">
        <v>14</v>
      </c>
      <c r="D646" s="21">
        <v>90</v>
      </c>
      <c r="F646" s="57">
        <f t="shared" si="23"/>
        <v>0</v>
      </c>
    </row>
    <row r="647" spans="1:6" x14ac:dyDescent="0.25">
      <c r="A647" s="5" t="s">
        <v>39</v>
      </c>
      <c r="B647" s="19">
        <v>43919</v>
      </c>
      <c r="C647" s="4">
        <v>0</v>
      </c>
      <c r="D647" s="21">
        <v>2</v>
      </c>
      <c r="F647" s="57">
        <f t="shared" si="23"/>
        <v>0</v>
      </c>
    </row>
    <row r="648" spans="1:6" x14ac:dyDescent="0.25">
      <c r="A648" s="5" t="s">
        <v>40</v>
      </c>
      <c r="B648" s="19">
        <v>43919</v>
      </c>
      <c r="C648" s="4">
        <v>3</v>
      </c>
      <c r="D648" s="21">
        <v>21</v>
      </c>
      <c r="F648" s="57">
        <f t="shared" si="23"/>
        <v>0</v>
      </c>
    </row>
    <row r="649" spans="1:6" x14ac:dyDescent="0.25">
      <c r="A649" s="5" t="s">
        <v>41</v>
      </c>
      <c r="B649" s="19">
        <v>43919</v>
      </c>
      <c r="C649" s="4">
        <v>0</v>
      </c>
      <c r="D649" s="21">
        <v>15</v>
      </c>
      <c r="F649" s="57">
        <f t="shared" si="23"/>
        <v>0</v>
      </c>
    </row>
    <row r="650" spans="1:6" x14ac:dyDescent="0.25">
      <c r="A650" s="42" t="s">
        <v>17</v>
      </c>
      <c r="B650" s="19">
        <v>43920</v>
      </c>
      <c r="C650" s="4">
        <v>36</v>
      </c>
      <c r="D650" s="21">
        <v>253</v>
      </c>
      <c r="E650" s="4">
        <v>2</v>
      </c>
      <c r="F650" s="57">
        <f>E650+F626</f>
        <v>8</v>
      </c>
    </row>
    <row r="651" spans="1:6" x14ac:dyDescent="0.25">
      <c r="A651" s="5" t="s">
        <v>29</v>
      </c>
      <c r="B651" s="19">
        <v>43920</v>
      </c>
      <c r="C651" s="4">
        <v>0</v>
      </c>
      <c r="D651" s="21">
        <v>0</v>
      </c>
      <c r="F651" s="57">
        <f t="shared" ref="F651:F673" si="24">E651+F627</f>
        <v>0</v>
      </c>
    </row>
    <row r="652" spans="1:6" x14ac:dyDescent="0.25">
      <c r="A652" s="5" t="s">
        <v>16</v>
      </c>
      <c r="B652" s="19">
        <v>43920</v>
      </c>
      <c r="C652" s="4">
        <v>12</v>
      </c>
      <c r="D652" s="21">
        <v>81</v>
      </c>
      <c r="F652" s="57">
        <f t="shared" si="24"/>
        <v>3</v>
      </c>
    </row>
    <row r="653" spans="1:6" x14ac:dyDescent="0.25">
      <c r="A653" s="5" t="s">
        <v>30</v>
      </c>
      <c r="B653" s="19">
        <v>43920</v>
      </c>
      <c r="C653" s="4">
        <v>0</v>
      </c>
      <c r="D653" s="21">
        <v>0</v>
      </c>
      <c r="F653" s="57">
        <f t="shared" si="24"/>
        <v>1</v>
      </c>
    </row>
    <row r="654" spans="1:6" x14ac:dyDescent="0.25">
      <c r="A654" s="5" t="s">
        <v>44</v>
      </c>
      <c r="B654" s="19">
        <v>43920</v>
      </c>
      <c r="C654" s="4">
        <v>34</v>
      </c>
      <c r="D654" s="21">
        <v>292</v>
      </c>
      <c r="F654" s="57">
        <f t="shared" si="24"/>
        <v>5</v>
      </c>
    </row>
    <row r="655" spans="1:6" x14ac:dyDescent="0.25">
      <c r="A655" s="5" t="s">
        <v>21</v>
      </c>
      <c r="B655" s="19">
        <v>43920</v>
      </c>
      <c r="C655" s="4">
        <v>8</v>
      </c>
      <c r="D655" s="21">
        <v>81</v>
      </c>
      <c r="F655" s="57">
        <f t="shared" si="24"/>
        <v>0</v>
      </c>
    </row>
    <row r="656" spans="1:6" x14ac:dyDescent="0.25">
      <c r="A656" s="5" t="s">
        <v>31</v>
      </c>
      <c r="B656" s="19">
        <v>43920</v>
      </c>
      <c r="C656" s="4">
        <v>10</v>
      </c>
      <c r="D656" s="21">
        <v>19</v>
      </c>
      <c r="F656" s="57">
        <f t="shared" si="24"/>
        <v>0</v>
      </c>
    </row>
    <row r="657" spans="1:6" x14ac:dyDescent="0.25">
      <c r="A657" s="5" t="s">
        <v>32</v>
      </c>
      <c r="B657" s="19">
        <v>43920</v>
      </c>
      <c r="C657" s="4">
        <v>3</v>
      </c>
      <c r="D657" s="21">
        <v>13</v>
      </c>
      <c r="F657" s="57">
        <f t="shared" si="24"/>
        <v>0</v>
      </c>
    </row>
    <row r="658" spans="1:6" x14ac:dyDescent="0.25">
      <c r="A658" s="5" t="s">
        <v>42</v>
      </c>
      <c r="B658" s="19">
        <v>43920</v>
      </c>
      <c r="C658" s="4">
        <v>0</v>
      </c>
      <c r="D658" s="21">
        <v>0</v>
      </c>
      <c r="F658" s="57">
        <f t="shared" si="24"/>
        <v>0</v>
      </c>
    </row>
    <row r="659" spans="1:6" x14ac:dyDescent="0.25">
      <c r="A659" s="5" t="s">
        <v>33</v>
      </c>
      <c r="B659" s="19">
        <v>43920</v>
      </c>
      <c r="C659" s="4">
        <v>0</v>
      </c>
      <c r="D659" s="21">
        <v>3</v>
      </c>
      <c r="F659" s="57">
        <f t="shared" si="24"/>
        <v>0</v>
      </c>
    </row>
    <row r="660" spans="1:6" x14ac:dyDescent="0.25">
      <c r="A660" s="5" t="s">
        <v>34</v>
      </c>
      <c r="B660" s="19">
        <v>43920</v>
      </c>
      <c r="C660" s="4">
        <v>0</v>
      </c>
      <c r="D660" s="21">
        <v>3</v>
      </c>
      <c r="F660" s="57">
        <f t="shared" si="24"/>
        <v>0</v>
      </c>
    </row>
    <row r="661" spans="1:6" x14ac:dyDescent="0.25">
      <c r="A661" s="5" t="s">
        <v>22</v>
      </c>
      <c r="B661" s="19">
        <v>43920</v>
      </c>
      <c r="C661" s="4">
        <v>0</v>
      </c>
      <c r="D661" s="21">
        <v>1</v>
      </c>
      <c r="F661" s="57">
        <f t="shared" si="24"/>
        <v>0</v>
      </c>
    </row>
    <row r="662" spans="1:6" x14ac:dyDescent="0.25">
      <c r="A662" s="5" t="s">
        <v>18</v>
      </c>
      <c r="B662" s="19">
        <v>43920</v>
      </c>
      <c r="C662" s="4">
        <v>3</v>
      </c>
      <c r="D662" s="21">
        <v>13</v>
      </c>
      <c r="F662" s="57">
        <f t="shared" si="24"/>
        <v>1</v>
      </c>
    </row>
    <row r="663" spans="1:6" x14ac:dyDescent="0.25">
      <c r="A663" s="5" t="s">
        <v>24</v>
      </c>
      <c r="B663" s="19">
        <v>43920</v>
      </c>
      <c r="C663" s="4">
        <v>0</v>
      </c>
      <c r="D663" s="21">
        <v>2</v>
      </c>
      <c r="F663" s="57">
        <f t="shared" si="24"/>
        <v>0</v>
      </c>
    </row>
    <row r="664" spans="1:6" x14ac:dyDescent="0.25">
      <c r="A664" s="5" t="s">
        <v>20</v>
      </c>
      <c r="B664" s="19">
        <v>43920</v>
      </c>
      <c r="C664" s="4">
        <v>8</v>
      </c>
      <c r="D664" s="21">
        <v>20</v>
      </c>
      <c r="E664" s="4">
        <v>1</v>
      </c>
      <c r="F664" s="57">
        <f t="shared" si="24"/>
        <v>1</v>
      </c>
    </row>
    <row r="665" spans="1:6" x14ac:dyDescent="0.25">
      <c r="A665" s="5" t="s">
        <v>19</v>
      </c>
      <c r="B665" s="19">
        <v>43920</v>
      </c>
      <c r="C665" s="4">
        <v>0</v>
      </c>
      <c r="D665" s="21">
        <v>8</v>
      </c>
      <c r="F665" s="57">
        <f t="shared" si="24"/>
        <v>1</v>
      </c>
    </row>
    <row r="666" spans="1:6" x14ac:dyDescent="0.25">
      <c r="A666" s="5" t="s">
        <v>35</v>
      </c>
      <c r="B666" s="19">
        <v>43920</v>
      </c>
      <c r="C666" s="4">
        <v>0</v>
      </c>
      <c r="D666" s="21">
        <v>1</v>
      </c>
      <c r="F666" s="57">
        <f t="shared" si="24"/>
        <v>0</v>
      </c>
    </row>
    <row r="667" spans="1:6" x14ac:dyDescent="0.25">
      <c r="A667" s="5" t="s">
        <v>36</v>
      </c>
      <c r="B667" s="19">
        <v>43920</v>
      </c>
      <c r="C667" s="4">
        <v>0</v>
      </c>
      <c r="D667" s="21">
        <v>1</v>
      </c>
      <c r="F667" s="57">
        <f t="shared" si="24"/>
        <v>0</v>
      </c>
    </row>
    <row r="668" spans="1:6" x14ac:dyDescent="0.25">
      <c r="A668" s="5" t="s">
        <v>37</v>
      </c>
      <c r="B668" s="19">
        <v>43920</v>
      </c>
      <c r="C668" s="4">
        <v>0</v>
      </c>
      <c r="D668" s="21">
        <v>6</v>
      </c>
      <c r="F668" s="57">
        <f t="shared" si="24"/>
        <v>0</v>
      </c>
    </row>
    <row r="669" spans="1:6" x14ac:dyDescent="0.25">
      <c r="A669" s="5" t="s">
        <v>38</v>
      </c>
      <c r="B669" s="19">
        <v>43920</v>
      </c>
      <c r="C669" s="4">
        <v>0</v>
      </c>
      <c r="D669" s="21">
        <v>9</v>
      </c>
      <c r="F669" s="57">
        <f t="shared" si="24"/>
        <v>0</v>
      </c>
    </row>
    <row r="670" spans="1:6" x14ac:dyDescent="0.25">
      <c r="A670" s="5" t="s">
        <v>23</v>
      </c>
      <c r="B670" s="19">
        <v>43920</v>
      </c>
      <c r="C670" s="4">
        <v>21</v>
      </c>
      <c r="D670" s="21">
        <v>111</v>
      </c>
      <c r="F670" s="57">
        <f t="shared" si="24"/>
        <v>0</v>
      </c>
    </row>
    <row r="671" spans="1:6" x14ac:dyDescent="0.25">
      <c r="A671" s="5" t="s">
        <v>39</v>
      </c>
      <c r="B671" s="19">
        <v>43920</v>
      </c>
      <c r="C671" s="4">
        <v>0</v>
      </c>
      <c r="D671" s="21">
        <v>2</v>
      </c>
      <c r="F671" s="57">
        <f t="shared" si="24"/>
        <v>0</v>
      </c>
    </row>
    <row r="672" spans="1:6" x14ac:dyDescent="0.25">
      <c r="A672" s="5" t="s">
        <v>40</v>
      </c>
      <c r="B672" s="19">
        <v>43920</v>
      </c>
      <c r="C672" s="4">
        <v>11</v>
      </c>
      <c r="D672" s="21">
        <v>32</v>
      </c>
      <c r="F672" s="57">
        <f t="shared" si="24"/>
        <v>0</v>
      </c>
    </row>
    <row r="673" spans="1:6" x14ac:dyDescent="0.25">
      <c r="A673" s="5" t="s">
        <v>41</v>
      </c>
      <c r="B673" s="19">
        <v>43920</v>
      </c>
      <c r="C673" s="4">
        <v>0</v>
      </c>
      <c r="D673" s="21">
        <v>15</v>
      </c>
      <c r="E673" s="4">
        <v>1</v>
      </c>
      <c r="F673" s="57">
        <f t="shared" si="24"/>
        <v>1</v>
      </c>
    </row>
    <row r="674" spans="1:6" x14ac:dyDescent="0.25">
      <c r="A674" s="42" t="s">
        <v>17</v>
      </c>
      <c r="B674" s="19">
        <v>43921</v>
      </c>
      <c r="C674" s="4">
        <v>17</v>
      </c>
      <c r="D674" s="21">
        <v>270</v>
      </c>
      <c r="F674" s="57">
        <f>E674+F650</f>
        <v>8</v>
      </c>
    </row>
    <row r="675" spans="1:6" x14ac:dyDescent="0.25">
      <c r="A675" s="5" t="s">
        <v>29</v>
      </c>
      <c r="B675" s="19">
        <v>43921</v>
      </c>
      <c r="C675" s="4">
        <v>0</v>
      </c>
      <c r="D675" s="21">
        <v>0</v>
      </c>
      <c r="F675" s="57">
        <f t="shared" ref="F675:F697" si="25">E675+F651</f>
        <v>0</v>
      </c>
    </row>
    <row r="676" spans="1:6" x14ac:dyDescent="0.25">
      <c r="A676" s="5" t="s">
        <v>16</v>
      </c>
      <c r="B676" s="19">
        <v>43921</v>
      </c>
      <c r="C676" s="4">
        <v>3</v>
      </c>
      <c r="D676" s="21">
        <v>84</v>
      </c>
      <c r="E676" s="4">
        <v>1</v>
      </c>
      <c r="F676" s="57">
        <f t="shared" si="25"/>
        <v>4</v>
      </c>
    </row>
    <row r="677" spans="1:6" x14ac:dyDescent="0.25">
      <c r="A677" s="5" t="s">
        <v>30</v>
      </c>
      <c r="B677" s="19">
        <v>43921</v>
      </c>
      <c r="C677" s="4">
        <v>0</v>
      </c>
      <c r="D677" s="21">
        <v>0</v>
      </c>
      <c r="F677" s="57">
        <f t="shared" si="25"/>
        <v>1</v>
      </c>
    </row>
    <row r="678" spans="1:6" x14ac:dyDescent="0.25">
      <c r="A678" s="5" t="s">
        <v>44</v>
      </c>
      <c r="B678" s="19">
        <v>43921</v>
      </c>
      <c r="C678" s="4">
        <v>19</v>
      </c>
      <c r="D678" s="21">
        <v>311</v>
      </c>
      <c r="F678" s="57">
        <f t="shared" si="25"/>
        <v>5</v>
      </c>
    </row>
    <row r="679" spans="1:6" x14ac:dyDescent="0.25">
      <c r="A679" s="5" t="s">
        <v>21</v>
      </c>
      <c r="B679" s="19">
        <v>43921</v>
      </c>
      <c r="C679" s="4">
        <v>14</v>
      </c>
      <c r="D679" s="21">
        <v>95</v>
      </c>
      <c r="E679" s="4">
        <v>1</v>
      </c>
      <c r="F679" s="57">
        <f t="shared" si="25"/>
        <v>1</v>
      </c>
    </row>
    <row r="680" spans="1:6" x14ac:dyDescent="0.25">
      <c r="A680" s="5" t="s">
        <v>31</v>
      </c>
      <c r="B680" s="19">
        <v>43921</v>
      </c>
      <c r="C680" s="4">
        <v>1</v>
      </c>
      <c r="D680" s="21">
        <v>20</v>
      </c>
      <c r="F680" s="57">
        <f t="shared" si="25"/>
        <v>0</v>
      </c>
    </row>
    <row r="681" spans="1:6" x14ac:dyDescent="0.25">
      <c r="A681" s="5" t="s">
        <v>32</v>
      </c>
      <c r="B681" s="19">
        <v>43921</v>
      </c>
      <c r="C681" s="4">
        <v>0</v>
      </c>
      <c r="D681" s="21">
        <v>13</v>
      </c>
      <c r="F681" s="57">
        <f t="shared" si="25"/>
        <v>0</v>
      </c>
    </row>
    <row r="682" spans="1:6" x14ac:dyDescent="0.25">
      <c r="A682" s="5" t="s">
        <v>42</v>
      </c>
      <c r="B682" s="19">
        <v>43921</v>
      </c>
      <c r="C682" s="4">
        <v>0</v>
      </c>
      <c r="D682" s="21">
        <v>0</v>
      </c>
      <c r="F682" s="57">
        <f t="shared" si="25"/>
        <v>0</v>
      </c>
    </row>
    <row r="683" spans="1:6" x14ac:dyDescent="0.25">
      <c r="A683" s="5" t="s">
        <v>33</v>
      </c>
      <c r="B683" s="19">
        <v>43921</v>
      </c>
      <c r="C683" s="4">
        <v>0</v>
      </c>
      <c r="D683" s="21">
        <v>3</v>
      </c>
      <c r="F683" s="57">
        <f t="shared" si="25"/>
        <v>0</v>
      </c>
    </row>
    <row r="684" spans="1:6" x14ac:dyDescent="0.25">
      <c r="A684" s="5" t="s">
        <v>34</v>
      </c>
      <c r="B684" s="19">
        <v>43921</v>
      </c>
      <c r="C684" s="4">
        <v>0</v>
      </c>
      <c r="D684" s="21">
        <v>3</v>
      </c>
      <c r="F684" s="57">
        <f t="shared" si="25"/>
        <v>0</v>
      </c>
    </row>
    <row r="685" spans="1:6" x14ac:dyDescent="0.25">
      <c r="A685" s="5" t="s">
        <v>22</v>
      </c>
      <c r="B685" s="19">
        <v>43921</v>
      </c>
      <c r="C685" s="4">
        <v>0</v>
      </c>
      <c r="D685" s="21">
        <v>1</v>
      </c>
      <c r="E685" s="4">
        <v>1</v>
      </c>
      <c r="F685" s="57">
        <f t="shared" si="25"/>
        <v>1</v>
      </c>
    </row>
    <row r="686" spans="1:6" x14ac:dyDescent="0.25">
      <c r="A686" s="5" t="s">
        <v>18</v>
      </c>
      <c r="B686" s="19">
        <v>43921</v>
      </c>
      <c r="C686" s="4">
        <v>2</v>
      </c>
      <c r="D686" s="21">
        <v>15</v>
      </c>
      <c r="F686" s="57">
        <f t="shared" si="25"/>
        <v>1</v>
      </c>
    </row>
    <row r="687" spans="1:6" x14ac:dyDescent="0.25">
      <c r="A687" s="5" t="s">
        <v>24</v>
      </c>
      <c r="B687" s="19">
        <v>43921</v>
      </c>
      <c r="C687" s="4">
        <v>1</v>
      </c>
      <c r="D687" s="21">
        <v>3</v>
      </c>
      <c r="F687" s="57">
        <f t="shared" si="25"/>
        <v>0</v>
      </c>
    </row>
    <row r="688" spans="1:6" x14ac:dyDescent="0.25">
      <c r="A688" s="5" t="s">
        <v>20</v>
      </c>
      <c r="B688" s="19">
        <v>43921</v>
      </c>
      <c r="C688" s="4">
        <v>0</v>
      </c>
      <c r="D688" s="21">
        <v>20</v>
      </c>
      <c r="F688" s="57">
        <f t="shared" si="25"/>
        <v>1</v>
      </c>
    </row>
    <row r="689" spans="1:6" x14ac:dyDescent="0.25">
      <c r="A689" s="5" t="s">
        <v>19</v>
      </c>
      <c r="B689" s="19">
        <v>43921</v>
      </c>
      <c r="C689" s="4">
        <v>1</v>
      </c>
      <c r="D689" s="21">
        <v>9</v>
      </c>
      <c r="F689" s="57">
        <f t="shared" si="25"/>
        <v>1</v>
      </c>
    </row>
    <row r="690" spans="1:6" x14ac:dyDescent="0.25">
      <c r="A690" s="5" t="s">
        <v>35</v>
      </c>
      <c r="B690" s="19">
        <v>43921</v>
      </c>
      <c r="C690" s="4">
        <v>0</v>
      </c>
      <c r="D690" s="21">
        <v>1</v>
      </c>
      <c r="F690" s="57">
        <f t="shared" si="25"/>
        <v>0</v>
      </c>
    </row>
    <row r="691" spans="1:6" x14ac:dyDescent="0.25">
      <c r="A691" s="5" t="s">
        <v>36</v>
      </c>
      <c r="B691" s="19">
        <v>43921</v>
      </c>
      <c r="C691" s="4">
        <v>0</v>
      </c>
      <c r="D691" s="21">
        <v>1</v>
      </c>
      <c r="F691" s="57">
        <f t="shared" si="25"/>
        <v>0</v>
      </c>
    </row>
    <row r="692" spans="1:6" x14ac:dyDescent="0.25">
      <c r="A692" s="5" t="s">
        <v>37</v>
      </c>
      <c r="B692" s="19">
        <v>43921</v>
      </c>
      <c r="C692" s="4">
        <v>0</v>
      </c>
      <c r="D692" s="21">
        <v>6</v>
      </c>
      <c r="F692" s="57">
        <f t="shared" si="25"/>
        <v>0</v>
      </c>
    </row>
    <row r="693" spans="1:6" x14ac:dyDescent="0.25">
      <c r="A693" s="5" t="s">
        <v>38</v>
      </c>
      <c r="B693" s="19">
        <v>43921</v>
      </c>
      <c r="C693" s="4">
        <v>0</v>
      </c>
      <c r="D693" s="21">
        <v>9</v>
      </c>
      <c r="F693" s="57">
        <f t="shared" si="25"/>
        <v>0</v>
      </c>
    </row>
    <row r="694" spans="1:6" x14ac:dyDescent="0.25">
      <c r="A694" s="5" t="s">
        <v>23</v>
      </c>
      <c r="B694" s="19">
        <v>43921</v>
      </c>
      <c r="C694" s="4">
        <v>22</v>
      </c>
      <c r="D694" s="21">
        <v>133</v>
      </c>
      <c r="F694" s="57">
        <f t="shared" si="25"/>
        <v>0</v>
      </c>
    </row>
    <row r="695" spans="1:6" x14ac:dyDescent="0.25">
      <c r="A695" s="5" t="s">
        <v>39</v>
      </c>
      <c r="B695" s="19">
        <v>43921</v>
      </c>
      <c r="C695" s="4">
        <v>0</v>
      </c>
      <c r="D695" s="21">
        <v>2</v>
      </c>
      <c r="F695" s="57">
        <f t="shared" si="25"/>
        <v>0</v>
      </c>
    </row>
    <row r="696" spans="1:6" x14ac:dyDescent="0.25">
      <c r="A696" s="5" t="s">
        <v>40</v>
      </c>
      <c r="B696" s="19">
        <v>43921</v>
      </c>
      <c r="C696" s="4">
        <v>7</v>
      </c>
      <c r="D696" s="21">
        <v>39</v>
      </c>
      <c r="F696" s="57">
        <f t="shared" si="25"/>
        <v>0</v>
      </c>
    </row>
    <row r="697" spans="1:6" x14ac:dyDescent="0.25">
      <c r="A697" s="5" t="s">
        <v>41</v>
      </c>
      <c r="B697" s="19">
        <v>43921</v>
      </c>
      <c r="C697" s="4">
        <v>1</v>
      </c>
      <c r="D697" s="21">
        <v>16</v>
      </c>
      <c r="F697" s="57">
        <f t="shared" si="25"/>
        <v>1</v>
      </c>
    </row>
    <row r="698" spans="1:6" x14ac:dyDescent="0.25">
      <c r="A698" s="42" t="s">
        <v>17</v>
      </c>
      <c r="B698" s="19">
        <v>43922</v>
      </c>
      <c r="C698" s="4">
        <v>10</v>
      </c>
      <c r="D698" s="21">
        <v>280</v>
      </c>
      <c r="E698" s="4">
        <v>2</v>
      </c>
      <c r="F698" s="57">
        <f>E698+F674</f>
        <v>10</v>
      </c>
    </row>
    <row r="699" spans="1:6" x14ac:dyDescent="0.25">
      <c r="A699" s="5" t="s">
        <v>29</v>
      </c>
      <c r="B699" s="19">
        <v>43922</v>
      </c>
      <c r="C699" s="4">
        <v>0</v>
      </c>
      <c r="D699" s="21">
        <v>0</v>
      </c>
      <c r="F699" s="57">
        <f t="shared" ref="F699:F721" si="26">E699+F675</f>
        <v>0</v>
      </c>
    </row>
    <row r="700" spans="1:6" x14ac:dyDescent="0.25">
      <c r="A700" s="5" t="s">
        <v>16</v>
      </c>
      <c r="B700" s="19">
        <v>43922</v>
      </c>
      <c r="C700" s="4">
        <v>12</v>
      </c>
      <c r="D700" s="21">
        <v>96</v>
      </c>
      <c r="F700" s="57">
        <f t="shared" si="26"/>
        <v>4</v>
      </c>
    </row>
    <row r="701" spans="1:6" x14ac:dyDescent="0.25">
      <c r="A701" s="5" t="s">
        <v>30</v>
      </c>
      <c r="B701" s="19">
        <v>43922</v>
      </c>
      <c r="C701" s="4">
        <v>0</v>
      </c>
      <c r="D701" s="21">
        <v>0</v>
      </c>
      <c r="F701" s="57">
        <f t="shared" si="26"/>
        <v>1</v>
      </c>
    </row>
    <row r="702" spans="1:6" x14ac:dyDescent="0.25">
      <c r="A702" s="5" t="s">
        <v>44</v>
      </c>
      <c r="B702" s="19">
        <v>43922</v>
      </c>
      <c r="C702" s="4">
        <v>10</v>
      </c>
      <c r="D702" s="21">
        <v>321</v>
      </c>
      <c r="E702" s="4">
        <v>1</v>
      </c>
      <c r="F702" s="57">
        <f t="shared" si="26"/>
        <v>6</v>
      </c>
    </row>
    <row r="703" spans="1:6" x14ac:dyDescent="0.25">
      <c r="A703" s="5" t="s">
        <v>21</v>
      </c>
      <c r="B703" s="19">
        <v>43922</v>
      </c>
      <c r="C703" s="4">
        <v>6</v>
      </c>
      <c r="D703" s="21">
        <v>101</v>
      </c>
      <c r="F703" s="57">
        <f t="shared" si="26"/>
        <v>1</v>
      </c>
    </row>
    <row r="704" spans="1:6" x14ac:dyDescent="0.25">
      <c r="A704" s="5" t="s">
        <v>31</v>
      </c>
      <c r="B704" s="19">
        <v>43922</v>
      </c>
      <c r="C704" s="4">
        <v>1</v>
      </c>
      <c r="D704" s="21">
        <v>21</v>
      </c>
      <c r="F704" s="57">
        <f t="shared" si="26"/>
        <v>0</v>
      </c>
    </row>
    <row r="705" spans="1:6" x14ac:dyDescent="0.25">
      <c r="A705" s="5" t="s">
        <v>32</v>
      </c>
      <c r="B705" s="19">
        <v>43922</v>
      </c>
      <c r="C705" s="4">
        <v>1</v>
      </c>
      <c r="D705" s="21">
        <v>14</v>
      </c>
      <c r="F705" s="57">
        <f t="shared" si="26"/>
        <v>0</v>
      </c>
    </row>
    <row r="706" spans="1:6" x14ac:dyDescent="0.25">
      <c r="A706" s="5" t="s">
        <v>42</v>
      </c>
      <c r="B706" s="19">
        <v>43922</v>
      </c>
      <c r="C706" s="4">
        <v>0</v>
      </c>
      <c r="D706" s="21">
        <v>0</v>
      </c>
      <c r="F706" s="57">
        <f t="shared" si="26"/>
        <v>0</v>
      </c>
    </row>
    <row r="707" spans="1:6" x14ac:dyDescent="0.25">
      <c r="A707" s="5" t="s">
        <v>33</v>
      </c>
      <c r="B707" s="19">
        <v>43922</v>
      </c>
      <c r="C707" s="4">
        <v>0</v>
      </c>
      <c r="D707" s="21">
        <v>3</v>
      </c>
      <c r="F707" s="57">
        <f t="shared" si="26"/>
        <v>0</v>
      </c>
    </row>
    <row r="708" spans="1:6" x14ac:dyDescent="0.25">
      <c r="A708" s="5" t="s">
        <v>34</v>
      </c>
      <c r="B708" s="19">
        <v>43922</v>
      </c>
      <c r="C708" s="4">
        <v>0</v>
      </c>
      <c r="D708" s="21">
        <v>3</v>
      </c>
      <c r="F708" s="57">
        <f t="shared" si="26"/>
        <v>0</v>
      </c>
    </row>
    <row r="709" spans="1:6" x14ac:dyDescent="0.25">
      <c r="A709" s="5" t="s">
        <v>22</v>
      </c>
      <c r="B709" s="19">
        <v>43922</v>
      </c>
      <c r="C709" s="4">
        <v>0</v>
      </c>
      <c r="D709" s="21">
        <v>1</v>
      </c>
      <c r="F709" s="57">
        <f t="shared" si="26"/>
        <v>1</v>
      </c>
    </row>
    <row r="710" spans="1:6" x14ac:dyDescent="0.25">
      <c r="A710" s="5" t="s">
        <v>18</v>
      </c>
      <c r="B710" s="19">
        <v>43922</v>
      </c>
      <c r="C710" s="4">
        <v>10</v>
      </c>
      <c r="D710" s="21">
        <v>25</v>
      </c>
      <c r="F710" s="57">
        <f t="shared" si="26"/>
        <v>1</v>
      </c>
    </row>
    <row r="711" spans="1:6" x14ac:dyDescent="0.25">
      <c r="A711" s="5" t="s">
        <v>24</v>
      </c>
      <c r="B711" s="19">
        <v>43922</v>
      </c>
      <c r="C711" s="4">
        <v>0</v>
      </c>
      <c r="D711" s="21">
        <v>3</v>
      </c>
      <c r="F711" s="57">
        <f t="shared" si="26"/>
        <v>0</v>
      </c>
    </row>
    <row r="712" spans="1:6" x14ac:dyDescent="0.25">
      <c r="A712" s="5" t="s">
        <v>20</v>
      </c>
      <c r="B712" s="19">
        <v>43922</v>
      </c>
      <c r="C712" s="4">
        <v>4</v>
      </c>
      <c r="D712" s="21">
        <v>24</v>
      </c>
      <c r="F712" s="57">
        <f t="shared" si="26"/>
        <v>1</v>
      </c>
    </row>
    <row r="713" spans="1:6" x14ac:dyDescent="0.25">
      <c r="A713" s="5" t="s">
        <v>19</v>
      </c>
      <c r="B713" s="19">
        <v>43922</v>
      </c>
      <c r="C713" s="4">
        <v>0</v>
      </c>
      <c r="D713" s="21">
        <v>9</v>
      </c>
      <c r="E713" s="4">
        <v>1</v>
      </c>
      <c r="F713" s="57">
        <f t="shared" si="26"/>
        <v>2</v>
      </c>
    </row>
    <row r="714" spans="1:6" x14ac:dyDescent="0.25">
      <c r="A714" s="5" t="s">
        <v>35</v>
      </c>
      <c r="B714" s="19">
        <v>43922</v>
      </c>
      <c r="C714" s="4">
        <v>2</v>
      </c>
      <c r="D714" s="21">
        <v>3</v>
      </c>
      <c r="F714" s="57">
        <f t="shared" si="26"/>
        <v>0</v>
      </c>
    </row>
    <row r="715" spans="1:6" x14ac:dyDescent="0.25">
      <c r="A715" s="5" t="s">
        <v>36</v>
      </c>
      <c r="B715" s="19">
        <v>43922</v>
      </c>
      <c r="C715" s="4">
        <v>0</v>
      </c>
      <c r="D715" s="21">
        <v>1</v>
      </c>
      <c r="F715" s="57">
        <f t="shared" si="26"/>
        <v>0</v>
      </c>
    </row>
    <row r="716" spans="1:6" x14ac:dyDescent="0.25">
      <c r="A716" s="5" t="s">
        <v>37</v>
      </c>
      <c r="B716" s="19">
        <v>43922</v>
      </c>
      <c r="C716" s="4">
        <v>1</v>
      </c>
      <c r="D716" s="21">
        <v>7</v>
      </c>
      <c r="F716" s="57">
        <f t="shared" si="26"/>
        <v>0</v>
      </c>
    </row>
    <row r="717" spans="1:6" x14ac:dyDescent="0.25">
      <c r="A717" s="5" t="s">
        <v>38</v>
      </c>
      <c r="B717" s="19">
        <v>43922</v>
      </c>
      <c r="C717" s="4">
        <v>10</v>
      </c>
      <c r="D717" s="21">
        <v>19</v>
      </c>
      <c r="F717" s="57">
        <f t="shared" si="26"/>
        <v>0</v>
      </c>
    </row>
    <row r="718" spans="1:6" x14ac:dyDescent="0.25">
      <c r="A718" s="5" t="s">
        <v>23</v>
      </c>
      <c r="B718" s="19">
        <v>43922</v>
      </c>
      <c r="C718" s="4">
        <v>11</v>
      </c>
      <c r="D718" s="21">
        <v>144</v>
      </c>
      <c r="E718" s="4">
        <v>1</v>
      </c>
      <c r="F718" s="57">
        <f>E718+F694</f>
        <v>1</v>
      </c>
    </row>
    <row r="719" spans="1:6" x14ac:dyDescent="0.25">
      <c r="A719" s="5" t="s">
        <v>39</v>
      </c>
      <c r="B719" s="19">
        <v>43922</v>
      </c>
      <c r="C719" s="4">
        <v>0</v>
      </c>
      <c r="D719" s="21">
        <v>2</v>
      </c>
      <c r="F719" s="57">
        <f t="shared" si="26"/>
        <v>0</v>
      </c>
    </row>
    <row r="720" spans="1:6" x14ac:dyDescent="0.25">
      <c r="A720" s="5" t="s">
        <v>40</v>
      </c>
      <c r="B720" s="19">
        <v>43922</v>
      </c>
      <c r="C720" s="4">
        <v>0</v>
      </c>
      <c r="D720" s="21">
        <v>39</v>
      </c>
      <c r="F720" s="57">
        <f t="shared" si="26"/>
        <v>0</v>
      </c>
    </row>
    <row r="721" spans="1:6" x14ac:dyDescent="0.25">
      <c r="A721" s="5" t="s">
        <v>41</v>
      </c>
      <c r="B721" s="19">
        <v>43922</v>
      </c>
      <c r="C721" s="4">
        <v>1</v>
      </c>
      <c r="D721" s="21">
        <v>17</v>
      </c>
      <c r="F721" s="57">
        <f t="shared" si="26"/>
        <v>1</v>
      </c>
    </row>
    <row r="722" spans="1:6" x14ac:dyDescent="0.25">
      <c r="A722" s="42" t="s">
        <v>17</v>
      </c>
      <c r="B722" s="19">
        <v>43923</v>
      </c>
      <c r="C722" s="4">
        <v>36</v>
      </c>
      <c r="D722" s="21">
        <v>316</v>
      </c>
      <c r="E722" s="4">
        <v>2</v>
      </c>
      <c r="F722" s="57">
        <f>E722+F698</f>
        <v>12</v>
      </c>
    </row>
    <row r="723" spans="1:6" x14ac:dyDescent="0.25">
      <c r="A723" s="5" t="s">
        <v>29</v>
      </c>
      <c r="B723" s="19">
        <v>43923</v>
      </c>
      <c r="C723" s="4">
        <v>0</v>
      </c>
      <c r="D723" s="21">
        <v>0</v>
      </c>
      <c r="F723" s="57">
        <f t="shared" ref="F723:F745" si="27">E723+F699</f>
        <v>0</v>
      </c>
    </row>
    <row r="724" spans="1:6" x14ac:dyDescent="0.25">
      <c r="A724" s="5" t="s">
        <v>16</v>
      </c>
      <c r="B724" s="19">
        <v>43923</v>
      </c>
      <c r="C724" s="4">
        <v>3</v>
      </c>
      <c r="D724" s="21">
        <v>99</v>
      </c>
      <c r="E724" s="4">
        <v>1</v>
      </c>
      <c r="F724" s="57">
        <f t="shared" si="27"/>
        <v>5</v>
      </c>
    </row>
    <row r="725" spans="1:6" x14ac:dyDescent="0.25">
      <c r="A725" s="5" t="s">
        <v>30</v>
      </c>
      <c r="B725" s="19">
        <v>43923</v>
      </c>
      <c r="C725" s="4">
        <v>0</v>
      </c>
      <c r="D725" s="21">
        <v>0</v>
      </c>
      <c r="F725" s="57">
        <f t="shared" si="27"/>
        <v>1</v>
      </c>
    </row>
    <row r="726" spans="1:6" x14ac:dyDescent="0.25">
      <c r="A726" s="5" t="s">
        <v>44</v>
      </c>
      <c r="B726" s="19">
        <v>43923</v>
      </c>
      <c r="C726" s="4">
        <v>24</v>
      </c>
      <c r="D726" s="21">
        <v>345</v>
      </c>
      <c r="F726" s="57">
        <f t="shared" si="27"/>
        <v>6</v>
      </c>
    </row>
    <row r="727" spans="1:6" x14ac:dyDescent="0.25">
      <c r="A727" s="5" t="s">
        <v>21</v>
      </c>
      <c r="B727" s="19">
        <v>43923</v>
      </c>
      <c r="C727" s="4">
        <v>16</v>
      </c>
      <c r="D727" s="21">
        <v>117</v>
      </c>
      <c r="F727" s="57">
        <f t="shared" si="27"/>
        <v>1</v>
      </c>
    </row>
    <row r="728" spans="1:6" x14ac:dyDescent="0.25">
      <c r="A728" s="5" t="s">
        <v>31</v>
      </c>
      <c r="B728" s="19">
        <v>43923</v>
      </c>
      <c r="C728" s="4">
        <v>1</v>
      </c>
      <c r="D728" s="21">
        <v>22</v>
      </c>
      <c r="F728" s="57">
        <f t="shared" si="27"/>
        <v>0</v>
      </c>
    </row>
    <row r="729" spans="1:6" x14ac:dyDescent="0.25">
      <c r="A729" s="5" t="s">
        <v>32</v>
      </c>
      <c r="B729" s="19">
        <v>43923</v>
      </c>
      <c r="C729" s="4">
        <v>2</v>
      </c>
      <c r="D729" s="21">
        <v>16</v>
      </c>
      <c r="F729" s="57">
        <f t="shared" si="27"/>
        <v>0</v>
      </c>
    </row>
    <row r="730" spans="1:6" x14ac:dyDescent="0.25">
      <c r="A730" s="5" t="s">
        <v>42</v>
      </c>
      <c r="B730" s="19">
        <v>43923</v>
      </c>
      <c r="C730" s="4">
        <v>0</v>
      </c>
      <c r="D730" s="21">
        <v>0</v>
      </c>
      <c r="F730" s="57">
        <f t="shared" si="27"/>
        <v>0</v>
      </c>
    </row>
    <row r="731" spans="1:6" x14ac:dyDescent="0.25">
      <c r="A731" s="5" t="s">
        <v>33</v>
      </c>
      <c r="B731" s="19">
        <v>43923</v>
      </c>
      <c r="C731" s="4">
        <v>2</v>
      </c>
      <c r="D731" s="21">
        <v>5</v>
      </c>
      <c r="F731" s="57">
        <f t="shared" si="27"/>
        <v>0</v>
      </c>
    </row>
    <row r="732" spans="1:6" x14ac:dyDescent="0.25">
      <c r="A732" s="5" t="s">
        <v>34</v>
      </c>
      <c r="B732" s="19">
        <v>43923</v>
      </c>
      <c r="C732" s="4">
        <v>0</v>
      </c>
      <c r="D732" s="21">
        <v>3</v>
      </c>
      <c r="F732" s="57">
        <f t="shared" si="27"/>
        <v>0</v>
      </c>
    </row>
    <row r="733" spans="1:6" x14ac:dyDescent="0.25">
      <c r="A733" s="5" t="s">
        <v>22</v>
      </c>
      <c r="B733" s="19">
        <v>43923</v>
      </c>
      <c r="C733" s="4">
        <v>3</v>
      </c>
      <c r="D733" s="21">
        <v>4</v>
      </c>
      <c r="F733" s="57">
        <f t="shared" si="27"/>
        <v>1</v>
      </c>
    </row>
    <row r="734" spans="1:6" x14ac:dyDescent="0.25">
      <c r="A734" s="5" t="s">
        <v>18</v>
      </c>
      <c r="B734" s="19">
        <v>43923</v>
      </c>
      <c r="C734" s="4">
        <v>0</v>
      </c>
      <c r="D734" s="21">
        <v>25</v>
      </c>
      <c r="E734" s="4">
        <v>1</v>
      </c>
      <c r="F734" s="57">
        <f t="shared" si="27"/>
        <v>2</v>
      </c>
    </row>
    <row r="735" spans="1:6" x14ac:dyDescent="0.25">
      <c r="A735" s="5" t="s">
        <v>24</v>
      </c>
      <c r="B735" s="19">
        <v>43923</v>
      </c>
      <c r="C735" s="4">
        <v>0</v>
      </c>
      <c r="D735" s="21">
        <v>3</v>
      </c>
      <c r="F735" s="57">
        <f t="shared" si="27"/>
        <v>0</v>
      </c>
    </row>
    <row r="736" spans="1:6" x14ac:dyDescent="0.25">
      <c r="A736" s="5" t="s">
        <v>20</v>
      </c>
      <c r="B736" s="19">
        <v>43923</v>
      </c>
      <c r="C736" s="4">
        <v>4</v>
      </c>
      <c r="D736" s="21">
        <v>28</v>
      </c>
      <c r="F736" s="57">
        <f t="shared" si="27"/>
        <v>1</v>
      </c>
    </row>
    <row r="737" spans="1:6" x14ac:dyDescent="0.25">
      <c r="A737" s="5" t="s">
        <v>19</v>
      </c>
      <c r="B737" s="19">
        <v>43923</v>
      </c>
      <c r="C737" s="4">
        <v>0</v>
      </c>
      <c r="D737" s="21">
        <v>9</v>
      </c>
      <c r="F737" s="57">
        <f t="shared" si="27"/>
        <v>2</v>
      </c>
    </row>
    <row r="738" spans="1:6" x14ac:dyDescent="0.25">
      <c r="A738" s="5" t="s">
        <v>35</v>
      </c>
      <c r="B738" s="19">
        <v>43923</v>
      </c>
      <c r="C738" s="4">
        <v>0</v>
      </c>
      <c r="D738" s="21">
        <v>3</v>
      </c>
      <c r="F738" s="57">
        <f t="shared" si="27"/>
        <v>0</v>
      </c>
    </row>
    <row r="739" spans="1:6" x14ac:dyDescent="0.25">
      <c r="A739" s="5" t="s">
        <v>36</v>
      </c>
      <c r="B739" s="19">
        <v>43923</v>
      </c>
      <c r="C739" s="4">
        <v>0</v>
      </c>
      <c r="D739" s="21">
        <v>1</v>
      </c>
      <c r="F739" s="57">
        <f t="shared" si="27"/>
        <v>0</v>
      </c>
    </row>
    <row r="740" spans="1:6" x14ac:dyDescent="0.25">
      <c r="A740" s="5" t="s">
        <v>37</v>
      </c>
      <c r="B740" s="19">
        <v>43923</v>
      </c>
      <c r="C740" s="4">
        <v>2</v>
      </c>
      <c r="D740" s="21">
        <v>9</v>
      </c>
      <c r="F740" s="57">
        <f t="shared" si="27"/>
        <v>0</v>
      </c>
    </row>
    <row r="741" spans="1:6" x14ac:dyDescent="0.25">
      <c r="A741" s="5" t="s">
        <v>38</v>
      </c>
      <c r="B741" s="19">
        <v>43923</v>
      </c>
      <c r="C741" s="4">
        <v>2</v>
      </c>
      <c r="D741" s="21">
        <v>21</v>
      </c>
      <c r="F741" s="57">
        <f t="shared" si="27"/>
        <v>0</v>
      </c>
    </row>
    <row r="742" spans="1:6" x14ac:dyDescent="0.25">
      <c r="A742" s="5" t="s">
        <v>23</v>
      </c>
      <c r="B742" s="19">
        <v>43923</v>
      </c>
      <c r="C742" s="4">
        <v>8</v>
      </c>
      <c r="D742" s="21">
        <v>152</v>
      </c>
      <c r="F742" s="57">
        <f>E742+F718</f>
        <v>1</v>
      </c>
    </row>
    <row r="743" spans="1:6" x14ac:dyDescent="0.25">
      <c r="A743" s="5" t="s">
        <v>39</v>
      </c>
      <c r="B743" s="19">
        <v>43923</v>
      </c>
      <c r="C743" s="4">
        <v>1</v>
      </c>
      <c r="D743" s="21">
        <v>3</v>
      </c>
      <c r="F743" s="57">
        <f t="shared" si="27"/>
        <v>0</v>
      </c>
    </row>
    <row r="744" spans="1:6" x14ac:dyDescent="0.25">
      <c r="A744" s="5" t="s">
        <v>40</v>
      </c>
      <c r="B744" s="19">
        <v>43923</v>
      </c>
      <c r="C744" s="4">
        <v>24</v>
      </c>
      <c r="D744" s="21">
        <v>63</v>
      </c>
      <c r="F744" s="57">
        <f t="shared" si="27"/>
        <v>0</v>
      </c>
    </row>
    <row r="745" spans="1:6" x14ac:dyDescent="0.25">
      <c r="A745" s="5" t="s">
        <v>41</v>
      </c>
      <c r="B745" s="19">
        <v>43923</v>
      </c>
      <c r="C745" s="4">
        <v>4</v>
      </c>
      <c r="D745" s="21">
        <v>21</v>
      </c>
      <c r="F745" s="57">
        <f t="shared" si="27"/>
        <v>1</v>
      </c>
    </row>
    <row r="746" spans="1:6" x14ac:dyDescent="0.25">
      <c r="A746" s="42" t="s">
        <v>17</v>
      </c>
      <c r="B746" s="19">
        <v>43924</v>
      </c>
      <c r="C746" s="4">
        <v>22</v>
      </c>
      <c r="D746" s="21">
        <v>338</v>
      </c>
      <c r="E746" s="4">
        <v>3</v>
      </c>
      <c r="F746" s="57">
        <f>E746+F722</f>
        <v>15</v>
      </c>
    </row>
    <row r="747" spans="1:6" x14ac:dyDescent="0.25">
      <c r="A747" s="5" t="s">
        <v>29</v>
      </c>
      <c r="B747" s="19">
        <v>43924</v>
      </c>
      <c r="C747" s="4">
        <v>0</v>
      </c>
      <c r="D747" s="21">
        <v>0</v>
      </c>
      <c r="F747" s="57">
        <f t="shared" ref="F747:F769" si="28">E747+F723</f>
        <v>0</v>
      </c>
    </row>
    <row r="748" spans="1:6" x14ac:dyDescent="0.25">
      <c r="A748" s="5" t="s">
        <v>16</v>
      </c>
      <c r="B748" s="19">
        <v>43924</v>
      </c>
      <c r="C748" s="4">
        <v>8</v>
      </c>
      <c r="D748" s="21">
        <v>107</v>
      </c>
      <c r="E748" s="4">
        <v>1</v>
      </c>
      <c r="F748" s="57">
        <f t="shared" si="28"/>
        <v>6</v>
      </c>
    </row>
    <row r="749" spans="1:6" x14ac:dyDescent="0.25">
      <c r="A749" s="5" t="s">
        <v>30</v>
      </c>
      <c r="B749" s="19">
        <v>43924</v>
      </c>
      <c r="C749" s="4">
        <v>0</v>
      </c>
      <c r="D749" s="21">
        <v>0</v>
      </c>
      <c r="F749" s="57">
        <f t="shared" si="28"/>
        <v>1</v>
      </c>
    </row>
    <row r="750" spans="1:6" x14ac:dyDescent="0.25">
      <c r="A750" s="5" t="s">
        <v>44</v>
      </c>
      <c r="B750" s="19">
        <v>43924</v>
      </c>
      <c r="C750" s="4">
        <v>28</v>
      </c>
      <c r="D750" s="21">
        <v>373</v>
      </c>
      <c r="F750" s="57">
        <f t="shared" si="28"/>
        <v>6</v>
      </c>
    </row>
    <row r="751" spans="1:6" x14ac:dyDescent="0.25">
      <c r="A751" s="5" t="s">
        <v>21</v>
      </c>
      <c r="B751" s="19">
        <v>43924</v>
      </c>
      <c r="C751" s="4">
        <v>14</v>
      </c>
      <c r="D751" s="21">
        <v>131</v>
      </c>
      <c r="F751" s="57">
        <f t="shared" si="28"/>
        <v>1</v>
      </c>
    </row>
    <row r="752" spans="1:6" x14ac:dyDescent="0.25">
      <c r="A752" s="5" t="s">
        <v>31</v>
      </c>
      <c r="B752" s="19">
        <v>43924</v>
      </c>
      <c r="C752" s="4">
        <v>0</v>
      </c>
      <c r="D752" s="21">
        <v>22</v>
      </c>
      <c r="F752" s="57">
        <f t="shared" si="28"/>
        <v>0</v>
      </c>
    </row>
    <row r="753" spans="1:6" x14ac:dyDescent="0.25">
      <c r="A753" s="5" t="s">
        <v>32</v>
      </c>
      <c r="B753" s="19">
        <v>43924</v>
      </c>
      <c r="C753" s="4">
        <v>2</v>
      </c>
      <c r="D753" s="21">
        <v>18</v>
      </c>
      <c r="F753" s="57">
        <f t="shared" si="28"/>
        <v>0</v>
      </c>
    </row>
    <row r="754" spans="1:6" x14ac:dyDescent="0.25">
      <c r="A754" s="5" t="s">
        <v>42</v>
      </c>
      <c r="B754" s="19">
        <v>43924</v>
      </c>
      <c r="C754" s="4">
        <v>0</v>
      </c>
      <c r="D754" s="21">
        <v>0</v>
      </c>
      <c r="F754" s="57">
        <f t="shared" si="28"/>
        <v>0</v>
      </c>
    </row>
    <row r="755" spans="1:6" x14ac:dyDescent="0.25">
      <c r="A755" s="5" t="s">
        <v>33</v>
      </c>
      <c r="B755" s="19">
        <v>43924</v>
      </c>
      <c r="C755" s="4">
        <v>0</v>
      </c>
      <c r="D755" s="21">
        <v>5</v>
      </c>
      <c r="F755" s="57">
        <f t="shared" si="28"/>
        <v>0</v>
      </c>
    </row>
    <row r="756" spans="1:6" x14ac:dyDescent="0.25">
      <c r="A756" s="5" t="s">
        <v>34</v>
      </c>
      <c r="B756" s="19">
        <v>43924</v>
      </c>
      <c r="C756" s="4">
        <v>0</v>
      </c>
      <c r="D756" s="21">
        <v>3</v>
      </c>
      <c r="F756" s="57">
        <f t="shared" si="28"/>
        <v>0</v>
      </c>
    </row>
    <row r="757" spans="1:6" x14ac:dyDescent="0.25">
      <c r="A757" s="5" t="s">
        <v>22</v>
      </c>
      <c r="B757" s="19">
        <v>43924</v>
      </c>
      <c r="C757" s="4">
        <v>0</v>
      </c>
      <c r="D757" s="21">
        <v>4</v>
      </c>
      <c r="F757" s="57">
        <f t="shared" si="28"/>
        <v>1</v>
      </c>
    </row>
    <row r="758" spans="1:6" x14ac:dyDescent="0.25">
      <c r="A758" s="5" t="s">
        <v>18</v>
      </c>
      <c r="B758" s="19">
        <v>43924</v>
      </c>
      <c r="C758" s="4">
        <v>2</v>
      </c>
      <c r="D758" s="21">
        <v>27</v>
      </c>
      <c r="E758" s="4">
        <v>1</v>
      </c>
      <c r="F758" s="57">
        <f t="shared" si="28"/>
        <v>3</v>
      </c>
    </row>
    <row r="759" spans="1:6" x14ac:dyDescent="0.25">
      <c r="A759" s="5" t="s">
        <v>24</v>
      </c>
      <c r="B759" s="19">
        <v>43924</v>
      </c>
      <c r="C759" s="4">
        <v>0</v>
      </c>
      <c r="D759" s="21">
        <v>3</v>
      </c>
      <c r="F759" s="57">
        <f t="shared" si="28"/>
        <v>0</v>
      </c>
    </row>
    <row r="760" spans="1:6" x14ac:dyDescent="0.25">
      <c r="A760" s="5" t="s">
        <v>20</v>
      </c>
      <c r="B760" s="19">
        <v>43924</v>
      </c>
      <c r="C760" s="4">
        <v>1</v>
      </c>
      <c r="D760" s="21">
        <v>29</v>
      </c>
      <c r="F760" s="57">
        <f t="shared" si="28"/>
        <v>1</v>
      </c>
    </row>
    <row r="761" spans="1:6" x14ac:dyDescent="0.25">
      <c r="A761" s="5" t="s">
        <v>19</v>
      </c>
      <c r="B761" s="19">
        <v>43924</v>
      </c>
      <c r="C761" s="4">
        <v>1</v>
      </c>
      <c r="D761" s="21">
        <v>10</v>
      </c>
      <c r="F761" s="57">
        <f t="shared" si="28"/>
        <v>2</v>
      </c>
    </row>
    <row r="762" spans="1:6" x14ac:dyDescent="0.25">
      <c r="A762" s="5" t="s">
        <v>35</v>
      </c>
      <c r="B762" s="19">
        <v>43924</v>
      </c>
      <c r="C762" s="4">
        <v>0</v>
      </c>
      <c r="D762" s="21">
        <v>3</v>
      </c>
      <c r="F762" s="57">
        <f t="shared" si="28"/>
        <v>0</v>
      </c>
    </row>
    <row r="763" spans="1:6" x14ac:dyDescent="0.25">
      <c r="A763" s="5" t="s">
        <v>36</v>
      </c>
      <c r="B763" s="19">
        <v>43924</v>
      </c>
      <c r="C763" s="4">
        <v>0</v>
      </c>
      <c r="D763" s="21">
        <v>1</v>
      </c>
      <c r="F763" s="57">
        <f t="shared" si="28"/>
        <v>0</v>
      </c>
    </row>
    <row r="764" spans="1:6" x14ac:dyDescent="0.25">
      <c r="A764" s="5" t="s">
        <v>37</v>
      </c>
      <c r="B764" s="19">
        <v>43924</v>
      </c>
      <c r="C764" s="4">
        <v>1</v>
      </c>
      <c r="D764" s="21">
        <v>10</v>
      </c>
      <c r="F764" s="57">
        <f t="shared" si="28"/>
        <v>0</v>
      </c>
    </row>
    <row r="765" spans="1:6" x14ac:dyDescent="0.25">
      <c r="A765" s="5" t="s">
        <v>38</v>
      </c>
      <c r="B765" s="19">
        <v>43924</v>
      </c>
      <c r="C765" s="4">
        <v>0</v>
      </c>
      <c r="D765" s="21">
        <v>21</v>
      </c>
      <c r="F765" s="57">
        <f t="shared" si="28"/>
        <v>0</v>
      </c>
    </row>
    <row r="766" spans="1:6" x14ac:dyDescent="0.25">
      <c r="A766" s="5" t="s">
        <v>23</v>
      </c>
      <c r="B766" s="19">
        <v>43924</v>
      </c>
      <c r="C766" s="4">
        <v>8</v>
      </c>
      <c r="D766" s="21">
        <v>160</v>
      </c>
      <c r="F766" s="57">
        <f>E766+F742</f>
        <v>1</v>
      </c>
    </row>
    <row r="767" spans="1:6" x14ac:dyDescent="0.25">
      <c r="A767" s="5" t="s">
        <v>39</v>
      </c>
      <c r="B767" s="19">
        <v>43924</v>
      </c>
      <c r="C767" s="4">
        <v>0</v>
      </c>
      <c r="D767" s="21">
        <v>3</v>
      </c>
      <c r="F767" s="57">
        <f t="shared" si="28"/>
        <v>0</v>
      </c>
    </row>
    <row r="768" spans="1:6" x14ac:dyDescent="0.25">
      <c r="A768" s="5" t="s">
        <v>40</v>
      </c>
      <c r="B768" s="19">
        <v>43924</v>
      </c>
      <c r="C768" s="4">
        <v>1</v>
      </c>
      <c r="D768" s="21">
        <v>64</v>
      </c>
      <c r="F768" s="57">
        <f t="shared" si="28"/>
        <v>0</v>
      </c>
    </row>
    <row r="769" spans="1:6" x14ac:dyDescent="0.25">
      <c r="A769" s="5" t="s">
        <v>41</v>
      </c>
      <c r="B769" s="19">
        <v>43924</v>
      </c>
      <c r="C769" s="4">
        <v>0</v>
      </c>
      <c r="D769" s="21">
        <v>21</v>
      </c>
      <c r="F769" s="57">
        <f t="shared" si="28"/>
        <v>1</v>
      </c>
    </row>
    <row r="770" spans="1:6" x14ac:dyDescent="0.25">
      <c r="A770" s="42" t="s">
        <v>17</v>
      </c>
      <c r="B770" s="19">
        <v>43925</v>
      </c>
      <c r="C770" s="4">
        <v>26</v>
      </c>
      <c r="D770" s="21">
        <v>364</v>
      </c>
      <c r="E770" s="4">
        <v>1</v>
      </c>
      <c r="F770" s="57">
        <f>E770+F746</f>
        <v>16</v>
      </c>
    </row>
    <row r="771" spans="1:6" x14ac:dyDescent="0.25">
      <c r="A771" s="5" t="s">
        <v>29</v>
      </c>
      <c r="B771" s="19">
        <v>43925</v>
      </c>
      <c r="C771" s="4">
        <v>0</v>
      </c>
      <c r="D771" s="21">
        <v>0</v>
      </c>
      <c r="F771" s="57">
        <f t="shared" ref="F771:F793" si="29">E771+F747</f>
        <v>0</v>
      </c>
    </row>
    <row r="772" spans="1:6" x14ac:dyDescent="0.25">
      <c r="A772" s="5" t="s">
        <v>16</v>
      </c>
      <c r="B772" s="19">
        <v>43925</v>
      </c>
      <c r="C772" s="4">
        <v>8</v>
      </c>
      <c r="D772" s="21">
        <v>115</v>
      </c>
      <c r="F772" s="57">
        <f t="shared" si="29"/>
        <v>6</v>
      </c>
    </row>
    <row r="773" spans="1:6" x14ac:dyDescent="0.25">
      <c r="A773" s="5" t="s">
        <v>30</v>
      </c>
      <c r="B773" s="19">
        <v>43925</v>
      </c>
      <c r="C773" s="4">
        <v>0</v>
      </c>
      <c r="D773" s="21">
        <v>0</v>
      </c>
      <c r="F773" s="57">
        <f t="shared" si="29"/>
        <v>1</v>
      </c>
    </row>
    <row r="774" spans="1:6" x14ac:dyDescent="0.25">
      <c r="A774" s="5" t="s">
        <v>44</v>
      </c>
      <c r="B774" s="19">
        <v>43925</v>
      </c>
      <c r="C774" s="4">
        <v>34</v>
      </c>
      <c r="D774" s="21">
        <v>407</v>
      </c>
      <c r="E774" s="4">
        <v>1</v>
      </c>
      <c r="F774" s="57">
        <f t="shared" si="29"/>
        <v>7</v>
      </c>
    </row>
    <row r="775" spans="1:6" x14ac:dyDescent="0.25">
      <c r="A775" s="5" t="s">
        <v>21</v>
      </c>
      <c r="B775" s="19">
        <v>43925</v>
      </c>
      <c r="C775" s="4">
        <v>3</v>
      </c>
      <c r="D775" s="21">
        <v>134</v>
      </c>
      <c r="F775" s="57">
        <f t="shared" si="29"/>
        <v>1</v>
      </c>
    </row>
    <row r="776" spans="1:6" x14ac:dyDescent="0.25">
      <c r="A776" s="5" t="s">
        <v>31</v>
      </c>
      <c r="B776" s="19">
        <v>43925</v>
      </c>
      <c r="C776" s="4">
        <v>0</v>
      </c>
      <c r="D776" s="21">
        <v>22</v>
      </c>
      <c r="F776" s="57">
        <f t="shared" si="29"/>
        <v>0</v>
      </c>
    </row>
    <row r="777" spans="1:6" x14ac:dyDescent="0.25">
      <c r="A777" s="5" t="s">
        <v>32</v>
      </c>
      <c r="B777" s="19">
        <v>43925</v>
      </c>
      <c r="C777" s="4">
        <v>0</v>
      </c>
      <c r="D777" s="21">
        <v>18</v>
      </c>
      <c r="F777" s="57">
        <f t="shared" si="29"/>
        <v>0</v>
      </c>
    </row>
    <row r="778" spans="1:6" x14ac:dyDescent="0.25">
      <c r="A778" s="5" t="s">
        <v>42</v>
      </c>
      <c r="B778" s="19">
        <v>43925</v>
      </c>
      <c r="C778" s="4">
        <v>0</v>
      </c>
      <c r="D778" s="21">
        <v>0</v>
      </c>
      <c r="F778" s="57">
        <f t="shared" si="29"/>
        <v>0</v>
      </c>
    </row>
    <row r="779" spans="1:6" x14ac:dyDescent="0.25">
      <c r="A779" s="5" t="s">
        <v>33</v>
      </c>
      <c r="B779" s="19">
        <v>43925</v>
      </c>
      <c r="C779" s="4">
        <v>0</v>
      </c>
      <c r="D779" s="21">
        <v>5</v>
      </c>
      <c r="F779" s="57">
        <f t="shared" si="29"/>
        <v>0</v>
      </c>
    </row>
    <row r="780" spans="1:6" x14ac:dyDescent="0.25">
      <c r="A780" s="5" t="s">
        <v>34</v>
      </c>
      <c r="B780" s="19">
        <v>43925</v>
      </c>
      <c r="C780" s="4">
        <v>0</v>
      </c>
      <c r="D780" s="21">
        <v>3</v>
      </c>
      <c r="F780" s="57">
        <f t="shared" si="29"/>
        <v>0</v>
      </c>
    </row>
    <row r="781" spans="1:6" x14ac:dyDescent="0.25">
      <c r="A781" s="5" t="s">
        <v>22</v>
      </c>
      <c r="B781" s="19">
        <v>43925</v>
      </c>
      <c r="C781" s="4">
        <v>2</v>
      </c>
      <c r="D781" s="21">
        <v>6</v>
      </c>
      <c r="F781" s="57">
        <f t="shared" si="29"/>
        <v>1</v>
      </c>
    </row>
    <row r="782" spans="1:6" x14ac:dyDescent="0.25">
      <c r="A782" s="5" t="s">
        <v>18</v>
      </c>
      <c r="B782" s="19">
        <v>43925</v>
      </c>
      <c r="C782" s="4">
        <v>0</v>
      </c>
      <c r="D782" s="21">
        <v>27</v>
      </c>
      <c r="F782" s="57">
        <f t="shared" si="29"/>
        <v>3</v>
      </c>
    </row>
    <row r="783" spans="1:6" x14ac:dyDescent="0.25">
      <c r="A783" s="5" t="s">
        <v>24</v>
      </c>
      <c r="B783" s="19">
        <v>43925</v>
      </c>
      <c r="C783" s="4">
        <v>0</v>
      </c>
      <c r="D783" s="21">
        <v>3</v>
      </c>
      <c r="F783" s="57">
        <f t="shared" si="29"/>
        <v>0</v>
      </c>
    </row>
    <row r="784" spans="1:6" x14ac:dyDescent="0.25">
      <c r="A784" s="5" t="s">
        <v>20</v>
      </c>
      <c r="B784" s="19">
        <v>43925</v>
      </c>
      <c r="C784" s="4">
        <v>4</v>
      </c>
      <c r="D784" s="21">
        <v>33</v>
      </c>
      <c r="F784" s="57">
        <f t="shared" si="29"/>
        <v>1</v>
      </c>
    </row>
    <row r="785" spans="1:6" x14ac:dyDescent="0.25">
      <c r="A785" s="5" t="s">
        <v>19</v>
      </c>
      <c r="B785" s="19">
        <v>43925</v>
      </c>
      <c r="C785" s="4">
        <v>5</v>
      </c>
      <c r="D785" s="21">
        <v>15</v>
      </c>
      <c r="F785" s="57">
        <f t="shared" si="29"/>
        <v>2</v>
      </c>
    </row>
    <row r="786" spans="1:6" x14ac:dyDescent="0.25">
      <c r="A786" s="5" t="s">
        <v>35</v>
      </c>
      <c r="B786" s="19">
        <v>43925</v>
      </c>
      <c r="C786" s="4">
        <v>0</v>
      </c>
      <c r="D786" s="21">
        <v>3</v>
      </c>
      <c r="F786" s="57">
        <f t="shared" si="29"/>
        <v>0</v>
      </c>
    </row>
    <row r="787" spans="1:6" x14ac:dyDescent="0.25">
      <c r="A787" s="5" t="s">
        <v>36</v>
      </c>
      <c r="B787" s="19">
        <v>43925</v>
      </c>
      <c r="C787" s="4">
        <v>0</v>
      </c>
      <c r="D787" s="21">
        <v>1</v>
      </c>
      <c r="F787" s="57">
        <f t="shared" si="29"/>
        <v>0</v>
      </c>
    </row>
    <row r="788" spans="1:6" x14ac:dyDescent="0.25">
      <c r="A788" s="5" t="s">
        <v>37</v>
      </c>
      <c r="B788" s="19">
        <v>43925</v>
      </c>
      <c r="C788" s="4">
        <v>0</v>
      </c>
      <c r="D788" s="21">
        <v>10</v>
      </c>
      <c r="F788" s="57">
        <f t="shared" si="29"/>
        <v>0</v>
      </c>
    </row>
    <row r="789" spans="1:6" x14ac:dyDescent="0.25">
      <c r="A789" s="5" t="s">
        <v>38</v>
      </c>
      <c r="B789" s="19">
        <v>43925</v>
      </c>
      <c r="C789" s="4">
        <v>1</v>
      </c>
      <c r="D789" s="21">
        <v>22</v>
      </c>
      <c r="F789" s="57">
        <f t="shared" si="29"/>
        <v>0</v>
      </c>
    </row>
    <row r="790" spans="1:6" x14ac:dyDescent="0.25">
      <c r="A790" s="5" t="s">
        <v>23</v>
      </c>
      <c r="B790" s="19">
        <v>43925</v>
      </c>
      <c r="C790" s="4">
        <v>5</v>
      </c>
      <c r="D790" s="21">
        <v>165</v>
      </c>
      <c r="F790" s="57">
        <f>E790+F766</f>
        <v>1</v>
      </c>
    </row>
    <row r="791" spans="1:6" x14ac:dyDescent="0.25">
      <c r="A791" s="5" t="s">
        <v>39</v>
      </c>
      <c r="B791" s="19">
        <v>43925</v>
      </c>
      <c r="C791" s="4">
        <v>1</v>
      </c>
      <c r="D791" s="21">
        <v>4</v>
      </c>
      <c r="F791" s="57">
        <f t="shared" si="29"/>
        <v>0</v>
      </c>
    </row>
    <row r="792" spans="1:6" x14ac:dyDescent="0.25">
      <c r="A792" s="5" t="s">
        <v>40</v>
      </c>
      <c r="B792" s="19">
        <v>43925</v>
      </c>
      <c r="C792" s="4">
        <v>8</v>
      </c>
      <c r="D792" s="21">
        <v>72</v>
      </c>
      <c r="F792" s="57">
        <f t="shared" si="29"/>
        <v>0</v>
      </c>
    </row>
    <row r="793" spans="1:6" x14ac:dyDescent="0.25">
      <c r="A793" s="5" t="s">
        <v>41</v>
      </c>
      <c r="B793" s="19">
        <v>43925</v>
      </c>
      <c r="C793" s="4">
        <v>1</v>
      </c>
      <c r="D793" s="21">
        <v>22</v>
      </c>
      <c r="F793" s="57">
        <f t="shared" si="29"/>
        <v>1</v>
      </c>
    </row>
    <row r="794" spans="1:6" x14ac:dyDescent="0.25">
      <c r="A794" s="42" t="s">
        <v>17</v>
      </c>
      <c r="B794" s="19">
        <v>43926</v>
      </c>
      <c r="C794" s="4">
        <v>33</v>
      </c>
      <c r="D794" s="21">
        <v>397</v>
      </c>
      <c r="E794" s="4">
        <v>1</v>
      </c>
      <c r="F794" s="57">
        <f>E794+F770</f>
        <v>17</v>
      </c>
    </row>
    <row r="795" spans="1:6" x14ac:dyDescent="0.25">
      <c r="A795" s="5" t="s">
        <v>29</v>
      </c>
      <c r="B795" s="19">
        <v>43926</v>
      </c>
      <c r="C795" s="4">
        <v>0</v>
      </c>
      <c r="D795" s="21">
        <v>0</v>
      </c>
      <c r="F795" s="57">
        <f t="shared" ref="F795:F817" si="30">E795+F771</f>
        <v>0</v>
      </c>
    </row>
    <row r="796" spans="1:6" x14ac:dyDescent="0.25">
      <c r="A796" s="5" t="s">
        <v>16</v>
      </c>
      <c r="B796" s="19">
        <v>43926</v>
      </c>
      <c r="C796" s="4">
        <v>0</v>
      </c>
      <c r="D796" s="21">
        <v>115</v>
      </c>
      <c r="F796" s="57">
        <f t="shared" si="30"/>
        <v>6</v>
      </c>
    </row>
    <row r="797" spans="1:6" x14ac:dyDescent="0.25">
      <c r="A797" s="5" t="s">
        <v>30</v>
      </c>
      <c r="B797" s="19">
        <v>43926</v>
      </c>
      <c r="C797" s="4">
        <v>0</v>
      </c>
      <c r="D797" s="21">
        <v>0</v>
      </c>
      <c r="F797" s="57">
        <f t="shared" si="30"/>
        <v>1</v>
      </c>
    </row>
    <row r="798" spans="1:6" x14ac:dyDescent="0.25">
      <c r="A798" s="5" t="s">
        <v>44</v>
      </c>
      <c r="B798" s="19">
        <v>43926</v>
      </c>
      <c r="C798" s="4">
        <v>32</v>
      </c>
      <c r="D798" s="21">
        <v>439</v>
      </c>
      <c r="F798" s="57">
        <f>E798+F774</f>
        <v>7</v>
      </c>
    </row>
    <row r="799" spans="1:6" x14ac:dyDescent="0.25">
      <c r="A799" s="5" t="s">
        <v>21</v>
      </c>
      <c r="B799" s="19">
        <v>43926</v>
      </c>
      <c r="C799" s="4">
        <v>5</v>
      </c>
      <c r="D799" s="21">
        <v>139</v>
      </c>
      <c r="E799" s="4">
        <v>1</v>
      </c>
      <c r="F799" s="57">
        <f t="shared" si="30"/>
        <v>2</v>
      </c>
    </row>
    <row r="800" spans="1:6" x14ac:dyDescent="0.25">
      <c r="A800" s="5" t="s">
        <v>31</v>
      </c>
      <c r="B800" s="19">
        <v>43926</v>
      </c>
      <c r="C800" s="4">
        <v>0</v>
      </c>
      <c r="D800" s="21">
        <v>22</v>
      </c>
      <c r="F800" s="57">
        <f t="shared" si="30"/>
        <v>0</v>
      </c>
    </row>
    <row r="801" spans="1:6" x14ac:dyDescent="0.25">
      <c r="A801" s="5" t="s">
        <v>32</v>
      </c>
      <c r="B801" s="19">
        <v>43926</v>
      </c>
      <c r="C801" s="4">
        <v>1</v>
      </c>
      <c r="D801" s="21">
        <v>19</v>
      </c>
      <c r="F801" s="57">
        <f t="shared" si="30"/>
        <v>0</v>
      </c>
    </row>
    <row r="802" spans="1:6" x14ac:dyDescent="0.25">
      <c r="A802" s="5" t="s">
        <v>42</v>
      </c>
      <c r="B802" s="19">
        <v>43926</v>
      </c>
      <c r="C802" s="4">
        <v>0</v>
      </c>
      <c r="D802" s="21">
        <v>0</v>
      </c>
      <c r="F802" s="57">
        <f t="shared" si="30"/>
        <v>0</v>
      </c>
    </row>
    <row r="803" spans="1:6" x14ac:dyDescent="0.25">
      <c r="A803" s="5" t="s">
        <v>33</v>
      </c>
      <c r="B803" s="19">
        <v>43926</v>
      </c>
      <c r="C803" s="4">
        <v>0</v>
      </c>
      <c r="D803" s="21">
        <v>5</v>
      </c>
      <c r="F803" s="57">
        <f t="shared" si="30"/>
        <v>0</v>
      </c>
    </row>
    <row r="804" spans="1:6" x14ac:dyDescent="0.25">
      <c r="A804" s="5" t="s">
        <v>34</v>
      </c>
      <c r="B804" s="19">
        <v>43926</v>
      </c>
      <c r="C804" s="4">
        <v>0</v>
      </c>
      <c r="D804" s="21">
        <v>3</v>
      </c>
      <c r="F804" s="57">
        <f t="shared" si="30"/>
        <v>0</v>
      </c>
    </row>
    <row r="805" spans="1:6" x14ac:dyDescent="0.25">
      <c r="A805" s="5" t="s">
        <v>22</v>
      </c>
      <c r="B805" s="19">
        <v>43926</v>
      </c>
      <c r="C805" s="4">
        <v>2</v>
      </c>
      <c r="D805" s="21">
        <v>8</v>
      </c>
      <c r="F805" s="57">
        <f t="shared" si="30"/>
        <v>1</v>
      </c>
    </row>
    <row r="806" spans="1:6" x14ac:dyDescent="0.25">
      <c r="A806" s="5" t="s">
        <v>18</v>
      </c>
      <c r="B806" s="19">
        <v>43926</v>
      </c>
      <c r="C806" s="4">
        <v>2</v>
      </c>
      <c r="D806" s="21">
        <v>29</v>
      </c>
      <c r="F806" s="57">
        <f t="shared" si="30"/>
        <v>3</v>
      </c>
    </row>
    <row r="807" spans="1:6" x14ac:dyDescent="0.25">
      <c r="A807" s="5" t="s">
        <v>24</v>
      </c>
      <c r="B807" s="19">
        <v>43926</v>
      </c>
      <c r="C807" s="4">
        <v>0</v>
      </c>
      <c r="D807" s="21">
        <v>3</v>
      </c>
      <c r="F807" s="57">
        <f t="shared" si="30"/>
        <v>0</v>
      </c>
    </row>
    <row r="808" spans="1:6" x14ac:dyDescent="0.25">
      <c r="A808" s="5" t="s">
        <v>20</v>
      </c>
      <c r="B808" s="19">
        <v>43926</v>
      </c>
      <c r="C808" s="4">
        <v>11</v>
      </c>
      <c r="D808" s="21">
        <v>44</v>
      </c>
      <c r="F808" s="57">
        <f t="shared" si="30"/>
        <v>1</v>
      </c>
    </row>
    <row r="809" spans="1:6" x14ac:dyDescent="0.25">
      <c r="A809" s="5" t="s">
        <v>19</v>
      </c>
      <c r="B809" s="19">
        <v>43926</v>
      </c>
      <c r="C809" s="4">
        <v>2</v>
      </c>
      <c r="D809" s="21">
        <v>17</v>
      </c>
      <c r="F809" s="57">
        <f t="shared" si="30"/>
        <v>2</v>
      </c>
    </row>
    <row r="810" spans="1:6" x14ac:dyDescent="0.25">
      <c r="A810" s="5" t="s">
        <v>35</v>
      </c>
      <c r="B810" s="19">
        <v>43926</v>
      </c>
      <c r="C810" s="4">
        <v>0</v>
      </c>
      <c r="D810" s="21">
        <v>3</v>
      </c>
      <c r="F810" s="57">
        <f t="shared" si="30"/>
        <v>0</v>
      </c>
    </row>
    <row r="811" spans="1:6" x14ac:dyDescent="0.25">
      <c r="A811" s="5" t="s">
        <v>36</v>
      </c>
      <c r="B811" s="19">
        <v>43926</v>
      </c>
      <c r="C811" s="4">
        <v>0</v>
      </c>
      <c r="D811" s="21">
        <v>1</v>
      </c>
      <c r="F811" s="57">
        <f t="shared" si="30"/>
        <v>0</v>
      </c>
    </row>
    <row r="812" spans="1:6" x14ac:dyDescent="0.25">
      <c r="A812" s="5" t="s">
        <v>37</v>
      </c>
      <c r="B812" s="19">
        <v>43926</v>
      </c>
      <c r="C812" s="4">
        <v>0</v>
      </c>
      <c r="D812" s="21">
        <v>10</v>
      </c>
      <c r="F812" s="57">
        <f t="shared" si="30"/>
        <v>0</v>
      </c>
    </row>
    <row r="813" spans="1:6" x14ac:dyDescent="0.25">
      <c r="A813" s="5" t="s">
        <v>38</v>
      </c>
      <c r="B813" s="19">
        <v>43926</v>
      </c>
      <c r="C813" s="4">
        <v>1</v>
      </c>
      <c r="D813" s="21">
        <v>23</v>
      </c>
      <c r="F813" s="57">
        <f t="shared" si="30"/>
        <v>0</v>
      </c>
    </row>
    <row r="814" spans="1:6" x14ac:dyDescent="0.25">
      <c r="A814" s="5" t="s">
        <v>23</v>
      </c>
      <c r="B814" s="19">
        <v>43926</v>
      </c>
      <c r="C814" s="4">
        <v>11</v>
      </c>
      <c r="D814" s="21">
        <v>176</v>
      </c>
      <c r="F814" s="57">
        <f>E814+F790</f>
        <v>1</v>
      </c>
    </row>
    <row r="815" spans="1:6" x14ac:dyDescent="0.25">
      <c r="A815" s="5" t="s">
        <v>39</v>
      </c>
      <c r="B815" s="19">
        <v>43926</v>
      </c>
      <c r="C815" s="4">
        <v>0</v>
      </c>
      <c r="D815" s="21">
        <v>4</v>
      </c>
      <c r="F815" s="57">
        <f t="shared" si="30"/>
        <v>0</v>
      </c>
    </row>
    <row r="816" spans="1:6" x14ac:dyDescent="0.25">
      <c r="A816" s="5" t="s">
        <v>40</v>
      </c>
      <c r="B816" s="19">
        <v>43926</v>
      </c>
      <c r="C816" s="4">
        <v>3</v>
      </c>
      <c r="D816" s="21">
        <v>75</v>
      </c>
      <c r="F816" s="57">
        <f t="shared" si="30"/>
        <v>0</v>
      </c>
    </row>
    <row r="817" spans="1:6" x14ac:dyDescent="0.25">
      <c r="A817" s="5" t="s">
        <v>41</v>
      </c>
      <c r="B817" s="19">
        <v>43926</v>
      </c>
      <c r="C817" s="4">
        <v>0</v>
      </c>
      <c r="D817" s="21">
        <v>22</v>
      </c>
      <c r="F817" s="57">
        <f t="shared" si="30"/>
        <v>1</v>
      </c>
    </row>
    <row r="818" spans="1:6" x14ac:dyDescent="0.25">
      <c r="A818" s="42" t="s">
        <v>17</v>
      </c>
      <c r="B818" s="19">
        <v>43927</v>
      </c>
      <c r="C818" s="4">
        <v>12</v>
      </c>
      <c r="D818" s="21">
        <v>409</v>
      </c>
      <c r="E818" s="12">
        <v>2</v>
      </c>
      <c r="F818" s="57">
        <f>E818+F794</f>
        <v>19</v>
      </c>
    </row>
    <row r="819" spans="1:6" x14ac:dyDescent="0.25">
      <c r="A819" s="5" t="s">
        <v>29</v>
      </c>
      <c r="B819" s="19">
        <v>43927</v>
      </c>
      <c r="C819" s="4">
        <v>0</v>
      </c>
      <c r="D819" s="21">
        <v>0</v>
      </c>
      <c r="F819" s="57">
        <f t="shared" ref="F819:F841" si="31">E819+F795</f>
        <v>0</v>
      </c>
    </row>
    <row r="820" spans="1:6" x14ac:dyDescent="0.25">
      <c r="A820" s="5" t="s">
        <v>16</v>
      </c>
      <c r="B820" s="19">
        <v>43927</v>
      </c>
      <c r="C820" s="4">
        <v>4</v>
      </c>
      <c r="D820" s="21">
        <v>119</v>
      </c>
      <c r="F820" s="57">
        <f t="shared" si="31"/>
        <v>6</v>
      </c>
    </row>
    <row r="821" spans="1:6" x14ac:dyDescent="0.25">
      <c r="A821" s="5" t="s">
        <v>30</v>
      </c>
      <c r="B821" s="19">
        <v>43927</v>
      </c>
      <c r="C821" s="4">
        <v>0</v>
      </c>
      <c r="D821" s="21">
        <v>0</v>
      </c>
      <c r="F821" s="57">
        <f t="shared" si="31"/>
        <v>1</v>
      </c>
    </row>
    <row r="822" spans="1:6" x14ac:dyDescent="0.25">
      <c r="A822" s="5" t="s">
        <v>44</v>
      </c>
      <c r="B822" s="19">
        <v>43927</v>
      </c>
      <c r="C822" s="4">
        <v>17</v>
      </c>
      <c r="D822" s="21">
        <v>456</v>
      </c>
      <c r="E822" s="4">
        <v>3</v>
      </c>
      <c r="F822" s="57">
        <f t="shared" si="31"/>
        <v>10</v>
      </c>
    </row>
    <row r="823" spans="1:6" x14ac:dyDescent="0.25">
      <c r="A823" s="5" t="s">
        <v>21</v>
      </c>
      <c r="B823" s="19">
        <v>43927</v>
      </c>
      <c r="C823" s="4">
        <v>7</v>
      </c>
      <c r="D823" s="21">
        <v>146</v>
      </c>
      <c r="F823" s="57">
        <f t="shared" si="31"/>
        <v>2</v>
      </c>
    </row>
    <row r="824" spans="1:6" x14ac:dyDescent="0.25">
      <c r="A824" s="5" t="s">
        <v>31</v>
      </c>
      <c r="B824" s="19">
        <v>43927</v>
      </c>
      <c r="C824" s="4">
        <v>2</v>
      </c>
      <c r="D824" s="21">
        <v>24</v>
      </c>
      <c r="F824" s="57">
        <f t="shared" si="31"/>
        <v>0</v>
      </c>
    </row>
    <row r="825" spans="1:6" x14ac:dyDescent="0.25">
      <c r="A825" s="5" t="s">
        <v>32</v>
      </c>
      <c r="B825" s="19">
        <v>43927</v>
      </c>
      <c r="C825" s="4">
        <v>0</v>
      </c>
      <c r="D825" s="21">
        <v>19</v>
      </c>
      <c r="F825" s="57">
        <f t="shared" si="31"/>
        <v>0</v>
      </c>
    </row>
    <row r="826" spans="1:6" x14ac:dyDescent="0.25">
      <c r="A826" s="5" t="s">
        <v>42</v>
      </c>
      <c r="B826" s="19">
        <v>43927</v>
      </c>
      <c r="C826" s="4">
        <v>0</v>
      </c>
      <c r="D826" s="21">
        <v>0</v>
      </c>
      <c r="F826" s="57">
        <f t="shared" si="31"/>
        <v>0</v>
      </c>
    </row>
    <row r="827" spans="1:6" x14ac:dyDescent="0.25">
      <c r="A827" s="5" t="s">
        <v>33</v>
      </c>
      <c r="B827" s="19">
        <v>43927</v>
      </c>
      <c r="C827" s="4">
        <v>0</v>
      </c>
      <c r="D827" s="21">
        <v>5</v>
      </c>
      <c r="F827" s="57">
        <f t="shared" si="31"/>
        <v>0</v>
      </c>
    </row>
    <row r="828" spans="1:6" x14ac:dyDescent="0.25">
      <c r="A828" s="5" t="s">
        <v>34</v>
      </c>
      <c r="B828" s="19">
        <v>43927</v>
      </c>
      <c r="C828" s="4">
        <v>0</v>
      </c>
      <c r="D828" s="21">
        <v>3</v>
      </c>
      <c r="F828" s="57">
        <f t="shared" si="31"/>
        <v>0</v>
      </c>
    </row>
    <row r="829" spans="1:6" x14ac:dyDescent="0.25">
      <c r="A829" s="5" t="s">
        <v>22</v>
      </c>
      <c r="B829" s="19">
        <v>43927</v>
      </c>
      <c r="C829" s="4">
        <v>1</v>
      </c>
      <c r="D829" s="21">
        <v>9</v>
      </c>
      <c r="F829" s="57">
        <f t="shared" si="31"/>
        <v>1</v>
      </c>
    </row>
    <row r="830" spans="1:6" x14ac:dyDescent="0.25">
      <c r="A830" s="5" t="s">
        <v>18</v>
      </c>
      <c r="B830" s="19">
        <v>43927</v>
      </c>
      <c r="C830" s="4">
        <v>1</v>
      </c>
      <c r="D830" s="21">
        <v>30</v>
      </c>
      <c r="F830" s="57">
        <f t="shared" si="31"/>
        <v>3</v>
      </c>
    </row>
    <row r="831" spans="1:6" x14ac:dyDescent="0.25">
      <c r="A831" s="5" t="s">
        <v>24</v>
      </c>
      <c r="B831" s="19">
        <v>43927</v>
      </c>
      <c r="C831" s="4">
        <v>0</v>
      </c>
      <c r="D831" s="21">
        <v>3</v>
      </c>
      <c r="F831" s="57">
        <f t="shared" si="31"/>
        <v>0</v>
      </c>
    </row>
    <row r="832" spans="1:6" x14ac:dyDescent="0.25">
      <c r="A832" s="5" t="s">
        <v>20</v>
      </c>
      <c r="B832" s="19">
        <v>43927</v>
      </c>
      <c r="C832" s="4">
        <v>6</v>
      </c>
      <c r="D832" s="21">
        <v>50</v>
      </c>
      <c r="E832" s="4">
        <v>1</v>
      </c>
      <c r="F832" s="57">
        <f t="shared" si="31"/>
        <v>2</v>
      </c>
    </row>
    <row r="833" spans="1:6" x14ac:dyDescent="0.25">
      <c r="A833" s="5" t="s">
        <v>19</v>
      </c>
      <c r="B833" s="19">
        <v>43927</v>
      </c>
      <c r="C833" s="4">
        <v>2</v>
      </c>
      <c r="D833" s="21">
        <v>19</v>
      </c>
      <c r="F833" s="57">
        <f t="shared" si="31"/>
        <v>2</v>
      </c>
    </row>
    <row r="834" spans="1:6" x14ac:dyDescent="0.25">
      <c r="A834" s="5" t="s">
        <v>35</v>
      </c>
      <c r="B834" s="19">
        <v>43927</v>
      </c>
      <c r="C834" s="4">
        <v>0</v>
      </c>
      <c r="D834" s="21">
        <v>3</v>
      </c>
      <c r="F834" s="57">
        <f t="shared" si="31"/>
        <v>0</v>
      </c>
    </row>
    <row r="835" spans="1:6" x14ac:dyDescent="0.25">
      <c r="A835" s="5" t="s">
        <v>36</v>
      </c>
      <c r="B835" s="19">
        <v>43927</v>
      </c>
      <c r="C835" s="4">
        <v>0</v>
      </c>
      <c r="D835" s="21">
        <v>1</v>
      </c>
      <c r="F835" s="57">
        <f t="shared" si="31"/>
        <v>0</v>
      </c>
    </row>
    <row r="836" spans="1:6" x14ac:dyDescent="0.25">
      <c r="A836" s="5" t="s">
        <v>37</v>
      </c>
      <c r="B836" s="19">
        <v>43927</v>
      </c>
      <c r="C836" s="4">
        <v>1</v>
      </c>
      <c r="D836" s="21">
        <v>11</v>
      </c>
      <c r="F836" s="57">
        <f t="shared" si="31"/>
        <v>0</v>
      </c>
    </row>
    <row r="837" spans="1:6" x14ac:dyDescent="0.25">
      <c r="A837" s="5" t="s">
        <v>38</v>
      </c>
      <c r="B837" s="19">
        <v>43927</v>
      </c>
      <c r="C837" s="4">
        <v>0</v>
      </c>
      <c r="D837" s="21">
        <v>23</v>
      </c>
      <c r="F837" s="57">
        <f t="shared" si="31"/>
        <v>0</v>
      </c>
    </row>
    <row r="838" spans="1:6" x14ac:dyDescent="0.25">
      <c r="A838" s="5" t="s">
        <v>23</v>
      </c>
      <c r="B838" s="19">
        <v>43927</v>
      </c>
      <c r="C838" s="4">
        <v>8</v>
      </c>
      <c r="D838" s="21">
        <v>184</v>
      </c>
      <c r="F838" s="57">
        <f>E838+F814</f>
        <v>1</v>
      </c>
    </row>
    <row r="839" spans="1:6" x14ac:dyDescent="0.25">
      <c r="A839" s="5" t="s">
        <v>39</v>
      </c>
      <c r="B839" s="19">
        <v>43927</v>
      </c>
      <c r="C839" s="4">
        <v>6</v>
      </c>
      <c r="D839" s="21">
        <v>10</v>
      </c>
      <c r="F839" s="57">
        <f t="shared" si="31"/>
        <v>0</v>
      </c>
    </row>
    <row r="840" spans="1:6" x14ac:dyDescent="0.25">
      <c r="A840" s="5" t="s">
        <v>40</v>
      </c>
      <c r="B840" s="19">
        <v>43927</v>
      </c>
      <c r="C840" s="4">
        <v>2</v>
      </c>
      <c r="D840" s="21">
        <v>77</v>
      </c>
      <c r="F840" s="57">
        <f t="shared" si="31"/>
        <v>0</v>
      </c>
    </row>
    <row r="841" spans="1:6" x14ac:dyDescent="0.25">
      <c r="A841" s="5" t="s">
        <v>41</v>
      </c>
      <c r="B841" s="19">
        <v>43927</v>
      </c>
      <c r="C841" s="4">
        <v>5</v>
      </c>
      <c r="D841" s="21">
        <v>27</v>
      </c>
      <c r="F841" s="57">
        <f t="shared" si="31"/>
        <v>1</v>
      </c>
    </row>
    <row r="842" spans="1:6" x14ac:dyDescent="0.25">
      <c r="A842" s="42" t="s">
        <v>17</v>
      </c>
      <c r="B842" s="19">
        <v>43928</v>
      </c>
      <c r="C842" s="4">
        <v>34</v>
      </c>
      <c r="D842" s="21">
        <v>443</v>
      </c>
      <c r="E842" s="4">
        <v>4</v>
      </c>
      <c r="F842" s="57">
        <f>E842+F818</f>
        <v>23</v>
      </c>
    </row>
    <row r="843" spans="1:6" x14ac:dyDescent="0.25">
      <c r="A843" s="5" t="s">
        <v>29</v>
      </c>
      <c r="B843" s="19">
        <v>43928</v>
      </c>
      <c r="C843" s="4">
        <v>0</v>
      </c>
      <c r="D843" s="21">
        <v>0</v>
      </c>
      <c r="F843" s="57">
        <f t="shared" ref="F843:F865" si="32">E843+F819</f>
        <v>0</v>
      </c>
    </row>
    <row r="844" spans="1:6" x14ac:dyDescent="0.25">
      <c r="A844" s="5" t="s">
        <v>16</v>
      </c>
      <c r="B844" s="19">
        <v>43928</v>
      </c>
      <c r="C844" s="4">
        <v>4</v>
      </c>
      <c r="D844" s="21">
        <v>123</v>
      </c>
      <c r="F844" s="57">
        <f t="shared" si="32"/>
        <v>6</v>
      </c>
    </row>
    <row r="845" spans="1:6" x14ac:dyDescent="0.25">
      <c r="A845" s="5" t="s">
        <v>30</v>
      </c>
      <c r="B845" s="19">
        <v>43928</v>
      </c>
      <c r="C845" s="4">
        <v>0</v>
      </c>
      <c r="D845" s="21">
        <v>0</v>
      </c>
      <c r="F845" s="57">
        <f t="shared" si="32"/>
        <v>1</v>
      </c>
    </row>
    <row r="846" spans="1:6" x14ac:dyDescent="0.25">
      <c r="A846" s="5" t="s">
        <v>44</v>
      </c>
      <c r="B846" s="19">
        <v>43928</v>
      </c>
      <c r="C846" s="4">
        <v>24</v>
      </c>
      <c r="D846" s="21">
        <v>480</v>
      </c>
      <c r="E846" s="4">
        <v>2</v>
      </c>
      <c r="F846" s="57">
        <f t="shared" si="32"/>
        <v>12</v>
      </c>
    </row>
    <row r="847" spans="1:6" x14ac:dyDescent="0.25">
      <c r="A847" s="5" t="s">
        <v>21</v>
      </c>
      <c r="B847" s="19">
        <v>43928</v>
      </c>
      <c r="C847" s="4">
        <v>4</v>
      </c>
      <c r="D847" s="21">
        <v>150</v>
      </c>
      <c r="F847" s="57">
        <f t="shared" si="32"/>
        <v>2</v>
      </c>
    </row>
    <row r="848" spans="1:6" x14ac:dyDescent="0.25">
      <c r="A848" s="5" t="s">
        <v>31</v>
      </c>
      <c r="B848" s="19">
        <v>43928</v>
      </c>
      <c r="C848" s="4">
        <v>0</v>
      </c>
      <c r="D848" s="21">
        <v>24</v>
      </c>
      <c r="F848" s="57">
        <f t="shared" si="32"/>
        <v>0</v>
      </c>
    </row>
    <row r="849" spans="1:6" x14ac:dyDescent="0.25">
      <c r="A849" s="5" t="s">
        <v>32</v>
      </c>
      <c r="B849" s="19">
        <v>43928</v>
      </c>
      <c r="C849" s="4">
        <v>1</v>
      </c>
      <c r="D849" s="21">
        <v>20</v>
      </c>
      <c r="F849" s="57">
        <f t="shared" si="32"/>
        <v>0</v>
      </c>
    </row>
    <row r="850" spans="1:6" x14ac:dyDescent="0.25">
      <c r="A850" s="5" t="s">
        <v>42</v>
      </c>
      <c r="B850" s="19">
        <v>43928</v>
      </c>
      <c r="C850" s="4">
        <v>0</v>
      </c>
      <c r="D850" s="21">
        <v>0</v>
      </c>
      <c r="F850" s="57">
        <f t="shared" si="32"/>
        <v>0</v>
      </c>
    </row>
    <row r="851" spans="1:6" x14ac:dyDescent="0.25">
      <c r="A851" s="5" t="s">
        <v>33</v>
      </c>
      <c r="B851" s="19">
        <v>43928</v>
      </c>
      <c r="C851" s="4">
        <v>0</v>
      </c>
      <c r="D851" s="21">
        <v>5</v>
      </c>
      <c r="F851" s="57">
        <f t="shared" si="32"/>
        <v>0</v>
      </c>
    </row>
    <row r="852" spans="1:6" x14ac:dyDescent="0.25">
      <c r="A852" s="5" t="s">
        <v>34</v>
      </c>
      <c r="B852" s="19">
        <v>43928</v>
      </c>
      <c r="C852" s="4">
        <v>0</v>
      </c>
      <c r="D852" s="21">
        <v>3</v>
      </c>
      <c r="F852" s="57">
        <f t="shared" si="32"/>
        <v>0</v>
      </c>
    </row>
    <row r="853" spans="1:6" x14ac:dyDescent="0.25">
      <c r="A853" s="5" t="s">
        <v>22</v>
      </c>
      <c r="B853" s="19">
        <v>43928</v>
      </c>
      <c r="C853" s="4">
        <v>0</v>
      </c>
      <c r="D853" s="21">
        <v>9</v>
      </c>
      <c r="F853" s="57">
        <f t="shared" si="32"/>
        <v>1</v>
      </c>
    </row>
    <row r="854" spans="1:6" x14ac:dyDescent="0.25">
      <c r="A854" s="5" t="s">
        <v>18</v>
      </c>
      <c r="B854" s="19">
        <v>43928</v>
      </c>
      <c r="C854" s="4">
        <v>2</v>
      </c>
      <c r="D854" s="21">
        <v>32</v>
      </c>
      <c r="E854" s="4">
        <v>1</v>
      </c>
      <c r="F854" s="57">
        <f t="shared" si="32"/>
        <v>4</v>
      </c>
    </row>
    <row r="855" spans="1:6" x14ac:dyDescent="0.25">
      <c r="A855" s="5" t="s">
        <v>24</v>
      </c>
      <c r="B855" s="19">
        <v>43928</v>
      </c>
      <c r="C855" s="4">
        <v>0</v>
      </c>
      <c r="D855" s="21">
        <v>3</v>
      </c>
      <c r="F855" s="57">
        <f t="shared" si="32"/>
        <v>0</v>
      </c>
    </row>
    <row r="856" spans="1:6" x14ac:dyDescent="0.25">
      <c r="A856" s="5" t="s">
        <v>20</v>
      </c>
      <c r="B856" s="19">
        <v>43928</v>
      </c>
      <c r="C856" s="4">
        <v>3</v>
      </c>
      <c r="D856" s="21">
        <v>53</v>
      </c>
      <c r="F856" s="57">
        <f t="shared" si="32"/>
        <v>2</v>
      </c>
    </row>
    <row r="857" spans="1:6" x14ac:dyDescent="0.25">
      <c r="A857" s="5" t="s">
        <v>19</v>
      </c>
      <c r="B857" s="19">
        <v>43928</v>
      </c>
      <c r="C857" s="4">
        <v>2</v>
      </c>
      <c r="D857" s="21">
        <v>21</v>
      </c>
      <c r="F857" s="57">
        <f t="shared" si="32"/>
        <v>2</v>
      </c>
    </row>
    <row r="858" spans="1:6" x14ac:dyDescent="0.25">
      <c r="A858" s="5" t="s">
        <v>35</v>
      </c>
      <c r="B858" s="19">
        <v>43928</v>
      </c>
      <c r="C858" s="4">
        <v>0</v>
      </c>
      <c r="D858" s="21">
        <v>3</v>
      </c>
      <c r="F858" s="57">
        <f t="shared" si="32"/>
        <v>0</v>
      </c>
    </row>
    <row r="859" spans="1:6" x14ac:dyDescent="0.25">
      <c r="A859" s="5" t="s">
        <v>36</v>
      </c>
      <c r="B859" s="19">
        <v>43928</v>
      </c>
      <c r="C859" s="4">
        <v>0</v>
      </c>
      <c r="D859" s="21">
        <v>1</v>
      </c>
      <c r="F859" s="57">
        <f t="shared" si="32"/>
        <v>0</v>
      </c>
    </row>
    <row r="860" spans="1:6" x14ac:dyDescent="0.25">
      <c r="A860" s="5" t="s">
        <v>37</v>
      </c>
      <c r="B860" s="19">
        <v>43928</v>
      </c>
      <c r="C860" s="4">
        <v>0</v>
      </c>
      <c r="D860" s="21">
        <v>11</v>
      </c>
      <c r="F860" s="57">
        <f t="shared" si="32"/>
        <v>0</v>
      </c>
    </row>
    <row r="861" spans="1:6" x14ac:dyDescent="0.25">
      <c r="A861" s="5" t="s">
        <v>38</v>
      </c>
      <c r="B861" s="19">
        <v>43928</v>
      </c>
      <c r="C861" s="4">
        <v>8</v>
      </c>
      <c r="D861" s="21">
        <v>31</v>
      </c>
      <c r="F861" s="57">
        <f t="shared" si="32"/>
        <v>0</v>
      </c>
    </row>
    <row r="862" spans="1:6" x14ac:dyDescent="0.25">
      <c r="A862" s="5" t="s">
        <v>23</v>
      </c>
      <c r="B862" s="19">
        <v>43928</v>
      </c>
      <c r="C862" s="4">
        <v>3</v>
      </c>
      <c r="D862" s="21">
        <v>187</v>
      </c>
      <c r="F862" s="57">
        <f>E862+F838</f>
        <v>1</v>
      </c>
    </row>
    <row r="863" spans="1:6" x14ac:dyDescent="0.25">
      <c r="A863" s="5" t="s">
        <v>39</v>
      </c>
      <c r="B863" s="19">
        <v>43928</v>
      </c>
      <c r="C863" s="4">
        <v>-1</v>
      </c>
      <c r="D863" s="21">
        <v>9</v>
      </c>
      <c r="F863" s="57">
        <f t="shared" si="32"/>
        <v>0</v>
      </c>
    </row>
    <row r="864" spans="1:6" x14ac:dyDescent="0.25">
      <c r="A864" s="5" t="s">
        <v>40</v>
      </c>
      <c r="B864" s="19">
        <v>43928</v>
      </c>
      <c r="C864" s="4">
        <v>2</v>
      </c>
      <c r="D864" s="21">
        <v>79</v>
      </c>
      <c r="F864" s="57">
        <f t="shared" si="32"/>
        <v>0</v>
      </c>
    </row>
    <row r="865" spans="1:6" x14ac:dyDescent="0.25">
      <c r="A865" s="5" t="s">
        <v>41</v>
      </c>
      <c r="B865" s="19">
        <v>43928</v>
      </c>
      <c r="C865" s="4">
        <v>1</v>
      </c>
      <c r="D865" s="21">
        <v>28</v>
      </c>
      <c r="F865" s="57">
        <f t="shared" si="32"/>
        <v>1</v>
      </c>
    </row>
    <row r="866" spans="1:6" x14ac:dyDescent="0.25">
      <c r="A866" s="42" t="s">
        <v>17</v>
      </c>
      <c r="B866" s="19">
        <v>43929</v>
      </c>
      <c r="C866" s="4">
        <v>17</v>
      </c>
      <c r="D866" s="21">
        <v>460</v>
      </c>
      <c r="E866" s="4">
        <v>1</v>
      </c>
      <c r="F866" s="57">
        <f>E866+F842</f>
        <v>24</v>
      </c>
    </row>
    <row r="867" spans="1:6" x14ac:dyDescent="0.25">
      <c r="A867" s="5" t="s">
        <v>29</v>
      </c>
      <c r="B867" s="19">
        <v>43929</v>
      </c>
      <c r="C867" s="4">
        <v>0</v>
      </c>
      <c r="D867" s="21">
        <v>0</v>
      </c>
      <c r="F867" s="57">
        <f t="shared" ref="F867:F889" si="33">E867+F843</f>
        <v>0</v>
      </c>
    </row>
    <row r="868" spans="1:6" x14ac:dyDescent="0.25">
      <c r="A868" s="5" t="s">
        <v>16</v>
      </c>
      <c r="B868" s="19">
        <v>43929</v>
      </c>
      <c r="C868" s="4">
        <v>15</v>
      </c>
      <c r="D868" s="21">
        <v>138</v>
      </c>
      <c r="F868" s="57">
        <f t="shared" si="33"/>
        <v>6</v>
      </c>
    </row>
    <row r="869" spans="1:6" x14ac:dyDescent="0.25">
      <c r="A869" s="5" t="s">
        <v>30</v>
      </c>
      <c r="B869" s="19">
        <v>43929</v>
      </c>
      <c r="C869" s="4">
        <v>0</v>
      </c>
      <c r="D869" s="21">
        <v>0</v>
      </c>
      <c r="F869" s="57">
        <f t="shared" si="33"/>
        <v>1</v>
      </c>
    </row>
    <row r="870" spans="1:6" x14ac:dyDescent="0.25">
      <c r="A870" s="5" t="s">
        <v>44</v>
      </c>
      <c r="B870" s="19">
        <v>43929</v>
      </c>
      <c r="C870" s="4">
        <v>18</v>
      </c>
      <c r="D870" s="21">
        <v>498</v>
      </c>
      <c r="E870" s="4">
        <v>2</v>
      </c>
      <c r="F870" s="57">
        <f t="shared" si="33"/>
        <v>14</v>
      </c>
    </row>
    <row r="871" spans="1:6" x14ac:dyDescent="0.25">
      <c r="A871" s="5" t="s">
        <v>21</v>
      </c>
      <c r="B871" s="19">
        <v>43929</v>
      </c>
      <c r="C871" s="4">
        <v>1</v>
      </c>
      <c r="D871" s="21">
        <v>151</v>
      </c>
      <c r="F871" s="57">
        <f t="shared" si="33"/>
        <v>2</v>
      </c>
    </row>
    <row r="872" spans="1:6" x14ac:dyDescent="0.25">
      <c r="A872" s="5" t="s">
        <v>31</v>
      </c>
      <c r="B872" s="19">
        <v>43929</v>
      </c>
      <c r="C872" s="4">
        <v>0</v>
      </c>
      <c r="D872" s="21">
        <v>24</v>
      </c>
      <c r="F872" s="57">
        <f t="shared" si="33"/>
        <v>0</v>
      </c>
    </row>
    <row r="873" spans="1:6" x14ac:dyDescent="0.25">
      <c r="A873" s="5" t="s">
        <v>32</v>
      </c>
      <c r="B873" s="19">
        <v>43929</v>
      </c>
      <c r="C873" s="4">
        <v>0</v>
      </c>
      <c r="D873" s="21">
        <v>20</v>
      </c>
      <c r="F873" s="57">
        <f t="shared" si="33"/>
        <v>0</v>
      </c>
    </row>
    <row r="874" spans="1:6" x14ac:dyDescent="0.25">
      <c r="A874" s="5" t="s">
        <v>42</v>
      </c>
      <c r="B874" s="19">
        <v>43929</v>
      </c>
      <c r="C874" s="4">
        <v>0</v>
      </c>
      <c r="D874" s="21">
        <v>0</v>
      </c>
      <c r="F874" s="57">
        <f t="shared" si="33"/>
        <v>0</v>
      </c>
    </row>
    <row r="875" spans="1:6" x14ac:dyDescent="0.25">
      <c r="A875" s="5" t="s">
        <v>33</v>
      </c>
      <c r="B875" s="19">
        <v>43929</v>
      </c>
      <c r="C875" s="4">
        <v>0</v>
      </c>
      <c r="D875" s="21">
        <v>5</v>
      </c>
      <c r="F875" s="57">
        <f t="shared" si="33"/>
        <v>0</v>
      </c>
    </row>
    <row r="876" spans="1:6" x14ac:dyDescent="0.25">
      <c r="A876" s="5" t="s">
        <v>34</v>
      </c>
      <c r="B876" s="19">
        <v>43929</v>
      </c>
      <c r="C876" s="4">
        <v>1</v>
      </c>
      <c r="D876" s="21">
        <v>4</v>
      </c>
      <c r="F876" s="57">
        <f t="shared" si="33"/>
        <v>0</v>
      </c>
    </row>
    <row r="877" spans="1:6" x14ac:dyDescent="0.25">
      <c r="A877" s="5" t="s">
        <v>22</v>
      </c>
      <c r="B877" s="19">
        <v>43929</v>
      </c>
      <c r="C877" s="4">
        <v>0</v>
      </c>
      <c r="D877" s="21">
        <v>9</v>
      </c>
      <c r="F877" s="57">
        <f t="shared" si="33"/>
        <v>1</v>
      </c>
    </row>
    <row r="878" spans="1:6" x14ac:dyDescent="0.25">
      <c r="A878" s="5" t="s">
        <v>18</v>
      </c>
      <c r="B878" s="19">
        <v>43929</v>
      </c>
      <c r="C878" s="4">
        <v>6</v>
      </c>
      <c r="D878" s="21">
        <v>38</v>
      </c>
      <c r="F878" s="57">
        <f t="shared" si="33"/>
        <v>4</v>
      </c>
    </row>
    <row r="879" spans="1:6" x14ac:dyDescent="0.25">
      <c r="A879" s="5" t="s">
        <v>24</v>
      </c>
      <c r="B879" s="19">
        <v>43929</v>
      </c>
      <c r="C879" s="4">
        <v>0</v>
      </c>
      <c r="D879" s="21">
        <v>3</v>
      </c>
      <c r="F879" s="57">
        <f t="shared" si="33"/>
        <v>0</v>
      </c>
    </row>
    <row r="880" spans="1:6" x14ac:dyDescent="0.25">
      <c r="A880" s="5" t="s">
        <v>20</v>
      </c>
      <c r="B880" s="19">
        <v>43929</v>
      </c>
      <c r="C880" s="4">
        <v>17</v>
      </c>
      <c r="D880" s="21">
        <v>70</v>
      </c>
      <c r="E880" s="4">
        <v>1</v>
      </c>
      <c r="F880" s="57">
        <f t="shared" si="33"/>
        <v>3</v>
      </c>
    </row>
    <row r="881" spans="1:6" x14ac:dyDescent="0.25">
      <c r="A881" s="5" t="s">
        <v>19</v>
      </c>
      <c r="B881" s="19">
        <v>43929</v>
      </c>
      <c r="C881" s="4">
        <v>1</v>
      </c>
      <c r="D881" s="21">
        <v>22</v>
      </c>
      <c r="F881" s="57">
        <f t="shared" si="33"/>
        <v>2</v>
      </c>
    </row>
    <row r="882" spans="1:6" x14ac:dyDescent="0.25">
      <c r="A882" s="5" t="s">
        <v>35</v>
      </c>
      <c r="B882" s="19">
        <v>43929</v>
      </c>
      <c r="C882" s="4">
        <v>0</v>
      </c>
      <c r="D882" s="21">
        <v>3</v>
      </c>
      <c r="F882" s="57">
        <f t="shared" si="33"/>
        <v>0</v>
      </c>
    </row>
    <row r="883" spans="1:6" x14ac:dyDescent="0.25">
      <c r="A883" s="5" t="s">
        <v>36</v>
      </c>
      <c r="B883" s="19">
        <v>43929</v>
      </c>
      <c r="C883" s="4">
        <v>0</v>
      </c>
      <c r="D883" s="21">
        <v>1</v>
      </c>
      <c r="F883" s="57">
        <f t="shared" si="33"/>
        <v>0</v>
      </c>
    </row>
    <row r="884" spans="1:6" x14ac:dyDescent="0.25">
      <c r="A884" s="5" t="s">
        <v>37</v>
      </c>
      <c r="B884" s="19">
        <v>43929</v>
      </c>
      <c r="C884" s="4">
        <v>0</v>
      </c>
      <c r="D884" s="21">
        <v>11</v>
      </c>
      <c r="F884" s="57">
        <f t="shared" si="33"/>
        <v>0</v>
      </c>
    </row>
    <row r="885" spans="1:6" x14ac:dyDescent="0.25">
      <c r="A885" s="5" t="s">
        <v>38</v>
      </c>
      <c r="B885" s="19">
        <v>43929</v>
      </c>
      <c r="C885" s="4">
        <v>0</v>
      </c>
      <c r="D885" s="21">
        <v>31</v>
      </c>
      <c r="F885" s="57">
        <f t="shared" si="33"/>
        <v>0</v>
      </c>
    </row>
    <row r="886" spans="1:6" x14ac:dyDescent="0.25">
      <c r="A886" s="5" t="s">
        <v>23</v>
      </c>
      <c r="B886" s="19">
        <v>43929</v>
      </c>
      <c r="C886" s="4">
        <v>2</v>
      </c>
      <c r="D886" s="21">
        <v>189</v>
      </c>
      <c r="F886" s="57">
        <f>E886+F862</f>
        <v>1</v>
      </c>
    </row>
    <row r="887" spans="1:6" x14ac:dyDescent="0.25">
      <c r="A887" s="5" t="s">
        <v>39</v>
      </c>
      <c r="B887" s="19">
        <v>43929</v>
      </c>
      <c r="C887" s="4">
        <v>0</v>
      </c>
      <c r="D887" s="21">
        <v>9</v>
      </c>
      <c r="F887" s="57">
        <f t="shared" si="33"/>
        <v>0</v>
      </c>
    </row>
    <row r="888" spans="1:6" x14ac:dyDescent="0.25">
      <c r="A888" s="5" t="s">
        <v>40</v>
      </c>
      <c r="B888" s="19">
        <v>43929</v>
      </c>
      <c r="C888" s="4">
        <v>2</v>
      </c>
      <c r="D888" s="21">
        <v>81</v>
      </c>
      <c r="F888" s="57">
        <f t="shared" si="33"/>
        <v>0</v>
      </c>
    </row>
    <row r="889" spans="1:6" x14ac:dyDescent="0.25">
      <c r="A889" s="5" t="s">
        <v>41</v>
      </c>
      <c r="B889" s="19">
        <v>43929</v>
      </c>
      <c r="C889" s="4">
        <v>0</v>
      </c>
      <c r="D889" s="21">
        <v>28</v>
      </c>
      <c r="E889" s="4">
        <v>1</v>
      </c>
      <c r="F889" s="57">
        <f t="shared" si="33"/>
        <v>2</v>
      </c>
    </row>
    <row r="890" spans="1:6" x14ac:dyDescent="0.25">
      <c r="A890" s="42" t="s">
        <v>17</v>
      </c>
      <c r="B890" s="19">
        <v>43930</v>
      </c>
      <c r="C890" s="4">
        <v>28</v>
      </c>
      <c r="D890" s="21">
        <v>488</v>
      </c>
      <c r="E890" s="4">
        <v>6</v>
      </c>
      <c r="F890" s="57">
        <f>E890+F866</f>
        <v>30</v>
      </c>
    </row>
    <row r="891" spans="1:6" x14ac:dyDescent="0.25">
      <c r="A891" s="5" t="s">
        <v>29</v>
      </c>
      <c r="B891" s="19">
        <v>43930</v>
      </c>
      <c r="C891" s="4">
        <v>0</v>
      </c>
      <c r="D891" s="21">
        <v>0</v>
      </c>
      <c r="F891" s="57">
        <f t="shared" ref="F891:F913" si="34">E891+F867</f>
        <v>0</v>
      </c>
    </row>
    <row r="892" spans="1:6" x14ac:dyDescent="0.25">
      <c r="A892" s="5" t="s">
        <v>16</v>
      </c>
      <c r="B892" s="19">
        <v>43930</v>
      </c>
      <c r="C892" s="4">
        <v>6</v>
      </c>
      <c r="D892" s="21">
        <v>144</v>
      </c>
      <c r="E892" s="4">
        <v>1</v>
      </c>
      <c r="F892" s="57">
        <f t="shared" si="34"/>
        <v>7</v>
      </c>
    </row>
    <row r="893" spans="1:6" x14ac:dyDescent="0.25">
      <c r="A893" s="5" t="s">
        <v>30</v>
      </c>
      <c r="B893" s="19">
        <v>43930</v>
      </c>
      <c r="C893" s="4">
        <v>0</v>
      </c>
      <c r="D893" s="21">
        <v>0</v>
      </c>
      <c r="F893" s="57">
        <f t="shared" si="34"/>
        <v>1</v>
      </c>
    </row>
    <row r="894" spans="1:6" x14ac:dyDescent="0.25">
      <c r="A894" s="5" t="s">
        <v>44</v>
      </c>
      <c r="B894" s="19">
        <v>43930</v>
      </c>
      <c r="C894" s="4">
        <v>23</v>
      </c>
      <c r="D894" s="21">
        <v>521</v>
      </c>
      <c r="E894" s="4">
        <v>6</v>
      </c>
      <c r="F894" s="57">
        <f t="shared" si="34"/>
        <v>20</v>
      </c>
    </row>
    <row r="895" spans="1:6" x14ac:dyDescent="0.25">
      <c r="A895" s="5" t="s">
        <v>21</v>
      </c>
      <c r="B895" s="19">
        <v>43930</v>
      </c>
      <c r="C895" s="4">
        <v>5</v>
      </c>
      <c r="D895" s="21">
        <v>156</v>
      </c>
      <c r="F895" s="57">
        <f t="shared" si="34"/>
        <v>2</v>
      </c>
    </row>
    <row r="896" spans="1:6" x14ac:dyDescent="0.25">
      <c r="A896" s="5" t="s">
        <v>31</v>
      </c>
      <c r="B896" s="19">
        <v>43930</v>
      </c>
      <c r="C896" s="4">
        <v>0</v>
      </c>
      <c r="D896" s="21">
        <v>24</v>
      </c>
      <c r="F896" s="57">
        <f t="shared" si="34"/>
        <v>0</v>
      </c>
    </row>
    <row r="897" spans="1:6" x14ac:dyDescent="0.25">
      <c r="A897" s="5" t="s">
        <v>32</v>
      </c>
      <c r="B897" s="19">
        <v>43930</v>
      </c>
      <c r="C897" s="4">
        <v>2</v>
      </c>
      <c r="D897" s="21">
        <v>22</v>
      </c>
      <c r="F897" s="57">
        <f t="shared" si="34"/>
        <v>0</v>
      </c>
    </row>
    <row r="898" spans="1:6" x14ac:dyDescent="0.25">
      <c r="A898" s="5" t="s">
        <v>42</v>
      </c>
      <c r="B898" s="19">
        <v>43930</v>
      </c>
      <c r="C898" s="4">
        <v>0</v>
      </c>
      <c r="D898" s="21">
        <v>0</v>
      </c>
      <c r="F898" s="57">
        <f t="shared" si="34"/>
        <v>0</v>
      </c>
    </row>
    <row r="899" spans="1:6" x14ac:dyDescent="0.25">
      <c r="A899" s="5" t="s">
        <v>33</v>
      </c>
      <c r="B899" s="19">
        <v>43930</v>
      </c>
      <c r="C899" s="4">
        <v>0</v>
      </c>
      <c r="D899" s="21">
        <v>5</v>
      </c>
      <c r="F899" s="57">
        <f t="shared" si="34"/>
        <v>0</v>
      </c>
    </row>
    <row r="900" spans="1:6" x14ac:dyDescent="0.25">
      <c r="A900" s="5" t="s">
        <v>34</v>
      </c>
      <c r="B900" s="19">
        <v>43930</v>
      </c>
      <c r="C900" s="4">
        <v>0</v>
      </c>
      <c r="D900" s="21">
        <v>4</v>
      </c>
      <c r="F900" s="57">
        <f t="shared" si="34"/>
        <v>0</v>
      </c>
    </row>
    <row r="901" spans="1:6" x14ac:dyDescent="0.25">
      <c r="A901" s="5" t="s">
        <v>22</v>
      </c>
      <c r="B901" s="19">
        <v>43930</v>
      </c>
      <c r="C901" s="4">
        <v>5</v>
      </c>
      <c r="D901" s="21">
        <v>14</v>
      </c>
      <c r="F901" s="57">
        <f t="shared" si="34"/>
        <v>1</v>
      </c>
    </row>
    <row r="902" spans="1:6" x14ac:dyDescent="0.25">
      <c r="A902" s="5" t="s">
        <v>18</v>
      </c>
      <c r="B902" s="19">
        <v>43930</v>
      </c>
      <c r="C902" s="4">
        <v>2</v>
      </c>
      <c r="D902" s="21">
        <v>40</v>
      </c>
      <c r="F902" s="57">
        <f t="shared" si="34"/>
        <v>4</v>
      </c>
    </row>
    <row r="903" spans="1:6" x14ac:dyDescent="0.25">
      <c r="A903" s="5" t="s">
        <v>24</v>
      </c>
      <c r="B903" s="19">
        <v>43930</v>
      </c>
      <c r="C903" s="4">
        <v>0</v>
      </c>
      <c r="D903" s="21">
        <v>3</v>
      </c>
      <c r="F903" s="57">
        <f t="shared" si="34"/>
        <v>0</v>
      </c>
    </row>
    <row r="904" spans="1:6" x14ac:dyDescent="0.25">
      <c r="A904" s="5" t="s">
        <v>20</v>
      </c>
      <c r="B904" s="19">
        <v>43930</v>
      </c>
      <c r="C904" s="4">
        <v>7</v>
      </c>
      <c r="D904" s="21">
        <v>77</v>
      </c>
      <c r="F904" s="57">
        <f t="shared" si="34"/>
        <v>3</v>
      </c>
    </row>
    <row r="905" spans="1:6" x14ac:dyDescent="0.25">
      <c r="A905" s="5" t="s">
        <v>19</v>
      </c>
      <c r="B905" s="19">
        <v>43930</v>
      </c>
      <c r="C905" s="4">
        <v>13</v>
      </c>
      <c r="D905" s="21">
        <v>35</v>
      </c>
      <c r="F905" s="57">
        <f t="shared" si="34"/>
        <v>2</v>
      </c>
    </row>
    <row r="906" spans="1:6" x14ac:dyDescent="0.25">
      <c r="A906" s="5" t="s">
        <v>35</v>
      </c>
      <c r="B906" s="19">
        <v>43930</v>
      </c>
      <c r="C906" s="4">
        <v>0</v>
      </c>
      <c r="D906" s="21">
        <v>3</v>
      </c>
      <c r="F906" s="57">
        <f t="shared" si="34"/>
        <v>0</v>
      </c>
    </row>
    <row r="907" spans="1:6" x14ac:dyDescent="0.25">
      <c r="A907" s="5" t="s">
        <v>36</v>
      </c>
      <c r="B907" s="19">
        <v>43930</v>
      </c>
      <c r="C907" s="4">
        <v>0</v>
      </c>
      <c r="D907" s="21">
        <v>1</v>
      </c>
      <c r="F907" s="57">
        <f t="shared" si="34"/>
        <v>0</v>
      </c>
    </row>
    <row r="908" spans="1:6" x14ac:dyDescent="0.25">
      <c r="A908" s="5" t="s">
        <v>37</v>
      </c>
      <c r="B908" s="19">
        <v>43930</v>
      </c>
      <c r="C908" s="4">
        <v>0</v>
      </c>
      <c r="D908" s="21">
        <v>11</v>
      </c>
      <c r="F908" s="57">
        <f t="shared" si="34"/>
        <v>0</v>
      </c>
    </row>
    <row r="909" spans="1:6" x14ac:dyDescent="0.25">
      <c r="A909" s="5" t="s">
        <v>38</v>
      </c>
      <c r="B909" s="19">
        <v>43930</v>
      </c>
      <c r="C909" s="4">
        <v>0</v>
      </c>
      <c r="D909" s="21">
        <v>31</v>
      </c>
      <c r="F909" s="57">
        <f t="shared" si="34"/>
        <v>0</v>
      </c>
    </row>
    <row r="910" spans="1:6" x14ac:dyDescent="0.25">
      <c r="A910" s="5" t="s">
        <v>23</v>
      </c>
      <c r="B910" s="19">
        <v>43930</v>
      </c>
      <c r="C910" s="4">
        <v>7</v>
      </c>
      <c r="D910" s="21">
        <v>196</v>
      </c>
      <c r="E910" s="4">
        <v>1</v>
      </c>
      <c r="F910" s="57">
        <f>E910+F886</f>
        <v>2</v>
      </c>
    </row>
    <row r="911" spans="1:6" x14ac:dyDescent="0.25">
      <c r="A911" s="5" t="s">
        <v>39</v>
      </c>
      <c r="B911" s="19">
        <v>43930</v>
      </c>
      <c r="C911" s="4">
        <v>0</v>
      </c>
      <c r="D911" s="21">
        <v>9</v>
      </c>
      <c r="F911" s="57">
        <f t="shared" si="34"/>
        <v>0</v>
      </c>
    </row>
    <row r="912" spans="1:6" x14ac:dyDescent="0.25">
      <c r="A912" s="5" t="s">
        <v>40</v>
      </c>
      <c r="B912" s="19">
        <v>43930</v>
      </c>
      <c r="C912" s="4">
        <v>0</v>
      </c>
      <c r="D912" s="21">
        <v>81</v>
      </c>
      <c r="F912" s="57">
        <f t="shared" si="34"/>
        <v>0</v>
      </c>
    </row>
    <row r="913" spans="1:6" x14ac:dyDescent="0.25">
      <c r="A913" s="5" t="s">
        <v>41</v>
      </c>
      <c r="B913" s="19">
        <v>43930</v>
      </c>
      <c r="C913" s="4">
        <v>1</v>
      </c>
      <c r="D913" s="21">
        <v>29</v>
      </c>
      <c r="F913" s="57">
        <f t="shared" si="34"/>
        <v>2</v>
      </c>
    </row>
    <row r="914" spans="1:6" x14ac:dyDescent="0.25">
      <c r="A914" s="42" t="s">
        <v>17</v>
      </c>
      <c r="B914" s="19">
        <v>43931</v>
      </c>
      <c r="C914" s="4">
        <v>19</v>
      </c>
      <c r="D914" s="21">
        <v>507</v>
      </c>
      <c r="E914" s="4">
        <v>1</v>
      </c>
      <c r="F914" s="57">
        <f>E914+F890</f>
        <v>31</v>
      </c>
    </row>
    <row r="915" spans="1:6" x14ac:dyDescent="0.25">
      <c r="A915" s="5" t="s">
        <v>29</v>
      </c>
      <c r="B915" s="19">
        <v>43931</v>
      </c>
      <c r="C915" s="4">
        <v>0</v>
      </c>
      <c r="D915" s="21">
        <v>0</v>
      </c>
      <c r="F915" s="57">
        <f t="shared" ref="F915:F937" si="35">E915+F891</f>
        <v>0</v>
      </c>
    </row>
    <row r="916" spans="1:6" x14ac:dyDescent="0.25">
      <c r="A916" s="5" t="s">
        <v>16</v>
      </c>
      <c r="B916" s="19">
        <v>43931</v>
      </c>
      <c r="C916" s="4">
        <v>5</v>
      </c>
      <c r="D916" s="21">
        <v>149</v>
      </c>
      <c r="F916" s="57">
        <f t="shared" si="35"/>
        <v>7</v>
      </c>
    </row>
    <row r="917" spans="1:6" x14ac:dyDescent="0.25">
      <c r="A917" s="5" t="s">
        <v>30</v>
      </c>
      <c r="B917" s="19">
        <v>43931</v>
      </c>
      <c r="C917" s="4">
        <v>0</v>
      </c>
      <c r="D917" s="21">
        <v>0</v>
      </c>
      <c r="F917" s="57">
        <f t="shared" si="35"/>
        <v>1</v>
      </c>
    </row>
    <row r="918" spans="1:6" x14ac:dyDescent="0.25">
      <c r="A918" s="5" t="s">
        <v>44</v>
      </c>
      <c r="B918" s="19">
        <v>43931</v>
      </c>
      <c r="C918" s="4">
        <v>11</v>
      </c>
      <c r="D918" s="21">
        <v>532</v>
      </c>
      <c r="E918" s="4">
        <v>1</v>
      </c>
      <c r="F918" s="57">
        <f t="shared" si="35"/>
        <v>21</v>
      </c>
    </row>
    <row r="919" spans="1:6" x14ac:dyDescent="0.25">
      <c r="A919" s="5" t="s">
        <v>21</v>
      </c>
      <c r="B919" s="19">
        <v>43931</v>
      </c>
      <c r="C919" s="4">
        <v>13</v>
      </c>
      <c r="D919" s="21">
        <v>169</v>
      </c>
      <c r="F919" s="57">
        <f t="shared" si="35"/>
        <v>2</v>
      </c>
    </row>
    <row r="920" spans="1:6" x14ac:dyDescent="0.25">
      <c r="A920" s="5" t="s">
        <v>31</v>
      </c>
      <c r="B920" s="19">
        <v>43931</v>
      </c>
      <c r="C920" s="4">
        <v>0</v>
      </c>
      <c r="D920" s="21">
        <v>24</v>
      </c>
      <c r="F920" s="57">
        <f t="shared" si="35"/>
        <v>0</v>
      </c>
    </row>
    <row r="921" spans="1:6" x14ac:dyDescent="0.25">
      <c r="A921" s="5" t="s">
        <v>32</v>
      </c>
      <c r="B921" s="19">
        <v>43931</v>
      </c>
      <c r="C921" s="4">
        <v>0</v>
      </c>
      <c r="D921" s="21">
        <v>22</v>
      </c>
      <c r="F921" s="57">
        <f t="shared" si="35"/>
        <v>0</v>
      </c>
    </row>
    <row r="922" spans="1:6" x14ac:dyDescent="0.25">
      <c r="A922" s="5" t="s">
        <v>42</v>
      </c>
      <c r="B922" s="19">
        <v>43931</v>
      </c>
      <c r="C922" s="4">
        <v>0</v>
      </c>
      <c r="D922" s="21">
        <v>0</v>
      </c>
      <c r="F922" s="57">
        <f t="shared" si="35"/>
        <v>0</v>
      </c>
    </row>
    <row r="923" spans="1:6" x14ac:dyDescent="0.25">
      <c r="A923" s="5" t="s">
        <v>33</v>
      </c>
      <c r="B923" s="19">
        <v>43931</v>
      </c>
      <c r="C923" s="4">
        <v>0</v>
      </c>
      <c r="D923" s="21">
        <v>5</v>
      </c>
      <c r="F923" s="57">
        <f t="shared" si="35"/>
        <v>0</v>
      </c>
    </row>
    <row r="924" spans="1:6" x14ac:dyDescent="0.25">
      <c r="A924" s="5" t="s">
        <v>34</v>
      </c>
      <c r="B924" s="19">
        <v>43931</v>
      </c>
      <c r="C924" s="4">
        <v>1</v>
      </c>
      <c r="D924" s="21">
        <v>5</v>
      </c>
      <c r="F924" s="57">
        <f t="shared" si="35"/>
        <v>0</v>
      </c>
    </row>
    <row r="925" spans="1:6" x14ac:dyDescent="0.25">
      <c r="A925" s="5" t="s">
        <v>22</v>
      </c>
      <c r="B925" s="19">
        <v>43931</v>
      </c>
      <c r="C925" s="4">
        <v>0</v>
      </c>
      <c r="D925" s="21">
        <v>14</v>
      </c>
      <c r="F925" s="57">
        <f t="shared" si="35"/>
        <v>1</v>
      </c>
    </row>
    <row r="926" spans="1:6" x14ac:dyDescent="0.25">
      <c r="A926" s="5" t="s">
        <v>18</v>
      </c>
      <c r="B926" s="19">
        <v>43931</v>
      </c>
      <c r="C926" s="4">
        <v>9</v>
      </c>
      <c r="D926" s="21">
        <v>49</v>
      </c>
      <c r="F926" s="57">
        <f t="shared" si="35"/>
        <v>4</v>
      </c>
    </row>
    <row r="927" spans="1:6" x14ac:dyDescent="0.25">
      <c r="A927" s="5" t="s">
        <v>24</v>
      </c>
      <c r="B927" s="19">
        <v>43931</v>
      </c>
      <c r="C927" s="4">
        <v>0</v>
      </c>
      <c r="D927" s="21">
        <v>3</v>
      </c>
      <c r="F927" s="57">
        <f t="shared" si="35"/>
        <v>0</v>
      </c>
    </row>
    <row r="928" spans="1:6" x14ac:dyDescent="0.25">
      <c r="A928" s="5" t="s">
        <v>20</v>
      </c>
      <c r="B928" s="19">
        <v>43931</v>
      </c>
      <c r="C928" s="4">
        <v>7</v>
      </c>
      <c r="D928" s="21">
        <v>84</v>
      </c>
      <c r="F928" s="57">
        <f t="shared" si="35"/>
        <v>3</v>
      </c>
    </row>
    <row r="929" spans="1:6" x14ac:dyDescent="0.25">
      <c r="A929" s="5" t="s">
        <v>19</v>
      </c>
      <c r="B929" s="19">
        <v>43931</v>
      </c>
      <c r="C929" s="4">
        <v>7</v>
      </c>
      <c r="D929" s="21">
        <v>42</v>
      </c>
      <c r="E929" s="4">
        <v>1</v>
      </c>
      <c r="F929" s="57">
        <f t="shared" si="35"/>
        <v>3</v>
      </c>
    </row>
    <row r="930" spans="1:6" x14ac:dyDescent="0.25">
      <c r="A930" s="5" t="s">
        <v>35</v>
      </c>
      <c r="B930" s="19">
        <v>43931</v>
      </c>
      <c r="C930" s="4">
        <v>0</v>
      </c>
      <c r="D930" s="21">
        <v>3</v>
      </c>
      <c r="F930" s="57">
        <f t="shared" si="35"/>
        <v>0</v>
      </c>
    </row>
    <row r="931" spans="1:6" x14ac:dyDescent="0.25">
      <c r="A931" s="5" t="s">
        <v>36</v>
      </c>
      <c r="B931" s="19">
        <v>43931</v>
      </c>
      <c r="C931" s="4">
        <v>0</v>
      </c>
      <c r="D931" s="21">
        <v>1</v>
      </c>
      <c r="F931" s="57">
        <f t="shared" si="35"/>
        <v>0</v>
      </c>
    </row>
    <row r="932" spans="1:6" x14ac:dyDescent="0.25">
      <c r="A932" s="5" t="s">
        <v>37</v>
      </c>
      <c r="B932" s="19">
        <v>43931</v>
      </c>
      <c r="C932" s="4">
        <v>0</v>
      </c>
      <c r="D932" s="21">
        <v>11</v>
      </c>
      <c r="F932" s="57">
        <f t="shared" si="35"/>
        <v>0</v>
      </c>
    </row>
    <row r="933" spans="1:6" x14ac:dyDescent="0.25">
      <c r="A933" s="5" t="s">
        <v>38</v>
      </c>
      <c r="B933" s="19">
        <v>43931</v>
      </c>
      <c r="C933" s="4">
        <v>6</v>
      </c>
      <c r="D933" s="21">
        <v>37</v>
      </c>
      <c r="F933" s="57">
        <f t="shared" si="35"/>
        <v>0</v>
      </c>
    </row>
    <row r="934" spans="1:6" x14ac:dyDescent="0.25">
      <c r="A934" s="5" t="s">
        <v>23</v>
      </c>
      <c r="B934" s="19">
        <v>43931</v>
      </c>
      <c r="C934" s="4">
        <v>1</v>
      </c>
      <c r="D934" s="21">
        <v>197</v>
      </c>
      <c r="F934" s="57">
        <f>E934+F910</f>
        <v>2</v>
      </c>
    </row>
    <row r="935" spans="1:6" x14ac:dyDescent="0.25">
      <c r="A935" s="5" t="s">
        <v>39</v>
      </c>
      <c r="B935" s="19">
        <v>43931</v>
      </c>
      <c r="C935" s="4">
        <v>0</v>
      </c>
      <c r="D935" s="21">
        <v>9</v>
      </c>
      <c r="F935" s="57">
        <f t="shared" si="35"/>
        <v>0</v>
      </c>
    </row>
    <row r="936" spans="1:6" x14ac:dyDescent="0.25">
      <c r="A936" s="5" t="s">
        <v>40</v>
      </c>
      <c r="B936" s="19">
        <v>43931</v>
      </c>
      <c r="C936" s="4">
        <v>2</v>
      </c>
      <c r="D936" s="21">
        <v>83</v>
      </c>
      <c r="F936" s="57">
        <f t="shared" si="35"/>
        <v>0</v>
      </c>
    </row>
    <row r="937" spans="1:6" x14ac:dyDescent="0.25">
      <c r="A937" s="5" t="s">
        <v>41</v>
      </c>
      <c r="B937" s="19">
        <v>43931</v>
      </c>
      <c r="C937" s="4">
        <v>0</v>
      </c>
      <c r="D937" s="21">
        <v>29</v>
      </c>
      <c r="F937" s="57">
        <f t="shared" si="35"/>
        <v>2</v>
      </c>
    </row>
    <row r="938" spans="1:6" x14ac:dyDescent="0.25">
      <c r="A938" s="42" t="s">
        <v>17</v>
      </c>
      <c r="B938" s="19">
        <v>43932</v>
      </c>
      <c r="C938" s="4">
        <v>37</v>
      </c>
      <c r="D938" s="21">
        <v>544</v>
      </c>
      <c r="E938" s="4">
        <v>4</v>
      </c>
      <c r="F938" s="57">
        <f>E938+F914</f>
        <v>35</v>
      </c>
    </row>
    <row r="939" spans="1:6" x14ac:dyDescent="0.25">
      <c r="A939" s="5" t="s">
        <v>29</v>
      </c>
      <c r="B939" s="19">
        <v>43932</v>
      </c>
      <c r="C939" s="4">
        <v>0</v>
      </c>
      <c r="D939" s="21">
        <v>0</v>
      </c>
      <c r="F939" s="57">
        <f t="shared" ref="F939:F961" si="36">E939+F915</f>
        <v>0</v>
      </c>
    </row>
    <row r="940" spans="1:6" x14ac:dyDescent="0.25">
      <c r="A940" s="5" t="s">
        <v>16</v>
      </c>
      <c r="B940" s="19">
        <v>43932</v>
      </c>
      <c r="C940" s="4">
        <v>0</v>
      </c>
      <c r="D940" s="21">
        <v>149</v>
      </c>
      <c r="F940" s="57">
        <f t="shared" si="36"/>
        <v>7</v>
      </c>
    </row>
    <row r="941" spans="1:6" x14ac:dyDescent="0.25">
      <c r="A941" s="5" t="s">
        <v>30</v>
      </c>
      <c r="B941" s="19">
        <v>43932</v>
      </c>
      <c r="C941" s="4">
        <v>0</v>
      </c>
      <c r="D941" s="21">
        <v>0</v>
      </c>
      <c r="F941" s="57">
        <f t="shared" si="36"/>
        <v>1</v>
      </c>
    </row>
    <row r="942" spans="1:6" x14ac:dyDescent="0.25">
      <c r="A942" s="5" t="s">
        <v>44</v>
      </c>
      <c r="B942" s="19">
        <v>43932</v>
      </c>
      <c r="C942" s="4">
        <v>46</v>
      </c>
      <c r="D942" s="21">
        <v>578</v>
      </c>
      <c r="E942" s="4">
        <v>3</v>
      </c>
      <c r="F942" s="57">
        <f t="shared" si="36"/>
        <v>24</v>
      </c>
    </row>
    <row r="943" spans="1:6" x14ac:dyDescent="0.25">
      <c r="A943" s="5" t="s">
        <v>21</v>
      </c>
      <c r="B943" s="19">
        <v>43932</v>
      </c>
      <c r="C943" s="4">
        <v>32</v>
      </c>
      <c r="D943" s="21">
        <v>201</v>
      </c>
      <c r="F943" s="57">
        <f t="shared" si="36"/>
        <v>2</v>
      </c>
    </row>
    <row r="944" spans="1:6" x14ac:dyDescent="0.25">
      <c r="A944" s="5" t="s">
        <v>31</v>
      </c>
      <c r="B944" s="19">
        <v>43932</v>
      </c>
      <c r="C944" s="4">
        <v>0</v>
      </c>
      <c r="D944" s="21">
        <v>24</v>
      </c>
      <c r="F944" s="57">
        <f t="shared" si="36"/>
        <v>0</v>
      </c>
    </row>
    <row r="945" spans="1:6" x14ac:dyDescent="0.25">
      <c r="A945" s="5" t="s">
        <v>32</v>
      </c>
      <c r="B945" s="19">
        <v>43932</v>
      </c>
      <c r="C945" s="4">
        <v>0</v>
      </c>
      <c r="D945" s="21">
        <v>22</v>
      </c>
      <c r="F945" s="57">
        <f t="shared" si="36"/>
        <v>0</v>
      </c>
    </row>
    <row r="946" spans="1:6" x14ac:dyDescent="0.25">
      <c r="A946" s="5" t="s">
        <v>42</v>
      </c>
      <c r="B946" s="19">
        <v>43932</v>
      </c>
      <c r="C946" s="4">
        <v>0</v>
      </c>
      <c r="D946" s="21">
        <v>0</v>
      </c>
      <c r="F946" s="57">
        <f t="shared" si="36"/>
        <v>0</v>
      </c>
    </row>
    <row r="947" spans="1:6" x14ac:dyDescent="0.25">
      <c r="A947" s="5" t="s">
        <v>33</v>
      </c>
      <c r="B947" s="19">
        <v>43932</v>
      </c>
      <c r="C947" s="4">
        <v>0</v>
      </c>
      <c r="D947" s="21">
        <v>5</v>
      </c>
      <c r="F947" s="57">
        <f t="shared" si="36"/>
        <v>0</v>
      </c>
    </row>
    <row r="948" spans="1:6" x14ac:dyDescent="0.25">
      <c r="A948" s="5" t="s">
        <v>34</v>
      </c>
      <c r="B948" s="19">
        <v>43932</v>
      </c>
      <c r="C948" s="4">
        <v>0</v>
      </c>
      <c r="D948" s="21">
        <v>5</v>
      </c>
      <c r="F948" s="57">
        <f t="shared" si="36"/>
        <v>0</v>
      </c>
    </row>
    <row r="949" spans="1:6" x14ac:dyDescent="0.25">
      <c r="A949" s="5" t="s">
        <v>22</v>
      </c>
      <c r="B949" s="19">
        <v>43932</v>
      </c>
      <c r="C949" s="4">
        <v>4</v>
      </c>
      <c r="D949" s="21">
        <v>18</v>
      </c>
      <c r="F949" s="57">
        <f t="shared" si="36"/>
        <v>1</v>
      </c>
    </row>
    <row r="950" spans="1:6" x14ac:dyDescent="0.25">
      <c r="A950" s="5" t="s">
        <v>18</v>
      </c>
      <c r="B950" s="19">
        <v>43932</v>
      </c>
      <c r="C950" s="4">
        <v>5</v>
      </c>
      <c r="D950" s="21">
        <v>54</v>
      </c>
      <c r="F950" s="57">
        <f t="shared" si="36"/>
        <v>4</v>
      </c>
    </row>
    <row r="951" spans="1:6" x14ac:dyDescent="0.25">
      <c r="A951" s="5" t="s">
        <v>24</v>
      </c>
      <c r="B951" s="19">
        <v>43932</v>
      </c>
      <c r="C951" s="4">
        <v>0</v>
      </c>
      <c r="D951" s="21">
        <v>3</v>
      </c>
      <c r="F951" s="57">
        <f t="shared" si="36"/>
        <v>0</v>
      </c>
    </row>
    <row r="952" spans="1:6" x14ac:dyDescent="0.25">
      <c r="A952" s="5" t="s">
        <v>20</v>
      </c>
      <c r="B952" s="19">
        <v>43932</v>
      </c>
      <c r="C952" s="4">
        <v>1</v>
      </c>
      <c r="D952" s="21">
        <v>85</v>
      </c>
      <c r="F952" s="57">
        <f t="shared" si="36"/>
        <v>3</v>
      </c>
    </row>
    <row r="953" spans="1:6" x14ac:dyDescent="0.25">
      <c r="A953" s="5" t="s">
        <v>19</v>
      </c>
      <c r="B953" s="19">
        <v>43932</v>
      </c>
      <c r="C953" s="4">
        <v>23</v>
      </c>
      <c r="D953" s="21">
        <v>65</v>
      </c>
      <c r="F953" s="57">
        <f t="shared" si="36"/>
        <v>3</v>
      </c>
    </row>
    <row r="954" spans="1:6" x14ac:dyDescent="0.25">
      <c r="A954" s="5" t="s">
        <v>35</v>
      </c>
      <c r="B954" s="19">
        <v>43932</v>
      </c>
      <c r="C954" s="4">
        <v>0</v>
      </c>
      <c r="D954" s="21">
        <v>3</v>
      </c>
      <c r="F954" s="57">
        <f t="shared" si="36"/>
        <v>0</v>
      </c>
    </row>
    <row r="955" spans="1:6" x14ac:dyDescent="0.25">
      <c r="A955" s="5" t="s">
        <v>36</v>
      </c>
      <c r="B955" s="19">
        <v>43932</v>
      </c>
      <c r="C955" s="4">
        <v>1</v>
      </c>
      <c r="D955" s="21">
        <v>2</v>
      </c>
      <c r="F955" s="57">
        <f t="shared" si="36"/>
        <v>0</v>
      </c>
    </row>
    <row r="956" spans="1:6" x14ac:dyDescent="0.25">
      <c r="A956" s="5" t="s">
        <v>37</v>
      </c>
      <c r="B956" s="19">
        <v>43932</v>
      </c>
      <c r="C956" s="4">
        <v>0</v>
      </c>
      <c r="D956" s="21">
        <v>11</v>
      </c>
      <c r="F956" s="57">
        <f t="shared" si="36"/>
        <v>0</v>
      </c>
    </row>
    <row r="957" spans="1:6" x14ac:dyDescent="0.25">
      <c r="A957" s="5" t="s">
        <v>38</v>
      </c>
      <c r="B957" s="19">
        <v>43932</v>
      </c>
      <c r="C957" s="4">
        <v>3</v>
      </c>
      <c r="D957" s="21">
        <v>40</v>
      </c>
      <c r="F957" s="57">
        <f t="shared" si="36"/>
        <v>0</v>
      </c>
    </row>
    <row r="958" spans="1:6" x14ac:dyDescent="0.25">
      <c r="A958" s="5" t="s">
        <v>23</v>
      </c>
      <c r="B958" s="19">
        <v>43932</v>
      </c>
      <c r="C958" s="4">
        <v>3</v>
      </c>
      <c r="D958" s="21">
        <v>200</v>
      </c>
      <c r="F958" s="57">
        <f>E958+F934</f>
        <v>2</v>
      </c>
    </row>
    <row r="959" spans="1:6" x14ac:dyDescent="0.25">
      <c r="A959" s="5" t="s">
        <v>39</v>
      </c>
      <c r="B959" s="19">
        <v>43932</v>
      </c>
      <c r="C959" s="4">
        <v>3</v>
      </c>
      <c r="D959" s="21">
        <v>12</v>
      </c>
      <c r="F959" s="57">
        <f t="shared" si="36"/>
        <v>0</v>
      </c>
    </row>
    <row r="960" spans="1:6" x14ac:dyDescent="0.25">
      <c r="A960" s="5" t="s">
        <v>40</v>
      </c>
      <c r="B960" s="19">
        <v>43932</v>
      </c>
      <c r="C960" s="4">
        <v>8</v>
      </c>
      <c r="D960" s="21">
        <v>91</v>
      </c>
      <c r="F960" s="57">
        <f t="shared" si="36"/>
        <v>0</v>
      </c>
    </row>
    <row r="961" spans="1:6" x14ac:dyDescent="0.25">
      <c r="A961" s="5" t="s">
        <v>41</v>
      </c>
      <c r="B961" s="19">
        <v>43932</v>
      </c>
      <c r="C961" s="4">
        <v>1</v>
      </c>
      <c r="D961" s="21">
        <v>30</v>
      </c>
      <c r="F961" s="57">
        <f t="shared" si="36"/>
        <v>2</v>
      </c>
    </row>
    <row r="962" spans="1:6" x14ac:dyDescent="0.25">
      <c r="A962" s="42" t="s">
        <v>17</v>
      </c>
      <c r="B962" s="19">
        <v>43933</v>
      </c>
      <c r="C962" s="4">
        <v>28</v>
      </c>
      <c r="D962" s="21">
        <v>572</v>
      </c>
      <c r="E962" s="4">
        <v>4</v>
      </c>
      <c r="F962" s="57">
        <f>E962+F938</f>
        <v>39</v>
      </c>
    </row>
    <row r="963" spans="1:6" x14ac:dyDescent="0.25">
      <c r="A963" s="5" t="s">
        <v>29</v>
      </c>
      <c r="B963" s="19">
        <v>43933</v>
      </c>
      <c r="C963" s="4">
        <v>0</v>
      </c>
      <c r="D963" s="21">
        <v>0</v>
      </c>
      <c r="F963" s="57">
        <f t="shared" ref="F963:F985" si="37">E963+F939</f>
        <v>0</v>
      </c>
    </row>
    <row r="964" spans="1:6" x14ac:dyDescent="0.25">
      <c r="A964" s="5" t="s">
        <v>16</v>
      </c>
      <c r="B964" s="19">
        <v>43933</v>
      </c>
      <c r="C964" s="4">
        <v>1</v>
      </c>
      <c r="D964" s="21">
        <v>150</v>
      </c>
      <c r="F964" s="57">
        <f t="shared" si="37"/>
        <v>7</v>
      </c>
    </row>
    <row r="965" spans="1:6" x14ac:dyDescent="0.25">
      <c r="A965" s="5" t="s">
        <v>30</v>
      </c>
      <c r="B965" s="19">
        <v>43933</v>
      </c>
      <c r="C965" s="4">
        <v>0</v>
      </c>
      <c r="D965" s="21">
        <v>0</v>
      </c>
      <c r="F965" s="57">
        <f t="shared" si="37"/>
        <v>1</v>
      </c>
    </row>
    <row r="966" spans="1:6" x14ac:dyDescent="0.25">
      <c r="A966" s="5" t="s">
        <v>44</v>
      </c>
      <c r="B966" s="19">
        <v>43933</v>
      </c>
      <c r="C966" s="4">
        <v>8</v>
      </c>
      <c r="D966" s="21">
        <v>586</v>
      </c>
      <c r="E966" s="4">
        <v>1</v>
      </c>
      <c r="F966" s="57">
        <f t="shared" si="37"/>
        <v>25</v>
      </c>
    </row>
    <row r="967" spans="1:6" x14ac:dyDescent="0.25">
      <c r="A967" s="5" t="s">
        <v>21</v>
      </c>
      <c r="B967" s="19">
        <v>43933</v>
      </c>
      <c r="C967" s="4">
        <v>5</v>
      </c>
      <c r="D967" s="21">
        <v>206</v>
      </c>
      <c r="E967" s="4">
        <v>1</v>
      </c>
      <c r="F967" s="57">
        <f t="shared" si="37"/>
        <v>3</v>
      </c>
    </row>
    <row r="968" spans="1:6" x14ac:dyDescent="0.25">
      <c r="A968" s="5" t="s">
        <v>31</v>
      </c>
      <c r="B968" s="19">
        <v>43933</v>
      </c>
      <c r="C968" s="4">
        <v>0</v>
      </c>
      <c r="D968" s="21">
        <v>24</v>
      </c>
      <c r="F968" s="57">
        <f t="shared" si="37"/>
        <v>0</v>
      </c>
    </row>
    <row r="969" spans="1:6" x14ac:dyDescent="0.25">
      <c r="A969" s="5" t="s">
        <v>32</v>
      </c>
      <c r="B969" s="19">
        <v>43933</v>
      </c>
      <c r="C969" s="4">
        <v>-1</v>
      </c>
      <c r="D969" s="21">
        <v>21</v>
      </c>
      <c r="F969" s="57">
        <f t="shared" si="37"/>
        <v>0</v>
      </c>
    </row>
    <row r="970" spans="1:6" x14ac:dyDescent="0.25">
      <c r="A970" s="5" t="s">
        <v>42</v>
      </c>
      <c r="B970" s="19">
        <v>43933</v>
      </c>
      <c r="C970" s="4">
        <v>0</v>
      </c>
      <c r="D970" s="21">
        <v>0</v>
      </c>
      <c r="F970" s="57">
        <f t="shared" si="37"/>
        <v>0</v>
      </c>
    </row>
    <row r="971" spans="1:6" x14ac:dyDescent="0.25">
      <c r="A971" s="5" t="s">
        <v>33</v>
      </c>
      <c r="B971" s="19">
        <v>43933</v>
      </c>
      <c r="C971" s="4">
        <v>0</v>
      </c>
      <c r="D971" s="21">
        <v>5</v>
      </c>
      <c r="F971" s="57">
        <f t="shared" si="37"/>
        <v>0</v>
      </c>
    </row>
    <row r="972" spans="1:6" x14ac:dyDescent="0.25">
      <c r="A972" s="5" t="s">
        <v>34</v>
      </c>
      <c r="B972" s="19">
        <v>43933</v>
      </c>
      <c r="C972" s="4">
        <v>0</v>
      </c>
      <c r="D972" s="21">
        <v>5</v>
      </c>
      <c r="F972" s="57">
        <f t="shared" si="37"/>
        <v>0</v>
      </c>
    </row>
    <row r="973" spans="1:6" x14ac:dyDescent="0.25">
      <c r="A973" s="5" t="s">
        <v>22</v>
      </c>
      <c r="B973" s="19">
        <v>43933</v>
      </c>
      <c r="C973" s="4">
        <v>1</v>
      </c>
      <c r="D973" s="21">
        <v>19</v>
      </c>
      <c r="F973" s="57">
        <f t="shared" si="37"/>
        <v>1</v>
      </c>
    </row>
    <row r="974" spans="1:6" x14ac:dyDescent="0.25">
      <c r="A974" s="5" t="s">
        <v>18</v>
      </c>
      <c r="B974" s="19">
        <v>43933</v>
      </c>
      <c r="C974" s="4">
        <v>3</v>
      </c>
      <c r="D974" s="21">
        <v>57</v>
      </c>
      <c r="F974" s="57">
        <f t="shared" si="37"/>
        <v>4</v>
      </c>
    </row>
    <row r="975" spans="1:6" x14ac:dyDescent="0.25">
      <c r="A975" s="5" t="s">
        <v>24</v>
      </c>
      <c r="B975" s="19">
        <v>43933</v>
      </c>
      <c r="C975" s="4">
        <v>0</v>
      </c>
      <c r="D975" s="21">
        <v>3</v>
      </c>
      <c r="F975" s="57">
        <f t="shared" si="37"/>
        <v>0</v>
      </c>
    </row>
    <row r="976" spans="1:6" x14ac:dyDescent="0.25">
      <c r="A976" s="5" t="s">
        <v>20</v>
      </c>
      <c r="B976" s="19">
        <v>43933</v>
      </c>
      <c r="C976" s="4">
        <v>1</v>
      </c>
      <c r="D976" s="21">
        <v>86</v>
      </c>
      <c r="F976" s="57">
        <f t="shared" si="37"/>
        <v>3</v>
      </c>
    </row>
    <row r="977" spans="1:6" x14ac:dyDescent="0.25">
      <c r="A977" s="5" t="s">
        <v>19</v>
      </c>
      <c r="B977" s="19">
        <v>43933</v>
      </c>
      <c r="C977" s="4">
        <v>13</v>
      </c>
      <c r="D977" s="21">
        <v>78</v>
      </c>
      <c r="F977" s="57">
        <f t="shared" si="37"/>
        <v>3</v>
      </c>
    </row>
    <row r="978" spans="1:6" x14ac:dyDescent="0.25">
      <c r="A978" s="5" t="s">
        <v>35</v>
      </c>
      <c r="B978" s="19">
        <v>43933</v>
      </c>
      <c r="C978" s="4">
        <v>0</v>
      </c>
      <c r="D978" s="21">
        <v>3</v>
      </c>
      <c r="F978" s="57">
        <f t="shared" si="37"/>
        <v>0</v>
      </c>
    </row>
    <row r="979" spans="1:6" x14ac:dyDescent="0.25">
      <c r="A979" s="5" t="s">
        <v>36</v>
      </c>
      <c r="B979" s="19">
        <v>43933</v>
      </c>
      <c r="C979" s="4">
        <v>0</v>
      </c>
      <c r="D979" s="21">
        <v>2</v>
      </c>
      <c r="F979" s="57">
        <f t="shared" si="37"/>
        <v>0</v>
      </c>
    </row>
    <row r="980" spans="1:6" x14ac:dyDescent="0.25">
      <c r="A980" s="5" t="s">
        <v>37</v>
      </c>
      <c r="B980" s="19">
        <v>43933</v>
      </c>
      <c r="C980" s="4">
        <v>0</v>
      </c>
      <c r="D980" s="21">
        <v>11</v>
      </c>
      <c r="F980" s="57">
        <f t="shared" si="37"/>
        <v>0</v>
      </c>
    </row>
    <row r="981" spans="1:6" x14ac:dyDescent="0.25">
      <c r="A981" s="5" t="s">
        <v>38</v>
      </c>
      <c r="B981" s="19">
        <v>43933</v>
      </c>
      <c r="C981" s="4">
        <v>0</v>
      </c>
      <c r="D981" s="21">
        <v>40</v>
      </c>
      <c r="F981" s="57">
        <f t="shared" si="37"/>
        <v>0</v>
      </c>
    </row>
    <row r="982" spans="1:6" x14ac:dyDescent="0.25">
      <c r="A982" s="5" t="s">
        <v>23</v>
      </c>
      <c r="B982" s="19">
        <v>43933</v>
      </c>
      <c r="C982" s="4">
        <v>3</v>
      </c>
      <c r="D982" s="21">
        <v>203</v>
      </c>
      <c r="F982" s="57">
        <f>E982+F958</f>
        <v>2</v>
      </c>
    </row>
    <row r="983" spans="1:6" x14ac:dyDescent="0.25">
      <c r="A983" s="5" t="s">
        <v>39</v>
      </c>
      <c r="B983" s="19">
        <v>43933</v>
      </c>
      <c r="C983" s="4">
        <v>0</v>
      </c>
      <c r="D983" s="21">
        <v>12</v>
      </c>
      <c r="F983" s="57">
        <f t="shared" si="37"/>
        <v>0</v>
      </c>
    </row>
    <row r="984" spans="1:6" x14ac:dyDescent="0.25">
      <c r="A984" s="5" t="s">
        <v>40</v>
      </c>
      <c r="B984" s="19">
        <v>43933</v>
      </c>
      <c r="C984" s="4">
        <v>4</v>
      </c>
      <c r="D984" s="21">
        <v>95</v>
      </c>
      <c r="F984" s="57">
        <f t="shared" si="37"/>
        <v>0</v>
      </c>
    </row>
    <row r="985" spans="1:6" x14ac:dyDescent="0.25">
      <c r="A985" s="5" t="s">
        <v>41</v>
      </c>
      <c r="B985" s="19">
        <v>43933</v>
      </c>
      <c r="C985" s="4">
        <v>0</v>
      </c>
      <c r="D985" s="21">
        <v>30</v>
      </c>
      <c r="F985" s="57">
        <f t="shared" si="37"/>
        <v>2</v>
      </c>
    </row>
    <row r="986" spans="1:6" x14ac:dyDescent="0.25">
      <c r="A986" s="42" t="s">
        <v>17</v>
      </c>
      <c r="B986" s="19">
        <v>43934</v>
      </c>
      <c r="C986" s="4">
        <v>29</v>
      </c>
      <c r="D986" s="21">
        <v>601</v>
      </c>
      <c r="E986" s="4">
        <v>1</v>
      </c>
      <c r="F986" s="57">
        <f>E986+F962</f>
        <v>40</v>
      </c>
    </row>
    <row r="987" spans="1:6" x14ac:dyDescent="0.25">
      <c r="A987" s="5" t="s">
        <v>29</v>
      </c>
      <c r="B987" s="19">
        <v>43934</v>
      </c>
      <c r="C987" s="4">
        <v>0</v>
      </c>
      <c r="D987" s="21">
        <v>0</v>
      </c>
      <c r="F987" s="57">
        <f t="shared" ref="F987:F1009" si="38">E987+F963</f>
        <v>0</v>
      </c>
    </row>
    <row r="988" spans="1:6" x14ac:dyDescent="0.25">
      <c r="A988" s="5" t="s">
        <v>16</v>
      </c>
      <c r="B988" s="19">
        <v>43934</v>
      </c>
      <c r="C988" s="4">
        <v>3</v>
      </c>
      <c r="D988" s="21">
        <v>153</v>
      </c>
      <c r="F988" s="57">
        <f t="shared" si="38"/>
        <v>7</v>
      </c>
    </row>
    <row r="989" spans="1:6" x14ac:dyDescent="0.25">
      <c r="A989" s="5" t="s">
        <v>30</v>
      </c>
      <c r="B989" s="19">
        <v>43934</v>
      </c>
      <c r="C989" s="4">
        <v>0</v>
      </c>
      <c r="D989" s="21">
        <v>0</v>
      </c>
      <c r="F989" s="57">
        <f t="shared" si="38"/>
        <v>1</v>
      </c>
    </row>
    <row r="990" spans="1:6" x14ac:dyDescent="0.25">
      <c r="A990" s="5" t="s">
        <v>44</v>
      </c>
      <c r="B990" s="19">
        <v>43934</v>
      </c>
      <c r="C990" s="4">
        <v>10</v>
      </c>
      <c r="D990" s="21">
        <v>596</v>
      </c>
      <c r="E990" s="4">
        <v>1</v>
      </c>
      <c r="F990" s="57">
        <f t="shared" si="38"/>
        <v>26</v>
      </c>
    </row>
    <row r="991" spans="1:6" x14ac:dyDescent="0.25">
      <c r="A991" s="5" t="s">
        <v>21</v>
      </c>
      <c r="B991" s="19">
        <v>43934</v>
      </c>
      <c r="C991" s="4">
        <v>4</v>
      </c>
      <c r="D991" s="21">
        <v>210</v>
      </c>
      <c r="E991" s="4">
        <v>1</v>
      </c>
      <c r="F991" s="57">
        <f t="shared" si="38"/>
        <v>4</v>
      </c>
    </row>
    <row r="992" spans="1:6" x14ac:dyDescent="0.25">
      <c r="A992" s="5" t="s">
        <v>31</v>
      </c>
      <c r="B992" s="19">
        <v>43934</v>
      </c>
      <c r="C992" s="4">
        <v>7</v>
      </c>
      <c r="D992" s="21">
        <v>31</v>
      </c>
      <c r="F992" s="57">
        <f t="shared" si="38"/>
        <v>0</v>
      </c>
    </row>
    <row r="993" spans="1:6" x14ac:dyDescent="0.25">
      <c r="A993" s="5" t="s">
        <v>32</v>
      </c>
      <c r="B993" s="19">
        <v>43934</v>
      </c>
      <c r="C993" s="4">
        <v>0</v>
      </c>
      <c r="D993" s="21">
        <v>21</v>
      </c>
      <c r="F993" s="57">
        <f t="shared" si="38"/>
        <v>0</v>
      </c>
    </row>
    <row r="994" spans="1:6" x14ac:dyDescent="0.25">
      <c r="A994" s="5" t="s">
        <v>42</v>
      </c>
      <c r="B994" s="19">
        <v>43934</v>
      </c>
      <c r="C994" s="4">
        <v>0</v>
      </c>
      <c r="D994" s="21">
        <v>0</v>
      </c>
      <c r="F994" s="57">
        <f t="shared" si="38"/>
        <v>0</v>
      </c>
    </row>
    <row r="995" spans="1:6" x14ac:dyDescent="0.25">
      <c r="A995" s="5" t="s">
        <v>33</v>
      </c>
      <c r="B995" s="19">
        <v>43934</v>
      </c>
      <c r="C995" s="4">
        <v>0</v>
      </c>
      <c r="D995" s="21">
        <v>5</v>
      </c>
      <c r="F995" s="57">
        <f t="shared" si="38"/>
        <v>0</v>
      </c>
    </row>
    <row r="996" spans="1:6" x14ac:dyDescent="0.25">
      <c r="A996" s="5" t="s">
        <v>34</v>
      </c>
      <c r="B996" s="19">
        <v>43934</v>
      </c>
      <c r="C996" s="4">
        <v>0</v>
      </c>
      <c r="D996" s="21">
        <v>5</v>
      </c>
      <c r="F996" s="57">
        <f t="shared" si="38"/>
        <v>0</v>
      </c>
    </row>
    <row r="997" spans="1:6" x14ac:dyDescent="0.25">
      <c r="A997" s="5" t="s">
        <v>22</v>
      </c>
      <c r="B997" s="19">
        <v>43934</v>
      </c>
      <c r="C997" s="4">
        <v>3</v>
      </c>
      <c r="D997" s="21">
        <v>22</v>
      </c>
      <c r="F997" s="57">
        <f t="shared" si="38"/>
        <v>1</v>
      </c>
    </row>
    <row r="998" spans="1:6" x14ac:dyDescent="0.25">
      <c r="A998" s="5" t="s">
        <v>18</v>
      </c>
      <c r="B998" s="19">
        <v>43934</v>
      </c>
      <c r="C998" s="4">
        <v>2</v>
      </c>
      <c r="D998" s="21">
        <v>59</v>
      </c>
      <c r="F998" s="57">
        <f t="shared" si="38"/>
        <v>4</v>
      </c>
    </row>
    <row r="999" spans="1:6" x14ac:dyDescent="0.25">
      <c r="A999" s="5" t="s">
        <v>24</v>
      </c>
      <c r="B999" s="19">
        <v>43934</v>
      </c>
      <c r="C999" s="4">
        <v>0</v>
      </c>
      <c r="D999" s="21">
        <v>3</v>
      </c>
      <c r="F999" s="57">
        <f t="shared" si="38"/>
        <v>0</v>
      </c>
    </row>
    <row r="1000" spans="1:6" x14ac:dyDescent="0.25">
      <c r="A1000" s="5" t="s">
        <v>20</v>
      </c>
      <c r="B1000" s="19">
        <v>43934</v>
      </c>
      <c r="C1000" s="4">
        <v>2</v>
      </c>
      <c r="D1000" s="21">
        <v>88</v>
      </c>
      <c r="F1000" s="57">
        <f t="shared" si="38"/>
        <v>3</v>
      </c>
    </row>
    <row r="1001" spans="1:6" x14ac:dyDescent="0.25">
      <c r="A1001" s="5" t="s">
        <v>19</v>
      </c>
      <c r="B1001" s="19">
        <v>43934</v>
      </c>
      <c r="C1001" s="4">
        <v>3</v>
      </c>
      <c r="D1001" s="21">
        <v>81</v>
      </c>
      <c r="F1001" s="57">
        <f t="shared" si="38"/>
        <v>3</v>
      </c>
    </row>
    <row r="1002" spans="1:6" x14ac:dyDescent="0.25">
      <c r="A1002" s="5" t="s">
        <v>35</v>
      </c>
      <c r="B1002" s="19">
        <v>43934</v>
      </c>
      <c r="C1002" s="4">
        <v>0</v>
      </c>
      <c r="D1002" s="21">
        <v>3</v>
      </c>
      <c r="F1002" s="57">
        <f t="shared" si="38"/>
        <v>0</v>
      </c>
    </row>
    <row r="1003" spans="1:6" x14ac:dyDescent="0.25">
      <c r="A1003" s="5" t="s">
        <v>36</v>
      </c>
      <c r="B1003" s="19">
        <v>43934</v>
      </c>
      <c r="C1003" s="4">
        <v>0</v>
      </c>
      <c r="D1003" s="21">
        <v>2</v>
      </c>
      <c r="F1003" s="57">
        <f t="shared" si="38"/>
        <v>0</v>
      </c>
    </row>
    <row r="1004" spans="1:6" x14ac:dyDescent="0.25">
      <c r="A1004" s="5" t="s">
        <v>37</v>
      </c>
      <c r="B1004" s="19">
        <v>43934</v>
      </c>
      <c r="C1004" s="4">
        <v>0</v>
      </c>
      <c r="D1004" s="21">
        <v>11</v>
      </c>
      <c r="F1004" s="57">
        <f t="shared" si="38"/>
        <v>0</v>
      </c>
    </row>
    <row r="1005" spans="1:6" x14ac:dyDescent="0.25">
      <c r="A1005" s="5" t="s">
        <v>38</v>
      </c>
      <c r="B1005" s="19">
        <v>43934</v>
      </c>
      <c r="C1005" s="4">
        <v>0</v>
      </c>
      <c r="D1005" s="21">
        <v>40</v>
      </c>
      <c r="F1005" s="57">
        <f t="shared" si="38"/>
        <v>0</v>
      </c>
    </row>
    <row r="1006" spans="1:6" x14ac:dyDescent="0.25">
      <c r="A1006" s="5" t="s">
        <v>23</v>
      </c>
      <c r="B1006" s="19">
        <v>43934</v>
      </c>
      <c r="C1006" s="4">
        <v>2</v>
      </c>
      <c r="D1006" s="21">
        <v>205</v>
      </c>
      <c r="F1006" s="57">
        <f>E1006+F982</f>
        <v>2</v>
      </c>
    </row>
    <row r="1007" spans="1:6" x14ac:dyDescent="0.25">
      <c r="A1007" s="5" t="s">
        <v>39</v>
      </c>
      <c r="B1007" s="19">
        <v>43934</v>
      </c>
      <c r="C1007" s="4">
        <v>0</v>
      </c>
      <c r="D1007" s="21">
        <v>12</v>
      </c>
      <c r="F1007" s="57">
        <f t="shared" si="38"/>
        <v>0</v>
      </c>
    </row>
    <row r="1008" spans="1:6" x14ac:dyDescent="0.25">
      <c r="A1008" s="5" t="s">
        <v>40</v>
      </c>
      <c r="B1008" s="19">
        <v>43934</v>
      </c>
      <c r="C1008" s="4">
        <v>4</v>
      </c>
      <c r="D1008" s="21">
        <v>99</v>
      </c>
      <c r="F1008" s="57">
        <f t="shared" si="38"/>
        <v>0</v>
      </c>
    </row>
    <row r="1009" spans="1:6" x14ac:dyDescent="0.25">
      <c r="A1009" s="5" t="s">
        <v>41</v>
      </c>
      <c r="B1009" s="19">
        <v>43934</v>
      </c>
      <c r="C1009" s="4">
        <v>0</v>
      </c>
      <c r="D1009" s="21">
        <v>30</v>
      </c>
      <c r="F1009" s="57">
        <f t="shared" si="38"/>
        <v>2</v>
      </c>
    </row>
    <row r="1010" spans="1:6" x14ac:dyDescent="0.25">
      <c r="A1010" s="42" t="s">
        <v>17</v>
      </c>
      <c r="B1010" s="19">
        <v>43935</v>
      </c>
      <c r="C1010" s="4">
        <v>66</v>
      </c>
      <c r="D1010" s="21">
        <v>667</v>
      </c>
      <c r="E1010" s="4">
        <v>2</v>
      </c>
      <c r="F1010" s="57">
        <f>E1010+F986</f>
        <v>42</v>
      </c>
    </row>
    <row r="1011" spans="1:6" x14ac:dyDescent="0.25">
      <c r="A1011" s="5" t="s">
        <v>29</v>
      </c>
      <c r="B1011" s="19">
        <v>43935</v>
      </c>
      <c r="C1011" s="4">
        <v>0</v>
      </c>
      <c r="D1011" s="21">
        <v>0</v>
      </c>
      <c r="F1011" s="57">
        <f t="shared" ref="F1011:F1033" si="39">E1011+F987</f>
        <v>0</v>
      </c>
    </row>
    <row r="1012" spans="1:6" x14ac:dyDescent="0.25">
      <c r="A1012" s="5" t="s">
        <v>16</v>
      </c>
      <c r="B1012" s="19">
        <v>43935</v>
      </c>
      <c r="C1012" s="4">
        <v>31</v>
      </c>
      <c r="D1012" s="21">
        <v>184</v>
      </c>
      <c r="E1012" s="4">
        <v>1</v>
      </c>
      <c r="F1012" s="57">
        <f t="shared" si="39"/>
        <v>8</v>
      </c>
    </row>
    <row r="1013" spans="1:6" x14ac:dyDescent="0.25">
      <c r="A1013" s="5" t="s">
        <v>30</v>
      </c>
      <c r="B1013" s="19">
        <v>43935</v>
      </c>
      <c r="C1013" s="4">
        <v>0</v>
      </c>
      <c r="D1013" s="21">
        <v>0</v>
      </c>
      <c r="F1013" s="57">
        <f t="shared" si="39"/>
        <v>1</v>
      </c>
    </row>
    <row r="1014" spans="1:6" x14ac:dyDescent="0.25">
      <c r="A1014" s="5" t="s">
        <v>44</v>
      </c>
      <c r="B1014" s="19">
        <v>43935</v>
      </c>
      <c r="C1014" s="4">
        <v>22</v>
      </c>
      <c r="D1014" s="21">
        <v>618</v>
      </c>
      <c r="E1014" s="4">
        <v>2</v>
      </c>
      <c r="F1014" s="57">
        <f t="shared" si="39"/>
        <v>28</v>
      </c>
    </row>
    <row r="1015" spans="1:6" x14ac:dyDescent="0.25">
      <c r="A1015" s="5" t="s">
        <v>21</v>
      </c>
      <c r="B1015" s="19">
        <v>43935</v>
      </c>
      <c r="C1015" s="4">
        <v>12</v>
      </c>
      <c r="D1015" s="21">
        <v>222</v>
      </c>
      <c r="E1015" s="4">
        <v>1</v>
      </c>
      <c r="F1015" s="57">
        <f t="shared" si="39"/>
        <v>5</v>
      </c>
    </row>
    <row r="1016" spans="1:6" x14ac:dyDescent="0.25">
      <c r="A1016" s="5" t="s">
        <v>31</v>
      </c>
      <c r="B1016" s="19">
        <v>43935</v>
      </c>
      <c r="C1016" s="4">
        <v>1</v>
      </c>
      <c r="D1016" s="21">
        <v>32</v>
      </c>
      <c r="F1016" s="57">
        <f t="shared" si="39"/>
        <v>0</v>
      </c>
    </row>
    <row r="1017" spans="1:6" x14ac:dyDescent="0.25">
      <c r="A1017" s="5" t="s">
        <v>32</v>
      </c>
      <c r="B1017" s="19">
        <v>43935</v>
      </c>
      <c r="C1017" s="4">
        <v>0</v>
      </c>
      <c r="D1017" s="21">
        <v>21</v>
      </c>
      <c r="F1017" s="57">
        <f t="shared" si="39"/>
        <v>0</v>
      </c>
    </row>
    <row r="1018" spans="1:6" x14ac:dyDescent="0.25">
      <c r="A1018" s="5" t="s">
        <v>42</v>
      </c>
      <c r="B1018" s="19">
        <v>43935</v>
      </c>
      <c r="C1018" s="4">
        <v>0</v>
      </c>
      <c r="D1018" s="21">
        <v>0</v>
      </c>
      <c r="F1018" s="57">
        <f t="shared" si="39"/>
        <v>0</v>
      </c>
    </row>
    <row r="1019" spans="1:6" x14ac:dyDescent="0.25">
      <c r="A1019" s="5" t="s">
        <v>33</v>
      </c>
      <c r="B1019" s="19">
        <v>43935</v>
      </c>
      <c r="C1019" s="4">
        <v>0</v>
      </c>
      <c r="D1019" s="21">
        <v>5</v>
      </c>
      <c r="F1019" s="57">
        <f t="shared" si="39"/>
        <v>0</v>
      </c>
    </row>
    <row r="1020" spans="1:6" x14ac:dyDescent="0.25">
      <c r="A1020" s="5" t="s">
        <v>34</v>
      </c>
      <c r="B1020" s="19">
        <v>43935</v>
      </c>
      <c r="C1020" s="4">
        <v>0</v>
      </c>
      <c r="D1020" s="21">
        <v>5</v>
      </c>
      <c r="F1020" s="57">
        <f t="shared" si="39"/>
        <v>0</v>
      </c>
    </row>
    <row r="1021" spans="1:6" x14ac:dyDescent="0.25">
      <c r="A1021" s="5" t="s">
        <v>22</v>
      </c>
      <c r="B1021" s="19">
        <v>43935</v>
      </c>
      <c r="C1021" s="4">
        <v>6</v>
      </c>
      <c r="D1021" s="21">
        <v>28</v>
      </c>
      <c r="F1021" s="57">
        <f t="shared" si="39"/>
        <v>1</v>
      </c>
    </row>
    <row r="1022" spans="1:6" x14ac:dyDescent="0.25">
      <c r="A1022" s="5" t="s">
        <v>18</v>
      </c>
      <c r="B1022" s="19">
        <v>43935</v>
      </c>
      <c r="C1022" s="4">
        <v>3</v>
      </c>
      <c r="D1022" s="21">
        <v>62</v>
      </c>
      <c r="F1022" s="57">
        <f t="shared" si="39"/>
        <v>4</v>
      </c>
    </row>
    <row r="1023" spans="1:6" x14ac:dyDescent="0.25">
      <c r="A1023" s="5" t="s">
        <v>24</v>
      </c>
      <c r="B1023" s="19">
        <v>43935</v>
      </c>
      <c r="C1023" s="4">
        <v>0</v>
      </c>
      <c r="D1023" s="21">
        <v>3</v>
      </c>
      <c r="F1023" s="57">
        <f t="shared" si="39"/>
        <v>0</v>
      </c>
    </row>
    <row r="1024" spans="1:6" x14ac:dyDescent="0.25">
      <c r="A1024" s="5" t="s">
        <v>20</v>
      </c>
      <c r="B1024" s="19">
        <v>43935</v>
      </c>
      <c r="C1024" s="4">
        <v>2</v>
      </c>
      <c r="D1024" s="21">
        <v>90</v>
      </c>
      <c r="F1024" s="57">
        <f t="shared" si="39"/>
        <v>3</v>
      </c>
    </row>
    <row r="1025" spans="1:6" x14ac:dyDescent="0.25">
      <c r="A1025" s="5" t="s">
        <v>19</v>
      </c>
      <c r="B1025" s="19">
        <v>43935</v>
      </c>
      <c r="C1025" s="4">
        <v>13</v>
      </c>
      <c r="D1025" s="21">
        <v>94</v>
      </c>
      <c r="E1025" s="4">
        <v>1</v>
      </c>
      <c r="F1025" s="57">
        <f t="shared" si="39"/>
        <v>4</v>
      </c>
    </row>
    <row r="1026" spans="1:6" x14ac:dyDescent="0.25">
      <c r="A1026" s="5" t="s">
        <v>35</v>
      </c>
      <c r="B1026" s="19">
        <v>43935</v>
      </c>
      <c r="C1026" s="4">
        <v>0</v>
      </c>
      <c r="D1026" s="21">
        <v>3</v>
      </c>
      <c r="F1026" s="57">
        <f t="shared" si="39"/>
        <v>0</v>
      </c>
    </row>
    <row r="1027" spans="1:6" x14ac:dyDescent="0.25">
      <c r="A1027" s="5" t="s">
        <v>36</v>
      </c>
      <c r="B1027" s="19">
        <v>43935</v>
      </c>
      <c r="C1027" s="4">
        <v>0</v>
      </c>
      <c r="D1027" s="21">
        <v>2</v>
      </c>
      <c r="F1027" s="57">
        <f t="shared" si="39"/>
        <v>0</v>
      </c>
    </row>
    <row r="1028" spans="1:6" x14ac:dyDescent="0.25">
      <c r="A1028" s="5" t="s">
        <v>37</v>
      </c>
      <c r="B1028" s="19">
        <v>43935</v>
      </c>
      <c r="C1028" s="4">
        <v>0</v>
      </c>
      <c r="D1028" s="21">
        <v>11</v>
      </c>
      <c r="F1028" s="57">
        <f t="shared" si="39"/>
        <v>0</v>
      </c>
    </row>
    <row r="1029" spans="1:6" x14ac:dyDescent="0.25">
      <c r="A1029" s="5" t="s">
        <v>38</v>
      </c>
      <c r="B1029" s="19">
        <v>43935</v>
      </c>
      <c r="C1029" s="4">
        <v>0</v>
      </c>
      <c r="D1029" s="21">
        <v>40</v>
      </c>
      <c r="F1029" s="57">
        <f t="shared" si="39"/>
        <v>0</v>
      </c>
    </row>
    <row r="1030" spans="1:6" x14ac:dyDescent="0.25">
      <c r="A1030" s="5" t="s">
        <v>23</v>
      </c>
      <c r="B1030" s="19">
        <v>43935</v>
      </c>
      <c r="C1030" s="4">
        <v>2</v>
      </c>
      <c r="D1030" s="21">
        <v>207</v>
      </c>
      <c r="F1030" s="57">
        <f>E1030+F1006</f>
        <v>2</v>
      </c>
    </row>
    <row r="1031" spans="1:6" x14ac:dyDescent="0.25">
      <c r="A1031" s="5" t="s">
        <v>39</v>
      </c>
      <c r="B1031" s="19">
        <v>43935</v>
      </c>
      <c r="C1031" s="4">
        <v>0</v>
      </c>
      <c r="D1031" s="21">
        <v>12</v>
      </c>
      <c r="F1031" s="57">
        <f t="shared" si="39"/>
        <v>0</v>
      </c>
    </row>
    <row r="1032" spans="1:6" x14ac:dyDescent="0.25">
      <c r="A1032" s="5" t="s">
        <v>40</v>
      </c>
      <c r="B1032" s="19">
        <v>43935</v>
      </c>
      <c r="C1032" s="4">
        <v>8</v>
      </c>
      <c r="D1032" s="21">
        <v>107</v>
      </c>
      <c r="F1032" s="57">
        <f t="shared" si="39"/>
        <v>0</v>
      </c>
    </row>
    <row r="1033" spans="1:6" x14ac:dyDescent="0.25">
      <c r="A1033" s="5" t="s">
        <v>41</v>
      </c>
      <c r="B1033" s="19">
        <v>43935</v>
      </c>
      <c r="C1033" s="4">
        <v>0</v>
      </c>
      <c r="D1033" s="21">
        <v>30</v>
      </c>
      <c r="F1033" s="57">
        <f t="shared" si="39"/>
        <v>2</v>
      </c>
    </row>
    <row r="1034" spans="1:6" x14ac:dyDescent="0.25">
      <c r="A1034" s="42" t="s">
        <v>17</v>
      </c>
      <c r="B1034" s="19">
        <v>43936</v>
      </c>
      <c r="C1034" s="4">
        <v>62</v>
      </c>
      <c r="D1034" s="21">
        <v>729</v>
      </c>
      <c r="E1034" s="4">
        <v>1</v>
      </c>
      <c r="F1034" s="57">
        <f>E1034+F1010</f>
        <v>43</v>
      </c>
    </row>
    <row r="1035" spans="1:6" x14ac:dyDescent="0.25">
      <c r="A1035" s="5" t="s">
        <v>29</v>
      </c>
      <c r="B1035" s="19">
        <v>43936</v>
      </c>
      <c r="C1035" s="4">
        <v>0</v>
      </c>
      <c r="D1035" s="21">
        <v>0</v>
      </c>
      <c r="F1035" s="57">
        <f t="shared" ref="F1035:F1057" si="40">E1035+F1011</f>
        <v>0</v>
      </c>
    </row>
    <row r="1036" spans="1:6" x14ac:dyDescent="0.25">
      <c r="A1036" s="5" t="s">
        <v>16</v>
      </c>
      <c r="B1036" s="19">
        <v>43936</v>
      </c>
      <c r="C1036" s="4">
        <v>7</v>
      </c>
      <c r="D1036" s="21">
        <v>191</v>
      </c>
      <c r="F1036" s="57">
        <f t="shared" si="40"/>
        <v>8</v>
      </c>
    </row>
    <row r="1037" spans="1:6" x14ac:dyDescent="0.25">
      <c r="A1037" s="5" t="s">
        <v>30</v>
      </c>
      <c r="B1037" s="19">
        <v>43936</v>
      </c>
      <c r="C1037" s="4">
        <v>1</v>
      </c>
      <c r="D1037" s="21">
        <v>1</v>
      </c>
      <c r="F1037" s="57">
        <f t="shared" si="40"/>
        <v>1</v>
      </c>
    </row>
    <row r="1038" spans="1:6" x14ac:dyDescent="0.25">
      <c r="A1038" s="5" t="s">
        <v>44</v>
      </c>
      <c r="B1038" s="19">
        <v>43936</v>
      </c>
      <c r="C1038" s="4">
        <v>30</v>
      </c>
      <c r="D1038" s="21">
        <v>648</v>
      </c>
      <c r="E1038" s="4">
        <v>4</v>
      </c>
      <c r="F1038" s="57">
        <f t="shared" si="40"/>
        <v>32</v>
      </c>
    </row>
    <row r="1039" spans="1:6" x14ac:dyDescent="0.25">
      <c r="A1039" s="5" t="s">
        <v>21</v>
      </c>
      <c r="B1039" s="19">
        <v>43936</v>
      </c>
      <c r="C1039" s="4">
        <v>6</v>
      </c>
      <c r="D1039" s="21">
        <v>228</v>
      </c>
      <c r="E1039" s="4">
        <v>1</v>
      </c>
      <c r="F1039" s="57">
        <f t="shared" si="40"/>
        <v>6</v>
      </c>
    </row>
    <row r="1040" spans="1:6" x14ac:dyDescent="0.25">
      <c r="A1040" s="5" t="s">
        <v>31</v>
      </c>
      <c r="B1040" s="19">
        <v>43936</v>
      </c>
      <c r="C1040" s="4">
        <v>-1</v>
      </c>
      <c r="D1040" s="21">
        <v>31</v>
      </c>
      <c r="F1040" s="57">
        <f t="shared" si="40"/>
        <v>0</v>
      </c>
    </row>
    <row r="1041" spans="1:6" x14ac:dyDescent="0.25">
      <c r="A1041" s="5" t="s">
        <v>32</v>
      </c>
      <c r="B1041" s="19">
        <v>43936</v>
      </c>
      <c r="C1041" s="4">
        <v>0</v>
      </c>
      <c r="D1041" s="21">
        <v>21</v>
      </c>
      <c r="F1041" s="57">
        <f t="shared" si="40"/>
        <v>0</v>
      </c>
    </row>
    <row r="1042" spans="1:6" x14ac:dyDescent="0.25">
      <c r="A1042" s="5" t="s">
        <v>42</v>
      </c>
      <c r="B1042" s="19">
        <v>43936</v>
      </c>
      <c r="C1042" s="4">
        <v>0</v>
      </c>
      <c r="D1042" s="21">
        <v>0</v>
      </c>
      <c r="F1042" s="57">
        <f t="shared" si="40"/>
        <v>0</v>
      </c>
    </row>
    <row r="1043" spans="1:6" x14ac:dyDescent="0.25">
      <c r="A1043" s="5" t="s">
        <v>33</v>
      </c>
      <c r="B1043" s="19">
        <v>43936</v>
      </c>
      <c r="C1043" s="4">
        <v>0</v>
      </c>
      <c r="D1043" s="21">
        <v>5</v>
      </c>
      <c r="F1043" s="57">
        <f t="shared" si="40"/>
        <v>0</v>
      </c>
    </row>
    <row r="1044" spans="1:6" x14ac:dyDescent="0.25">
      <c r="A1044" s="5" t="s">
        <v>34</v>
      </c>
      <c r="B1044" s="19">
        <v>43936</v>
      </c>
      <c r="C1044" s="4">
        <v>0</v>
      </c>
      <c r="D1044" s="21">
        <v>5</v>
      </c>
      <c r="F1044" s="57">
        <f t="shared" si="40"/>
        <v>0</v>
      </c>
    </row>
    <row r="1045" spans="1:6" x14ac:dyDescent="0.25">
      <c r="A1045" s="5" t="s">
        <v>22</v>
      </c>
      <c r="B1045" s="19">
        <v>43936</v>
      </c>
      <c r="C1045" s="4">
        <v>3</v>
      </c>
      <c r="D1045" s="21">
        <v>31</v>
      </c>
      <c r="E1045" s="4">
        <v>1</v>
      </c>
      <c r="F1045" s="57">
        <f t="shared" si="40"/>
        <v>2</v>
      </c>
    </row>
    <row r="1046" spans="1:6" x14ac:dyDescent="0.25">
      <c r="A1046" s="5" t="s">
        <v>18</v>
      </c>
      <c r="B1046" s="19">
        <v>43936</v>
      </c>
      <c r="C1046" s="4">
        <v>1</v>
      </c>
      <c r="D1046" s="21">
        <v>63</v>
      </c>
      <c r="F1046" s="57">
        <f t="shared" si="40"/>
        <v>4</v>
      </c>
    </row>
    <row r="1047" spans="1:6" x14ac:dyDescent="0.25">
      <c r="A1047" s="5" t="s">
        <v>24</v>
      </c>
      <c r="B1047" s="19">
        <v>43936</v>
      </c>
      <c r="C1047" s="4">
        <v>0</v>
      </c>
      <c r="D1047" s="21">
        <v>3</v>
      </c>
      <c r="F1047" s="57">
        <f t="shared" si="40"/>
        <v>0</v>
      </c>
    </row>
    <row r="1048" spans="1:6" x14ac:dyDescent="0.25">
      <c r="A1048" s="5" t="s">
        <v>20</v>
      </c>
      <c r="B1048" s="19">
        <v>43936</v>
      </c>
      <c r="C1048" s="4">
        <v>1</v>
      </c>
      <c r="D1048" s="21">
        <v>91</v>
      </c>
      <c r="F1048" s="57">
        <f t="shared" si="40"/>
        <v>3</v>
      </c>
    </row>
    <row r="1049" spans="1:6" x14ac:dyDescent="0.25">
      <c r="A1049" s="5" t="s">
        <v>19</v>
      </c>
      <c r="B1049" s="19">
        <v>43936</v>
      </c>
      <c r="C1049" s="4">
        <v>12</v>
      </c>
      <c r="D1049" s="21">
        <v>106</v>
      </c>
      <c r="F1049" s="57">
        <f t="shared" si="40"/>
        <v>4</v>
      </c>
    </row>
    <row r="1050" spans="1:6" x14ac:dyDescent="0.25">
      <c r="A1050" s="5" t="s">
        <v>35</v>
      </c>
      <c r="B1050" s="19">
        <v>43936</v>
      </c>
      <c r="C1050" s="4">
        <v>1</v>
      </c>
      <c r="D1050" s="21">
        <v>4</v>
      </c>
      <c r="F1050" s="57">
        <f t="shared" si="40"/>
        <v>0</v>
      </c>
    </row>
    <row r="1051" spans="1:6" x14ac:dyDescent="0.25">
      <c r="A1051" s="5" t="s">
        <v>36</v>
      </c>
      <c r="B1051" s="19">
        <v>43936</v>
      </c>
      <c r="C1051" s="4">
        <v>0</v>
      </c>
      <c r="D1051" s="21">
        <v>2</v>
      </c>
      <c r="F1051" s="57">
        <f t="shared" si="40"/>
        <v>0</v>
      </c>
    </row>
    <row r="1052" spans="1:6" x14ac:dyDescent="0.25">
      <c r="A1052" s="5" t="s">
        <v>37</v>
      </c>
      <c r="B1052" s="19">
        <v>43936</v>
      </c>
      <c r="C1052" s="4">
        <v>0</v>
      </c>
      <c r="D1052" s="21">
        <v>11</v>
      </c>
      <c r="F1052" s="57">
        <f t="shared" si="40"/>
        <v>0</v>
      </c>
    </row>
    <row r="1053" spans="1:6" x14ac:dyDescent="0.25">
      <c r="A1053" s="5" t="s">
        <v>38</v>
      </c>
      <c r="B1053" s="19">
        <v>43936</v>
      </c>
      <c r="C1053" s="4">
        <v>0</v>
      </c>
      <c r="D1053" s="21">
        <v>40</v>
      </c>
      <c r="F1053" s="57">
        <f t="shared" si="40"/>
        <v>0</v>
      </c>
    </row>
    <row r="1054" spans="1:6" x14ac:dyDescent="0.25">
      <c r="A1054" s="5" t="s">
        <v>23</v>
      </c>
      <c r="B1054" s="19">
        <v>43936</v>
      </c>
      <c r="C1054" s="4">
        <v>2</v>
      </c>
      <c r="D1054" s="21">
        <v>209</v>
      </c>
      <c r="F1054" s="57">
        <f>E1054+F1030</f>
        <v>2</v>
      </c>
    </row>
    <row r="1055" spans="1:6" x14ac:dyDescent="0.25">
      <c r="A1055" s="5" t="s">
        <v>39</v>
      </c>
      <c r="B1055" s="19">
        <v>43936</v>
      </c>
      <c r="C1055" s="4">
        <v>0</v>
      </c>
      <c r="D1055" s="21">
        <v>12</v>
      </c>
      <c r="F1055" s="57">
        <f t="shared" si="40"/>
        <v>0</v>
      </c>
    </row>
    <row r="1056" spans="1:6" x14ac:dyDescent="0.25">
      <c r="A1056" s="5" t="s">
        <v>40</v>
      </c>
      <c r="B1056" s="19">
        <v>43936</v>
      </c>
      <c r="C1056" s="4">
        <v>3</v>
      </c>
      <c r="D1056" s="21">
        <v>110</v>
      </c>
      <c r="F1056" s="57">
        <f t="shared" si="40"/>
        <v>0</v>
      </c>
    </row>
    <row r="1057" spans="1:6" x14ac:dyDescent="0.25">
      <c r="A1057" s="5" t="s">
        <v>41</v>
      </c>
      <c r="B1057" s="19">
        <v>43936</v>
      </c>
      <c r="C1057" s="4">
        <v>0</v>
      </c>
      <c r="D1057" s="21">
        <v>30</v>
      </c>
      <c r="F1057" s="57">
        <f t="shared" si="40"/>
        <v>2</v>
      </c>
    </row>
    <row r="1058" spans="1:6" x14ac:dyDescent="0.25">
      <c r="A1058" s="42" t="s">
        <v>17</v>
      </c>
      <c r="B1058" s="19">
        <v>43937</v>
      </c>
      <c r="C1058" s="4">
        <v>30</v>
      </c>
      <c r="D1058" s="21">
        <v>759</v>
      </c>
      <c r="E1058" s="4">
        <v>5</v>
      </c>
      <c r="F1058" s="57">
        <f>E1058+F1034</f>
        <v>48</v>
      </c>
    </row>
    <row r="1059" spans="1:6" x14ac:dyDescent="0.25">
      <c r="A1059" s="5" t="s">
        <v>29</v>
      </c>
      <c r="B1059" s="19">
        <v>43937</v>
      </c>
      <c r="C1059" s="4">
        <v>0</v>
      </c>
      <c r="D1059" s="21">
        <v>0</v>
      </c>
      <c r="F1059" s="57">
        <f t="shared" ref="F1059:F1081" si="41">E1059+F1035</f>
        <v>0</v>
      </c>
    </row>
    <row r="1060" spans="1:6" x14ac:dyDescent="0.25">
      <c r="A1060" s="5" t="s">
        <v>16</v>
      </c>
      <c r="B1060" s="19">
        <v>43937</v>
      </c>
      <c r="C1060" s="4">
        <v>11</v>
      </c>
      <c r="D1060" s="21">
        <v>202</v>
      </c>
      <c r="E1060" s="4">
        <v>1</v>
      </c>
      <c r="F1060" s="57">
        <f t="shared" si="41"/>
        <v>9</v>
      </c>
    </row>
    <row r="1061" spans="1:6" x14ac:dyDescent="0.25">
      <c r="A1061" s="5" t="s">
        <v>30</v>
      </c>
      <c r="B1061" s="19">
        <v>43937</v>
      </c>
      <c r="C1061" s="4">
        <v>0</v>
      </c>
      <c r="D1061" s="21">
        <v>1</v>
      </c>
      <c r="F1061" s="57">
        <f t="shared" si="41"/>
        <v>1</v>
      </c>
    </row>
    <row r="1062" spans="1:6" x14ac:dyDescent="0.25">
      <c r="A1062" s="5" t="s">
        <v>44</v>
      </c>
      <c r="B1062" s="19">
        <v>43937</v>
      </c>
      <c r="C1062" s="4">
        <v>15</v>
      </c>
      <c r="D1062" s="21">
        <v>663</v>
      </c>
      <c r="E1062" s="4">
        <v>3</v>
      </c>
      <c r="F1062" s="57">
        <f t="shared" si="41"/>
        <v>35</v>
      </c>
    </row>
    <row r="1063" spans="1:6" x14ac:dyDescent="0.25">
      <c r="A1063" s="5" t="s">
        <v>21</v>
      </c>
      <c r="B1063" s="19">
        <v>43937</v>
      </c>
      <c r="C1063" s="4">
        <v>13</v>
      </c>
      <c r="D1063" s="21">
        <v>241</v>
      </c>
      <c r="F1063" s="57">
        <f t="shared" si="41"/>
        <v>6</v>
      </c>
    </row>
    <row r="1064" spans="1:6" x14ac:dyDescent="0.25">
      <c r="A1064" s="5" t="s">
        <v>31</v>
      </c>
      <c r="B1064" s="19">
        <v>43937</v>
      </c>
      <c r="C1064" s="4">
        <v>0</v>
      </c>
      <c r="D1064" s="21">
        <v>31</v>
      </c>
      <c r="F1064" s="57">
        <f t="shared" si="41"/>
        <v>0</v>
      </c>
    </row>
    <row r="1065" spans="1:6" x14ac:dyDescent="0.25">
      <c r="A1065" s="5" t="s">
        <v>32</v>
      </c>
      <c r="B1065" s="19">
        <v>43937</v>
      </c>
      <c r="C1065" s="4">
        <v>1</v>
      </c>
      <c r="D1065" s="21">
        <v>22</v>
      </c>
      <c r="F1065" s="57">
        <f t="shared" si="41"/>
        <v>0</v>
      </c>
    </row>
    <row r="1066" spans="1:6" x14ac:dyDescent="0.25">
      <c r="A1066" s="5" t="s">
        <v>42</v>
      </c>
      <c r="B1066" s="19">
        <v>43937</v>
      </c>
      <c r="C1066" s="4">
        <v>0</v>
      </c>
      <c r="D1066" s="21">
        <v>0</v>
      </c>
      <c r="F1066" s="57">
        <f t="shared" si="41"/>
        <v>0</v>
      </c>
    </row>
    <row r="1067" spans="1:6" x14ac:dyDescent="0.25">
      <c r="A1067" s="5" t="s">
        <v>33</v>
      </c>
      <c r="B1067" s="19">
        <v>43937</v>
      </c>
      <c r="C1067" s="4">
        <v>0</v>
      </c>
      <c r="D1067" s="21">
        <v>5</v>
      </c>
      <c r="F1067" s="57">
        <f t="shared" si="41"/>
        <v>0</v>
      </c>
    </row>
    <row r="1068" spans="1:6" x14ac:dyDescent="0.25">
      <c r="A1068" s="5" t="s">
        <v>34</v>
      </c>
      <c r="B1068" s="19">
        <v>43937</v>
      </c>
      <c r="C1068" s="4">
        <v>0</v>
      </c>
      <c r="D1068" s="21">
        <v>5</v>
      </c>
      <c r="F1068" s="57">
        <f t="shared" si="41"/>
        <v>0</v>
      </c>
    </row>
    <row r="1069" spans="1:6" x14ac:dyDescent="0.25">
      <c r="A1069" s="5" t="s">
        <v>22</v>
      </c>
      <c r="B1069" s="19">
        <v>43937</v>
      </c>
      <c r="C1069" s="4">
        <v>3</v>
      </c>
      <c r="D1069" s="21">
        <v>34</v>
      </c>
      <c r="F1069" s="57">
        <f t="shared" si="41"/>
        <v>2</v>
      </c>
    </row>
    <row r="1070" spans="1:6" x14ac:dyDescent="0.25">
      <c r="A1070" s="5" t="s">
        <v>18</v>
      </c>
      <c r="B1070" s="19">
        <v>43937</v>
      </c>
      <c r="C1070" s="4">
        <v>5</v>
      </c>
      <c r="D1070" s="21">
        <v>68</v>
      </c>
      <c r="E1070" s="4">
        <v>1</v>
      </c>
      <c r="F1070" s="57">
        <f t="shared" si="41"/>
        <v>5</v>
      </c>
    </row>
    <row r="1071" spans="1:6" x14ac:dyDescent="0.25">
      <c r="A1071" s="5" t="s">
        <v>24</v>
      </c>
      <c r="B1071" s="19">
        <v>43937</v>
      </c>
      <c r="C1071" s="4">
        <v>0</v>
      </c>
      <c r="D1071" s="21">
        <v>3</v>
      </c>
      <c r="F1071" s="57">
        <f t="shared" si="41"/>
        <v>0</v>
      </c>
    </row>
    <row r="1072" spans="1:6" x14ac:dyDescent="0.25">
      <c r="A1072" s="5" t="s">
        <v>20</v>
      </c>
      <c r="B1072" s="19">
        <v>43937</v>
      </c>
      <c r="C1072" s="4">
        <v>1</v>
      </c>
      <c r="D1072" s="21">
        <v>92</v>
      </c>
      <c r="F1072" s="57">
        <f t="shared" si="41"/>
        <v>3</v>
      </c>
    </row>
    <row r="1073" spans="1:6" x14ac:dyDescent="0.25">
      <c r="A1073" s="5" t="s">
        <v>19</v>
      </c>
      <c r="B1073" s="19">
        <v>43937</v>
      </c>
      <c r="C1073" s="4">
        <v>9</v>
      </c>
      <c r="D1073" s="21">
        <v>115</v>
      </c>
      <c r="F1073" s="57">
        <f t="shared" si="41"/>
        <v>4</v>
      </c>
    </row>
    <row r="1074" spans="1:6" x14ac:dyDescent="0.25">
      <c r="A1074" s="5" t="s">
        <v>35</v>
      </c>
      <c r="B1074" s="19">
        <v>43937</v>
      </c>
      <c r="C1074" s="4">
        <v>-1</v>
      </c>
      <c r="D1074" s="21">
        <v>3</v>
      </c>
      <c r="F1074" s="57">
        <f t="shared" si="41"/>
        <v>0</v>
      </c>
    </row>
    <row r="1075" spans="1:6" x14ac:dyDescent="0.25">
      <c r="A1075" s="5" t="s">
        <v>36</v>
      </c>
      <c r="B1075" s="19">
        <v>43937</v>
      </c>
      <c r="C1075" s="4">
        <v>0</v>
      </c>
      <c r="D1075" s="21">
        <v>2</v>
      </c>
      <c r="F1075" s="57">
        <f t="shared" si="41"/>
        <v>0</v>
      </c>
    </row>
    <row r="1076" spans="1:6" x14ac:dyDescent="0.25">
      <c r="A1076" s="5" t="s">
        <v>37</v>
      </c>
      <c r="B1076" s="19">
        <v>43937</v>
      </c>
      <c r="C1076" s="4">
        <v>0</v>
      </c>
      <c r="D1076" s="21">
        <v>11</v>
      </c>
      <c r="F1076" s="57">
        <f t="shared" si="41"/>
        <v>0</v>
      </c>
    </row>
    <row r="1077" spans="1:6" x14ac:dyDescent="0.25">
      <c r="A1077" s="5" t="s">
        <v>38</v>
      </c>
      <c r="B1077" s="19">
        <v>43937</v>
      </c>
      <c r="C1077" s="4">
        <v>0</v>
      </c>
      <c r="D1077" s="21">
        <v>40</v>
      </c>
      <c r="F1077" s="57">
        <f t="shared" si="41"/>
        <v>0</v>
      </c>
    </row>
    <row r="1078" spans="1:6" x14ac:dyDescent="0.25">
      <c r="A1078" s="5" t="s">
        <v>23</v>
      </c>
      <c r="B1078" s="19">
        <v>43937</v>
      </c>
      <c r="C1078" s="4">
        <v>3</v>
      </c>
      <c r="D1078" s="21">
        <v>212</v>
      </c>
      <c r="F1078" s="57">
        <f>E1078+F1054</f>
        <v>2</v>
      </c>
    </row>
    <row r="1079" spans="1:6" x14ac:dyDescent="0.25">
      <c r="A1079" s="5" t="s">
        <v>39</v>
      </c>
      <c r="B1079" s="19">
        <v>43937</v>
      </c>
      <c r="C1079" s="4">
        <v>0</v>
      </c>
      <c r="D1079" s="21">
        <v>12</v>
      </c>
      <c r="F1079" s="57">
        <f t="shared" si="41"/>
        <v>0</v>
      </c>
    </row>
    <row r="1080" spans="1:6" x14ac:dyDescent="0.25">
      <c r="A1080" s="5" t="s">
        <v>40</v>
      </c>
      <c r="B1080" s="19">
        <v>43937</v>
      </c>
      <c r="C1080" s="4">
        <v>7</v>
      </c>
      <c r="D1080" s="21">
        <v>117</v>
      </c>
      <c r="F1080" s="57">
        <f t="shared" si="41"/>
        <v>0</v>
      </c>
    </row>
    <row r="1081" spans="1:6" x14ac:dyDescent="0.25">
      <c r="A1081" s="5" t="s">
        <v>41</v>
      </c>
      <c r="B1081" s="19">
        <v>43937</v>
      </c>
      <c r="C1081" s="4">
        <v>0</v>
      </c>
      <c r="D1081" s="21">
        <v>30</v>
      </c>
      <c r="F1081" s="57">
        <f t="shared" si="41"/>
        <v>2</v>
      </c>
    </row>
    <row r="1082" spans="1:6" x14ac:dyDescent="0.25">
      <c r="A1082" s="42" t="s">
        <v>17</v>
      </c>
      <c r="B1082" s="19">
        <v>43938</v>
      </c>
      <c r="C1082" s="4">
        <v>35</v>
      </c>
      <c r="D1082" s="21">
        <v>794</v>
      </c>
      <c r="E1082" s="4">
        <v>3</v>
      </c>
      <c r="F1082" s="57">
        <f>E1082+F1058</f>
        <v>51</v>
      </c>
    </row>
    <row r="1083" spans="1:6" x14ac:dyDescent="0.25">
      <c r="A1083" s="5" t="s">
        <v>29</v>
      </c>
      <c r="B1083" s="19">
        <v>43938</v>
      </c>
      <c r="C1083" s="4">
        <v>0</v>
      </c>
      <c r="D1083" s="21">
        <v>0</v>
      </c>
      <c r="F1083" s="57">
        <f t="shared" ref="F1083:F1105" si="42">E1083+F1059</f>
        <v>0</v>
      </c>
    </row>
    <row r="1084" spans="1:6" x14ac:dyDescent="0.25">
      <c r="A1084" s="5" t="s">
        <v>16</v>
      </c>
      <c r="B1084" s="19">
        <v>43938</v>
      </c>
      <c r="C1084" s="4">
        <v>22</v>
      </c>
      <c r="D1084" s="21">
        <v>224</v>
      </c>
      <c r="F1084" s="57">
        <f t="shared" si="42"/>
        <v>9</v>
      </c>
    </row>
    <row r="1085" spans="1:6" x14ac:dyDescent="0.25">
      <c r="A1085" s="5" t="s">
        <v>30</v>
      </c>
      <c r="B1085" s="19">
        <v>43938</v>
      </c>
      <c r="C1085" s="4">
        <v>0</v>
      </c>
      <c r="D1085" s="21">
        <v>1</v>
      </c>
      <c r="F1085" s="57">
        <f t="shared" si="42"/>
        <v>1</v>
      </c>
    </row>
    <row r="1086" spans="1:6" x14ac:dyDescent="0.25">
      <c r="A1086" s="5" t="s">
        <v>44</v>
      </c>
      <c r="B1086" s="19">
        <v>43938</v>
      </c>
      <c r="C1086" s="4">
        <v>14</v>
      </c>
      <c r="D1086" s="21">
        <v>677</v>
      </c>
      <c r="E1086" s="4">
        <v>1</v>
      </c>
      <c r="F1086" s="57">
        <f t="shared" si="42"/>
        <v>36</v>
      </c>
    </row>
    <row r="1087" spans="1:6" x14ac:dyDescent="0.25">
      <c r="A1087" s="5" t="s">
        <v>21</v>
      </c>
      <c r="B1087" s="19">
        <v>43938</v>
      </c>
      <c r="C1087" s="4">
        <v>6</v>
      </c>
      <c r="D1087" s="21">
        <v>247</v>
      </c>
      <c r="F1087" s="57">
        <f t="shared" si="42"/>
        <v>6</v>
      </c>
    </row>
    <row r="1088" spans="1:6" x14ac:dyDescent="0.25">
      <c r="A1088" s="5" t="s">
        <v>31</v>
      </c>
      <c r="B1088" s="19">
        <v>43938</v>
      </c>
      <c r="C1088" s="4">
        <v>0</v>
      </c>
      <c r="D1088" s="21">
        <v>31</v>
      </c>
      <c r="F1088" s="57">
        <f t="shared" si="42"/>
        <v>0</v>
      </c>
    </row>
    <row r="1089" spans="1:6" x14ac:dyDescent="0.25">
      <c r="A1089" s="5" t="s">
        <v>32</v>
      </c>
      <c r="B1089" s="19">
        <v>43938</v>
      </c>
      <c r="C1089" s="4">
        <v>0</v>
      </c>
      <c r="D1089" s="21">
        <v>22</v>
      </c>
      <c r="F1089" s="57">
        <f t="shared" si="42"/>
        <v>0</v>
      </c>
    </row>
    <row r="1090" spans="1:6" x14ac:dyDescent="0.25">
      <c r="A1090" s="5" t="s">
        <v>42</v>
      </c>
      <c r="B1090" s="19">
        <v>43938</v>
      </c>
      <c r="C1090" s="4">
        <v>0</v>
      </c>
      <c r="D1090" s="21">
        <v>0</v>
      </c>
      <c r="F1090" s="57">
        <f t="shared" si="42"/>
        <v>0</v>
      </c>
    </row>
    <row r="1091" spans="1:6" x14ac:dyDescent="0.25">
      <c r="A1091" s="5" t="s">
        <v>33</v>
      </c>
      <c r="B1091" s="19">
        <v>43938</v>
      </c>
      <c r="C1091" s="4">
        <v>0</v>
      </c>
      <c r="D1091" s="21">
        <v>5</v>
      </c>
      <c r="F1091" s="57">
        <f t="shared" si="42"/>
        <v>0</v>
      </c>
    </row>
    <row r="1092" spans="1:6" x14ac:dyDescent="0.25">
      <c r="A1092" s="5" t="s">
        <v>34</v>
      </c>
      <c r="B1092" s="19">
        <v>43938</v>
      </c>
      <c r="C1092" s="4">
        <v>0</v>
      </c>
      <c r="D1092" s="21">
        <v>5</v>
      </c>
      <c r="F1092" s="57">
        <f t="shared" si="42"/>
        <v>0</v>
      </c>
    </row>
    <row r="1093" spans="1:6" x14ac:dyDescent="0.25">
      <c r="A1093" s="5" t="s">
        <v>22</v>
      </c>
      <c r="B1093" s="19">
        <v>43938</v>
      </c>
      <c r="C1093" s="4">
        <v>1</v>
      </c>
      <c r="D1093" s="21">
        <v>35</v>
      </c>
      <c r="E1093" s="4">
        <v>1</v>
      </c>
      <c r="F1093" s="57">
        <f t="shared" si="42"/>
        <v>3</v>
      </c>
    </row>
    <row r="1094" spans="1:6" x14ac:dyDescent="0.25">
      <c r="A1094" s="5" t="s">
        <v>18</v>
      </c>
      <c r="B1094" s="19">
        <v>43938</v>
      </c>
      <c r="C1094" s="4">
        <v>1</v>
      </c>
      <c r="D1094" s="21">
        <v>69</v>
      </c>
      <c r="E1094" s="4">
        <v>2</v>
      </c>
      <c r="F1094" s="57">
        <f t="shared" si="42"/>
        <v>7</v>
      </c>
    </row>
    <row r="1095" spans="1:6" x14ac:dyDescent="0.25">
      <c r="A1095" s="5" t="s">
        <v>24</v>
      </c>
      <c r="B1095" s="19">
        <v>43938</v>
      </c>
      <c r="C1095" s="4">
        <v>1</v>
      </c>
      <c r="D1095" s="21">
        <v>4</v>
      </c>
      <c r="F1095" s="57">
        <f t="shared" si="42"/>
        <v>0</v>
      </c>
    </row>
    <row r="1096" spans="1:6" x14ac:dyDescent="0.25">
      <c r="A1096" s="5" t="s">
        <v>20</v>
      </c>
      <c r="B1096" s="19">
        <v>43938</v>
      </c>
      <c r="C1096" s="4">
        <v>1</v>
      </c>
      <c r="D1096" s="21">
        <v>93</v>
      </c>
      <c r="F1096" s="57">
        <f t="shared" si="42"/>
        <v>3</v>
      </c>
    </row>
    <row r="1097" spans="1:6" x14ac:dyDescent="0.25">
      <c r="A1097" s="5" t="s">
        <v>19</v>
      </c>
      <c r="B1097" s="19">
        <v>43938</v>
      </c>
      <c r="C1097" s="4">
        <v>1</v>
      </c>
      <c r="D1097" s="21">
        <v>116</v>
      </c>
      <c r="F1097" s="57">
        <f t="shared" si="42"/>
        <v>4</v>
      </c>
    </row>
    <row r="1098" spans="1:6" x14ac:dyDescent="0.25">
      <c r="A1098" s="5" t="s">
        <v>35</v>
      </c>
      <c r="B1098" s="19">
        <v>43938</v>
      </c>
      <c r="C1098" s="4">
        <v>0</v>
      </c>
      <c r="D1098" s="21">
        <v>3</v>
      </c>
      <c r="F1098" s="57">
        <f t="shared" si="42"/>
        <v>0</v>
      </c>
    </row>
    <row r="1099" spans="1:6" x14ac:dyDescent="0.25">
      <c r="A1099" s="5" t="s">
        <v>36</v>
      </c>
      <c r="B1099" s="19">
        <v>43938</v>
      </c>
      <c r="C1099" s="4">
        <v>0</v>
      </c>
      <c r="D1099" s="21">
        <v>2</v>
      </c>
      <c r="F1099" s="57">
        <f t="shared" si="42"/>
        <v>0</v>
      </c>
    </row>
    <row r="1100" spans="1:6" x14ac:dyDescent="0.25">
      <c r="A1100" s="5" t="s">
        <v>37</v>
      </c>
      <c r="B1100" s="19">
        <v>43938</v>
      </c>
      <c r="C1100" s="4">
        <v>0</v>
      </c>
      <c r="D1100" s="21">
        <v>11</v>
      </c>
      <c r="F1100" s="57">
        <f t="shared" si="42"/>
        <v>0</v>
      </c>
    </row>
    <row r="1101" spans="1:6" x14ac:dyDescent="0.25">
      <c r="A1101" s="5" t="s">
        <v>38</v>
      </c>
      <c r="B1101" s="19">
        <v>43938</v>
      </c>
      <c r="C1101" s="4">
        <v>0</v>
      </c>
      <c r="D1101" s="21">
        <v>40</v>
      </c>
      <c r="F1101" s="57">
        <f t="shared" si="42"/>
        <v>0</v>
      </c>
    </row>
    <row r="1102" spans="1:6" x14ac:dyDescent="0.25">
      <c r="A1102" s="5" t="s">
        <v>23</v>
      </c>
      <c r="B1102" s="19">
        <v>43938</v>
      </c>
      <c r="C1102" s="4">
        <v>6</v>
      </c>
      <c r="D1102" s="21">
        <v>218</v>
      </c>
      <c r="F1102" s="57">
        <f>E1102+F1078</f>
        <v>2</v>
      </c>
    </row>
    <row r="1103" spans="1:6" x14ac:dyDescent="0.25">
      <c r="A1103" s="5" t="s">
        <v>39</v>
      </c>
      <c r="B1103" s="19">
        <v>43938</v>
      </c>
      <c r="C1103" s="4">
        <v>0</v>
      </c>
      <c r="D1103" s="21">
        <v>12</v>
      </c>
      <c r="F1103" s="57">
        <f t="shared" si="42"/>
        <v>0</v>
      </c>
    </row>
    <row r="1104" spans="1:6" x14ac:dyDescent="0.25">
      <c r="A1104" s="5" t="s">
        <v>40</v>
      </c>
      <c r="B1104" s="19">
        <v>43938</v>
      </c>
      <c r="C1104" s="4">
        <v>2</v>
      </c>
      <c r="D1104" s="21">
        <v>119</v>
      </c>
      <c r="F1104" s="57">
        <f t="shared" si="42"/>
        <v>0</v>
      </c>
    </row>
    <row r="1105" spans="1:6" x14ac:dyDescent="0.25">
      <c r="A1105" s="5" t="s">
        <v>41</v>
      </c>
      <c r="B1105" s="19">
        <v>43938</v>
      </c>
      <c r="C1105" s="4">
        <v>0</v>
      </c>
      <c r="D1105" s="21">
        <v>30</v>
      </c>
      <c r="F1105" s="57">
        <f t="shared" si="42"/>
        <v>2</v>
      </c>
    </row>
    <row r="1106" spans="1:6" x14ac:dyDescent="0.25">
      <c r="A1106" s="42" t="s">
        <v>17</v>
      </c>
      <c r="B1106" s="19">
        <v>43939</v>
      </c>
      <c r="C1106" s="4">
        <v>31</v>
      </c>
      <c r="D1106" s="21">
        <v>825</v>
      </c>
      <c r="E1106" s="4">
        <v>2</v>
      </c>
      <c r="F1106" s="57">
        <f>E1106+F1082</f>
        <v>53</v>
      </c>
    </row>
    <row r="1107" spans="1:6" x14ac:dyDescent="0.25">
      <c r="A1107" s="5" t="s">
        <v>29</v>
      </c>
      <c r="B1107" s="19">
        <v>43939</v>
      </c>
      <c r="C1107" s="4">
        <v>0</v>
      </c>
      <c r="D1107" s="21">
        <v>0</v>
      </c>
      <c r="F1107" s="57">
        <f t="shared" ref="F1107:F1129" si="43">E1107+F1083</f>
        <v>0</v>
      </c>
    </row>
    <row r="1108" spans="1:6" x14ac:dyDescent="0.25">
      <c r="A1108" s="5" t="s">
        <v>16</v>
      </c>
      <c r="B1108" s="19">
        <v>43939</v>
      </c>
      <c r="C1108" s="4">
        <v>24</v>
      </c>
      <c r="D1108" s="21">
        <v>248</v>
      </c>
      <c r="F1108" s="57">
        <f t="shared" si="43"/>
        <v>9</v>
      </c>
    </row>
    <row r="1109" spans="1:6" x14ac:dyDescent="0.25">
      <c r="A1109" s="5" t="s">
        <v>30</v>
      </c>
      <c r="B1109" s="19">
        <v>43939</v>
      </c>
      <c r="C1109" s="4">
        <v>0</v>
      </c>
      <c r="D1109" s="21">
        <v>1</v>
      </c>
      <c r="F1109" s="57">
        <f t="shared" si="43"/>
        <v>1</v>
      </c>
    </row>
    <row r="1110" spans="1:6" x14ac:dyDescent="0.25">
      <c r="A1110" s="5" t="s">
        <v>44</v>
      </c>
      <c r="B1110" s="19">
        <v>43939</v>
      </c>
      <c r="C1110" s="4">
        <v>14</v>
      </c>
      <c r="D1110" s="21">
        <v>691</v>
      </c>
      <c r="E1110" s="4">
        <v>1</v>
      </c>
      <c r="F1110" s="57">
        <f t="shared" si="43"/>
        <v>37</v>
      </c>
    </row>
    <row r="1111" spans="1:6" x14ac:dyDescent="0.25">
      <c r="A1111" s="5" t="s">
        <v>21</v>
      </c>
      <c r="B1111" s="19">
        <v>43939</v>
      </c>
      <c r="C1111" s="4">
        <v>2</v>
      </c>
      <c r="D1111" s="21">
        <v>249</v>
      </c>
      <c r="F1111" s="57">
        <f t="shared" si="43"/>
        <v>6</v>
      </c>
    </row>
    <row r="1112" spans="1:6" x14ac:dyDescent="0.25">
      <c r="A1112" s="5" t="s">
        <v>31</v>
      </c>
      <c r="B1112" s="19">
        <v>43939</v>
      </c>
      <c r="C1112" s="4">
        <v>0</v>
      </c>
      <c r="D1112" s="21">
        <v>31</v>
      </c>
      <c r="F1112" s="57">
        <f t="shared" si="43"/>
        <v>0</v>
      </c>
    </row>
    <row r="1113" spans="1:6" x14ac:dyDescent="0.25">
      <c r="A1113" s="5" t="s">
        <v>32</v>
      </c>
      <c r="B1113" s="19">
        <v>43939</v>
      </c>
      <c r="C1113" s="4">
        <v>0</v>
      </c>
      <c r="D1113" s="21">
        <v>22</v>
      </c>
      <c r="F1113" s="57">
        <f t="shared" si="43"/>
        <v>0</v>
      </c>
    </row>
    <row r="1114" spans="1:6" x14ac:dyDescent="0.25">
      <c r="A1114" s="5" t="s">
        <v>42</v>
      </c>
      <c r="B1114" s="19">
        <v>43939</v>
      </c>
      <c r="C1114" s="4">
        <v>0</v>
      </c>
      <c r="D1114" s="21">
        <v>0</v>
      </c>
      <c r="F1114" s="57">
        <f t="shared" si="43"/>
        <v>0</v>
      </c>
    </row>
    <row r="1115" spans="1:6" x14ac:dyDescent="0.25">
      <c r="A1115" s="5" t="s">
        <v>33</v>
      </c>
      <c r="B1115" s="19">
        <v>43939</v>
      </c>
      <c r="C1115" s="4">
        <v>0</v>
      </c>
      <c r="D1115" s="21">
        <v>5</v>
      </c>
      <c r="F1115" s="57">
        <f t="shared" si="43"/>
        <v>0</v>
      </c>
    </row>
    <row r="1116" spans="1:6" x14ac:dyDescent="0.25">
      <c r="A1116" s="5" t="s">
        <v>34</v>
      </c>
      <c r="B1116" s="19">
        <v>43939</v>
      </c>
      <c r="C1116" s="4">
        <v>0</v>
      </c>
      <c r="D1116" s="21">
        <v>5</v>
      </c>
      <c r="F1116" s="57">
        <f t="shared" si="43"/>
        <v>0</v>
      </c>
    </row>
    <row r="1117" spans="1:6" x14ac:dyDescent="0.25">
      <c r="A1117" s="5" t="s">
        <v>22</v>
      </c>
      <c r="B1117" s="19">
        <v>43939</v>
      </c>
      <c r="C1117" s="4">
        <v>0</v>
      </c>
      <c r="D1117" s="21">
        <v>35</v>
      </c>
      <c r="F1117" s="57">
        <f t="shared" si="43"/>
        <v>3</v>
      </c>
    </row>
    <row r="1118" spans="1:6" x14ac:dyDescent="0.25">
      <c r="A1118" s="5" t="s">
        <v>18</v>
      </c>
      <c r="B1118" s="19">
        <v>43939</v>
      </c>
      <c r="C1118" s="4">
        <v>0</v>
      </c>
      <c r="D1118" s="21">
        <v>69</v>
      </c>
      <c r="F1118" s="57">
        <f t="shared" si="43"/>
        <v>7</v>
      </c>
    </row>
    <row r="1119" spans="1:6" x14ac:dyDescent="0.25">
      <c r="A1119" s="5" t="s">
        <v>24</v>
      </c>
      <c r="B1119" s="19">
        <v>43939</v>
      </c>
      <c r="C1119" s="4">
        <v>1</v>
      </c>
      <c r="D1119" s="21">
        <v>5</v>
      </c>
      <c r="F1119" s="57">
        <f t="shared" si="43"/>
        <v>0</v>
      </c>
    </row>
    <row r="1120" spans="1:6" x14ac:dyDescent="0.25">
      <c r="A1120" s="5" t="s">
        <v>20</v>
      </c>
      <c r="B1120" s="19">
        <v>43939</v>
      </c>
      <c r="C1120" s="4">
        <v>3</v>
      </c>
      <c r="D1120" s="21">
        <v>96</v>
      </c>
      <c r="F1120" s="57">
        <f t="shared" si="43"/>
        <v>3</v>
      </c>
    </row>
    <row r="1121" spans="1:6" x14ac:dyDescent="0.25">
      <c r="A1121" s="5" t="s">
        <v>19</v>
      </c>
      <c r="B1121" s="19">
        <v>43939</v>
      </c>
      <c r="C1121" s="4">
        <v>3</v>
      </c>
      <c r="D1121" s="21">
        <v>119</v>
      </c>
      <c r="F1121" s="57">
        <f t="shared" si="43"/>
        <v>4</v>
      </c>
    </row>
    <row r="1122" spans="1:6" x14ac:dyDescent="0.25">
      <c r="A1122" s="5" t="s">
        <v>35</v>
      </c>
      <c r="B1122" s="19">
        <v>43939</v>
      </c>
      <c r="C1122" s="4">
        <v>0</v>
      </c>
      <c r="D1122" s="21">
        <v>3</v>
      </c>
      <c r="F1122" s="57">
        <f t="shared" si="43"/>
        <v>0</v>
      </c>
    </row>
    <row r="1123" spans="1:6" x14ac:dyDescent="0.25">
      <c r="A1123" s="5" t="s">
        <v>36</v>
      </c>
      <c r="B1123" s="19">
        <v>43939</v>
      </c>
      <c r="C1123" s="4">
        <v>0</v>
      </c>
      <c r="D1123" s="21">
        <v>2</v>
      </c>
      <c r="F1123" s="57">
        <f t="shared" si="43"/>
        <v>0</v>
      </c>
    </row>
    <row r="1124" spans="1:6" x14ac:dyDescent="0.25">
      <c r="A1124" s="5" t="s">
        <v>37</v>
      </c>
      <c r="B1124" s="19">
        <v>43939</v>
      </c>
      <c r="C1124" s="4">
        <v>0</v>
      </c>
      <c r="D1124" s="21">
        <v>11</v>
      </c>
      <c r="F1124" s="57">
        <f t="shared" si="43"/>
        <v>0</v>
      </c>
    </row>
    <row r="1125" spans="1:6" x14ac:dyDescent="0.25">
      <c r="A1125" s="5" t="s">
        <v>38</v>
      </c>
      <c r="B1125" s="19">
        <v>43939</v>
      </c>
      <c r="C1125" s="4">
        <v>0</v>
      </c>
      <c r="D1125" s="21">
        <v>40</v>
      </c>
      <c r="F1125" s="57">
        <f t="shared" si="43"/>
        <v>0</v>
      </c>
    </row>
    <row r="1126" spans="1:6" x14ac:dyDescent="0.25">
      <c r="A1126" s="5" t="s">
        <v>23</v>
      </c>
      <c r="B1126" s="19">
        <v>43939</v>
      </c>
      <c r="C1126" s="4">
        <v>3</v>
      </c>
      <c r="D1126" s="21">
        <v>221</v>
      </c>
      <c r="F1126" s="57">
        <f>E1126+F1102</f>
        <v>2</v>
      </c>
    </row>
    <row r="1127" spans="1:6" x14ac:dyDescent="0.25">
      <c r="A1127" s="5" t="s">
        <v>39</v>
      </c>
      <c r="B1127" s="19">
        <v>43939</v>
      </c>
      <c r="C1127" s="4">
        <v>0</v>
      </c>
      <c r="D1127" s="21">
        <v>12</v>
      </c>
      <c r="F1127" s="57">
        <f t="shared" si="43"/>
        <v>0</v>
      </c>
    </row>
    <row r="1128" spans="1:6" x14ac:dyDescent="0.25">
      <c r="A1128" s="5" t="s">
        <v>40</v>
      </c>
      <c r="B1128" s="19">
        <v>43939</v>
      </c>
      <c r="C1128" s="4">
        <v>0</v>
      </c>
      <c r="D1128" s="21">
        <v>119</v>
      </c>
      <c r="F1128" s="57">
        <f t="shared" si="43"/>
        <v>0</v>
      </c>
    </row>
    <row r="1129" spans="1:6" x14ac:dyDescent="0.25">
      <c r="A1129" s="5" t="s">
        <v>41</v>
      </c>
      <c r="B1129" s="19">
        <v>43939</v>
      </c>
      <c r="C1129" s="4">
        <v>0</v>
      </c>
      <c r="D1129" s="21">
        <v>30</v>
      </c>
      <c r="F1129" s="57">
        <f t="shared" si="43"/>
        <v>2</v>
      </c>
    </row>
    <row r="1130" spans="1:6" x14ac:dyDescent="0.25">
      <c r="A1130" s="42" t="s">
        <v>17</v>
      </c>
      <c r="B1130" s="19">
        <v>43940</v>
      </c>
      <c r="C1130" s="4">
        <v>48</v>
      </c>
      <c r="D1130" s="21">
        <v>873</v>
      </c>
      <c r="E1130" s="4">
        <v>1</v>
      </c>
      <c r="F1130" s="57">
        <f>E1130+F1106</f>
        <v>54</v>
      </c>
    </row>
    <row r="1131" spans="1:6" x14ac:dyDescent="0.25">
      <c r="A1131" s="5" t="s">
        <v>29</v>
      </c>
      <c r="B1131" s="19">
        <v>43940</v>
      </c>
      <c r="C1131" s="4">
        <v>0</v>
      </c>
      <c r="D1131" s="21">
        <v>0</v>
      </c>
      <c r="F1131" s="57">
        <f t="shared" ref="F1131:F1153" si="44">E1131+F1107</f>
        <v>0</v>
      </c>
    </row>
    <row r="1132" spans="1:6" x14ac:dyDescent="0.25">
      <c r="A1132" s="5" t="s">
        <v>16</v>
      </c>
      <c r="B1132" s="19">
        <v>43940</v>
      </c>
      <c r="C1132" s="4">
        <v>5</v>
      </c>
      <c r="D1132" s="21">
        <v>253</v>
      </c>
      <c r="F1132" s="57">
        <f t="shared" si="44"/>
        <v>9</v>
      </c>
    </row>
    <row r="1133" spans="1:6" x14ac:dyDescent="0.25">
      <c r="A1133" s="5" t="s">
        <v>30</v>
      </c>
      <c r="B1133" s="19">
        <v>43940</v>
      </c>
      <c r="C1133" s="4">
        <v>1</v>
      </c>
      <c r="D1133" s="21">
        <v>2</v>
      </c>
      <c r="F1133" s="57">
        <f t="shared" si="44"/>
        <v>1</v>
      </c>
    </row>
    <row r="1134" spans="1:6" x14ac:dyDescent="0.25">
      <c r="A1134" s="5" t="s">
        <v>44</v>
      </c>
      <c r="B1134" s="19">
        <v>43940</v>
      </c>
      <c r="C1134" s="4">
        <v>15</v>
      </c>
      <c r="D1134" s="21">
        <v>706</v>
      </c>
      <c r="F1134" s="57">
        <f t="shared" si="44"/>
        <v>37</v>
      </c>
    </row>
    <row r="1135" spans="1:6" x14ac:dyDescent="0.25">
      <c r="A1135" s="5" t="s">
        <v>21</v>
      </c>
      <c r="B1135" s="19">
        <v>43940</v>
      </c>
      <c r="C1135" s="4">
        <v>11</v>
      </c>
      <c r="D1135" s="21">
        <v>260</v>
      </c>
      <c r="E1135" s="4">
        <v>1</v>
      </c>
      <c r="F1135" s="57">
        <f t="shared" si="44"/>
        <v>7</v>
      </c>
    </row>
    <row r="1136" spans="1:6" x14ac:dyDescent="0.25">
      <c r="A1136" s="5" t="s">
        <v>31</v>
      </c>
      <c r="B1136" s="19">
        <v>43940</v>
      </c>
      <c r="C1136" s="4">
        <v>0</v>
      </c>
      <c r="D1136" s="21">
        <v>31</v>
      </c>
      <c r="F1136" s="57">
        <f t="shared" si="44"/>
        <v>0</v>
      </c>
    </row>
    <row r="1137" spans="1:6" x14ac:dyDescent="0.25">
      <c r="A1137" s="5" t="s">
        <v>32</v>
      </c>
      <c r="B1137" s="19">
        <v>43940</v>
      </c>
      <c r="C1137" s="4">
        <v>0</v>
      </c>
      <c r="D1137" s="21">
        <v>22</v>
      </c>
      <c r="F1137" s="57">
        <f t="shared" si="44"/>
        <v>0</v>
      </c>
    </row>
    <row r="1138" spans="1:6" x14ac:dyDescent="0.25">
      <c r="A1138" s="5" t="s">
        <v>42</v>
      </c>
      <c r="B1138" s="19">
        <v>43940</v>
      </c>
      <c r="C1138" s="4">
        <v>0</v>
      </c>
      <c r="D1138" s="21">
        <v>0</v>
      </c>
      <c r="F1138" s="57">
        <f t="shared" si="44"/>
        <v>0</v>
      </c>
    </row>
    <row r="1139" spans="1:6" x14ac:dyDescent="0.25">
      <c r="A1139" s="5" t="s">
        <v>33</v>
      </c>
      <c r="B1139" s="19">
        <v>43940</v>
      </c>
      <c r="C1139" s="4">
        <v>0</v>
      </c>
      <c r="D1139" s="21">
        <v>5</v>
      </c>
      <c r="F1139" s="57">
        <f t="shared" si="44"/>
        <v>0</v>
      </c>
    </row>
    <row r="1140" spans="1:6" x14ac:dyDescent="0.25">
      <c r="A1140" s="5" t="s">
        <v>34</v>
      </c>
      <c r="B1140" s="19">
        <v>43940</v>
      </c>
      <c r="C1140" s="4">
        <v>0</v>
      </c>
      <c r="D1140" s="21">
        <v>5</v>
      </c>
      <c r="F1140" s="57">
        <f t="shared" si="44"/>
        <v>0</v>
      </c>
    </row>
    <row r="1141" spans="1:6" x14ac:dyDescent="0.25">
      <c r="A1141" s="5" t="s">
        <v>22</v>
      </c>
      <c r="B1141" s="19">
        <v>43940</v>
      </c>
      <c r="C1141" s="4">
        <v>4</v>
      </c>
      <c r="D1141" s="21">
        <v>39</v>
      </c>
      <c r="F1141" s="57">
        <f t="shared" si="44"/>
        <v>3</v>
      </c>
    </row>
    <row r="1142" spans="1:6" x14ac:dyDescent="0.25">
      <c r="A1142" s="5" t="s">
        <v>18</v>
      </c>
      <c r="B1142" s="19">
        <v>43940</v>
      </c>
      <c r="C1142" s="4">
        <v>3</v>
      </c>
      <c r="D1142" s="21">
        <v>72</v>
      </c>
      <c r="F1142" s="57">
        <f t="shared" si="44"/>
        <v>7</v>
      </c>
    </row>
    <row r="1143" spans="1:6" x14ac:dyDescent="0.25">
      <c r="A1143" s="5" t="s">
        <v>24</v>
      </c>
      <c r="B1143" s="19">
        <v>43940</v>
      </c>
      <c r="C1143" s="4">
        <v>0</v>
      </c>
      <c r="D1143" s="21">
        <v>5</v>
      </c>
      <c r="F1143" s="57">
        <f t="shared" si="44"/>
        <v>0</v>
      </c>
    </row>
    <row r="1144" spans="1:6" x14ac:dyDescent="0.25">
      <c r="A1144" s="5" t="s">
        <v>20</v>
      </c>
      <c r="B1144" s="19">
        <v>43940</v>
      </c>
      <c r="C1144" s="4">
        <v>3</v>
      </c>
      <c r="D1144" s="21">
        <v>99</v>
      </c>
      <c r="F1144" s="57">
        <f t="shared" si="44"/>
        <v>3</v>
      </c>
    </row>
    <row r="1145" spans="1:6" x14ac:dyDescent="0.25">
      <c r="A1145" s="5" t="s">
        <v>19</v>
      </c>
      <c r="B1145" s="19">
        <v>43940</v>
      </c>
      <c r="C1145" s="4">
        <v>8</v>
      </c>
      <c r="D1145" s="21">
        <v>127</v>
      </c>
      <c r="F1145" s="57">
        <f t="shared" si="44"/>
        <v>4</v>
      </c>
    </row>
    <row r="1146" spans="1:6" x14ac:dyDescent="0.25">
      <c r="A1146" s="5" t="s">
        <v>35</v>
      </c>
      <c r="B1146" s="19">
        <v>43940</v>
      </c>
      <c r="C1146" s="4">
        <v>0</v>
      </c>
      <c r="D1146" s="21">
        <v>3</v>
      </c>
      <c r="F1146" s="57">
        <f t="shared" si="44"/>
        <v>0</v>
      </c>
    </row>
    <row r="1147" spans="1:6" x14ac:dyDescent="0.25">
      <c r="A1147" s="5" t="s">
        <v>36</v>
      </c>
      <c r="B1147" s="19">
        <v>43940</v>
      </c>
      <c r="C1147" s="4">
        <v>0</v>
      </c>
      <c r="D1147" s="21">
        <v>2</v>
      </c>
      <c r="F1147" s="57">
        <f t="shared" si="44"/>
        <v>0</v>
      </c>
    </row>
    <row r="1148" spans="1:6" x14ac:dyDescent="0.25">
      <c r="A1148" s="5" t="s">
        <v>37</v>
      </c>
      <c r="B1148" s="19">
        <v>43940</v>
      </c>
      <c r="C1148" s="4">
        <v>0</v>
      </c>
      <c r="D1148" s="21">
        <v>11</v>
      </c>
      <c r="F1148" s="57">
        <f t="shared" si="44"/>
        <v>0</v>
      </c>
    </row>
    <row r="1149" spans="1:6" x14ac:dyDescent="0.25">
      <c r="A1149" s="5" t="s">
        <v>38</v>
      </c>
      <c r="B1149" s="19">
        <v>43940</v>
      </c>
      <c r="C1149" s="4">
        <v>0</v>
      </c>
      <c r="D1149" s="21">
        <v>40</v>
      </c>
      <c r="F1149" s="57">
        <f t="shared" si="44"/>
        <v>0</v>
      </c>
    </row>
    <row r="1150" spans="1:6" x14ac:dyDescent="0.25">
      <c r="A1150" s="5" t="s">
        <v>23</v>
      </c>
      <c r="B1150" s="19">
        <v>43940</v>
      </c>
      <c r="C1150" s="4">
        <v>1</v>
      </c>
      <c r="D1150" s="21">
        <v>222</v>
      </c>
      <c r="F1150" s="57">
        <f>E1150+F1126</f>
        <v>2</v>
      </c>
    </row>
    <row r="1151" spans="1:6" x14ac:dyDescent="0.25">
      <c r="A1151" s="5" t="s">
        <v>39</v>
      </c>
      <c r="B1151" s="19">
        <v>43940</v>
      </c>
      <c r="C1151" s="4">
        <v>0</v>
      </c>
      <c r="D1151" s="21">
        <v>12</v>
      </c>
      <c r="F1151" s="57">
        <f t="shared" si="44"/>
        <v>0</v>
      </c>
    </row>
    <row r="1152" spans="1:6" x14ac:dyDescent="0.25">
      <c r="A1152" s="5" t="s">
        <v>40</v>
      </c>
      <c r="B1152" s="19">
        <v>43940</v>
      </c>
      <c r="C1152" s="4">
        <v>3</v>
      </c>
      <c r="D1152" s="21">
        <v>122</v>
      </c>
      <c r="F1152" s="57">
        <f t="shared" si="44"/>
        <v>0</v>
      </c>
    </row>
    <row r="1153" spans="1:6" x14ac:dyDescent="0.25">
      <c r="A1153" s="5" t="s">
        <v>41</v>
      </c>
      <c r="B1153" s="19">
        <v>43940</v>
      </c>
      <c r="C1153" s="4">
        <v>0</v>
      </c>
      <c r="D1153" s="21">
        <v>30</v>
      </c>
      <c r="F1153" s="57">
        <f t="shared" si="44"/>
        <v>2</v>
      </c>
    </row>
    <row r="1154" spans="1:6" x14ac:dyDescent="0.25">
      <c r="A1154" s="42" t="s">
        <v>17</v>
      </c>
      <c r="B1154" s="19">
        <v>43941</v>
      </c>
      <c r="C1154" s="4">
        <v>42</v>
      </c>
      <c r="D1154" s="21">
        <v>915</v>
      </c>
      <c r="F1154" s="57">
        <f>E1154+F1130</f>
        <v>54</v>
      </c>
    </row>
    <row r="1155" spans="1:6" x14ac:dyDescent="0.25">
      <c r="A1155" s="5" t="s">
        <v>29</v>
      </c>
      <c r="B1155" s="19">
        <v>43941</v>
      </c>
      <c r="C1155" s="4">
        <v>0</v>
      </c>
      <c r="D1155" s="21">
        <v>0</v>
      </c>
      <c r="F1155" s="57">
        <f t="shared" ref="F1155:F1177" si="45">E1155+F1131</f>
        <v>0</v>
      </c>
    </row>
    <row r="1156" spans="1:6" x14ac:dyDescent="0.25">
      <c r="A1156" s="5" t="s">
        <v>16</v>
      </c>
      <c r="B1156" s="19">
        <v>43941</v>
      </c>
      <c r="C1156" s="4">
        <v>5</v>
      </c>
      <c r="D1156" s="21">
        <v>258</v>
      </c>
      <c r="E1156" s="4">
        <v>1</v>
      </c>
      <c r="F1156" s="57">
        <f t="shared" si="45"/>
        <v>10</v>
      </c>
    </row>
    <row r="1157" spans="1:6" x14ac:dyDescent="0.25">
      <c r="A1157" s="5" t="s">
        <v>30</v>
      </c>
      <c r="B1157" s="19">
        <v>43941</v>
      </c>
      <c r="C1157" s="4">
        <v>0</v>
      </c>
      <c r="D1157" s="21">
        <v>2</v>
      </c>
      <c r="F1157" s="57">
        <f t="shared" si="45"/>
        <v>1</v>
      </c>
    </row>
    <row r="1158" spans="1:6" x14ac:dyDescent="0.25">
      <c r="A1158" s="5" t="s">
        <v>44</v>
      </c>
      <c r="B1158" s="19">
        <v>43941</v>
      </c>
      <c r="C1158" s="4">
        <v>22</v>
      </c>
      <c r="D1158" s="21">
        <v>728</v>
      </c>
      <c r="E1158" s="4">
        <v>1</v>
      </c>
      <c r="F1158" s="57">
        <f t="shared" si="45"/>
        <v>38</v>
      </c>
    </row>
    <row r="1159" spans="1:6" x14ac:dyDescent="0.25">
      <c r="A1159" s="5" t="s">
        <v>21</v>
      </c>
      <c r="B1159" s="19">
        <v>43941</v>
      </c>
      <c r="C1159" s="4">
        <v>0</v>
      </c>
      <c r="D1159" s="21">
        <v>260</v>
      </c>
      <c r="E1159" s="4">
        <v>2</v>
      </c>
      <c r="F1159" s="57">
        <f t="shared" si="45"/>
        <v>9</v>
      </c>
    </row>
    <row r="1160" spans="1:6" x14ac:dyDescent="0.25">
      <c r="A1160" s="5" t="s">
        <v>31</v>
      </c>
      <c r="B1160" s="19">
        <v>43941</v>
      </c>
      <c r="C1160" s="4">
        <v>3</v>
      </c>
      <c r="D1160" s="21">
        <v>34</v>
      </c>
      <c r="F1160" s="57">
        <f t="shared" si="45"/>
        <v>0</v>
      </c>
    </row>
    <row r="1161" spans="1:6" x14ac:dyDescent="0.25">
      <c r="A1161" s="5" t="s">
        <v>32</v>
      </c>
      <c r="B1161" s="19">
        <v>43941</v>
      </c>
      <c r="C1161" s="4">
        <v>0</v>
      </c>
      <c r="D1161" s="21">
        <v>22</v>
      </c>
      <c r="F1161" s="57">
        <f t="shared" si="45"/>
        <v>0</v>
      </c>
    </row>
    <row r="1162" spans="1:6" x14ac:dyDescent="0.25">
      <c r="A1162" s="5" t="s">
        <v>42</v>
      </c>
      <c r="B1162" s="19">
        <v>43941</v>
      </c>
      <c r="C1162" s="4">
        <v>0</v>
      </c>
      <c r="D1162" s="21">
        <v>0</v>
      </c>
      <c r="F1162" s="57">
        <f t="shared" si="45"/>
        <v>0</v>
      </c>
    </row>
    <row r="1163" spans="1:6" x14ac:dyDescent="0.25">
      <c r="A1163" s="5" t="s">
        <v>33</v>
      </c>
      <c r="B1163" s="19">
        <v>43941</v>
      </c>
      <c r="C1163" s="4">
        <v>0</v>
      </c>
      <c r="D1163" s="21">
        <v>5</v>
      </c>
      <c r="F1163" s="57">
        <f t="shared" si="45"/>
        <v>0</v>
      </c>
    </row>
    <row r="1164" spans="1:6" x14ac:dyDescent="0.25">
      <c r="A1164" s="5" t="s">
        <v>34</v>
      </c>
      <c r="B1164" s="19">
        <v>43941</v>
      </c>
      <c r="C1164" s="4">
        <v>0</v>
      </c>
      <c r="D1164" s="21">
        <v>5</v>
      </c>
      <c r="F1164" s="57">
        <f t="shared" si="45"/>
        <v>0</v>
      </c>
    </row>
    <row r="1165" spans="1:6" x14ac:dyDescent="0.25">
      <c r="A1165" s="5" t="s">
        <v>22</v>
      </c>
      <c r="B1165" s="19">
        <v>43941</v>
      </c>
      <c r="C1165" s="4">
        <v>0</v>
      </c>
      <c r="D1165" s="21">
        <v>39</v>
      </c>
      <c r="F1165" s="57">
        <f t="shared" si="45"/>
        <v>3</v>
      </c>
    </row>
    <row r="1166" spans="1:6" x14ac:dyDescent="0.25">
      <c r="A1166" s="5" t="s">
        <v>18</v>
      </c>
      <c r="B1166" s="19">
        <v>43941</v>
      </c>
      <c r="C1166" s="4">
        <v>1</v>
      </c>
      <c r="D1166" s="21">
        <v>73</v>
      </c>
      <c r="E1166" s="4">
        <v>1</v>
      </c>
      <c r="F1166" s="57">
        <f t="shared" si="45"/>
        <v>8</v>
      </c>
    </row>
    <row r="1167" spans="1:6" x14ac:dyDescent="0.25">
      <c r="A1167" s="5" t="s">
        <v>24</v>
      </c>
      <c r="B1167" s="19">
        <v>43941</v>
      </c>
      <c r="C1167" s="4">
        <v>0</v>
      </c>
      <c r="D1167" s="21">
        <v>5</v>
      </c>
      <c r="F1167" s="57">
        <f t="shared" si="45"/>
        <v>0</v>
      </c>
    </row>
    <row r="1168" spans="1:6" x14ac:dyDescent="0.25">
      <c r="A1168" s="5" t="s">
        <v>20</v>
      </c>
      <c r="B1168" s="19">
        <v>43941</v>
      </c>
      <c r="C1168" s="4">
        <v>3</v>
      </c>
      <c r="D1168" s="21">
        <v>102</v>
      </c>
      <c r="F1168" s="57">
        <f t="shared" si="45"/>
        <v>3</v>
      </c>
    </row>
    <row r="1169" spans="1:6" x14ac:dyDescent="0.25">
      <c r="A1169" s="5" t="s">
        <v>19</v>
      </c>
      <c r="B1169" s="19">
        <v>43941</v>
      </c>
      <c r="C1169" s="4">
        <v>10</v>
      </c>
      <c r="D1169" s="21">
        <v>137</v>
      </c>
      <c r="E1169" s="4">
        <v>3</v>
      </c>
      <c r="F1169" s="57">
        <f t="shared" si="45"/>
        <v>7</v>
      </c>
    </row>
    <row r="1170" spans="1:6" x14ac:dyDescent="0.25">
      <c r="A1170" s="5" t="s">
        <v>35</v>
      </c>
      <c r="B1170" s="19">
        <v>43941</v>
      </c>
      <c r="C1170" s="4">
        <v>0</v>
      </c>
      <c r="D1170" s="21">
        <v>3</v>
      </c>
      <c r="F1170" s="57">
        <f t="shared" si="45"/>
        <v>0</v>
      </c>
    </row>
    <row r="1171" spans="1:6" x14ac:dyDescent="0.25">
      <c r="A1171" s="5" t="s">
        <v>36</v>
      </c>
      <c r="B1171" s="19">
        <v>43941</v>
      </c>
      <c r="C1171" s="4">
        <v>0</v>
      </c>
      <c r="D1171" s="21">
        <v>2</v>
      </c>
      <c r="F1171" s="57">
        <f t="shared" si="45"/>
        <v>0</v>
      </c>
    </row>
    <row r="1172" spans="1:6" x14ac:dyDescent="0.25">
      <c r="A1172" s="5" t="s">
        <v>37</v>
      </c>
      <c r="B1172" s="19">
        <v>43941</v>
      </c>
      <c r="C1172" s="4">
        <v>0</v>
      </c>
      <c r="D1172" s="21">
        <v>11</v>
      </c>
      <c r="F1172" s="57">
        <f t="shared" si="45"/>
        <v>0</v>
      </c>
    </row>
    <row r="1173" spans="1:6" x14ac:dyDescent="0.25">
      <c r="A1173" s="5" t="s">
        <v>38</v>
      </c>
      <c r="B1173" s="19">
        <v>43941</v>
      </c>
      <c r="C1173" s="4">
        <v>1</v>
      </c>
      <c r="D1173" s="21">
        <v>41</v>
      </c>
      <c r="F1173" s="57">
        <f t="shared" si="45"/>
        <v>0</v>
      </c>
    </row>
    <row r="1174" spans="1:6" x14ac:dyDescent="0.25">
      <c r="A1174" s="5" t="s">
        <v>23</v>
      </c>
      <c r="B1174" s="19">
        <v>43941</v>
      </c>
      <c r="C1174" s="4">
        <v>2</v>
      </c>
      <c r="D1174" s="21">
        <v>224</v>
      </c>
      <c r="F1174" s="57">
        <f>E1174+F1150</f>
        <v>2</v>
      </c>
    </row>
    <row r="1175" spans="1:6" x14ac:dyDescent="0.25">
      <c r="A1175" s="5" t="s">
        <v>39</v>
      </c>
      <c r="B1175" s="19">
        <v>43941</v>
      </c>
      <c r="C1175" s="4">
        <v>0</v>
      </c>
      <c r="D1175" s="21">
        <v>12</v>
      </c>
      <c r="F1175" s="57">
        <f t="shared" si="45"/>
        <v>0</v>
      </c>
    </row>
    <row r="1176" spans="1:6" x14ac:dyDescent="0.25">
      <c r="A1176" s="5" t="s">
        <v>40</v>
      </c>
      <c r="B1176" s="19">
        <v>43941</v>
      </c>
      <c r="C1176" s="4">
        <v>0</v>
      </c>
      <c r="D1176" s="21">
        <v>122</v>
      </c>
      <c r="F1176" s="57">
        <f t="shared" si="45"/>
        <v>0</v>
      </c>
    </row>
    <row r="1177" spans="1:6" x14ac:dyDescent="0.25">
      <c r="A1177" s="5" t="s">
        <v>41</v>
      </c>
      <c r="B1177" s="19">
        <v>43941</v>
      </c>
      <c r="C1177" s="4">
        <v>1</v>
      </c>
      <c r="D1177" s="21">
        <v>31</v>
      </c>
      <c r="F1177" s="57">
        <f t="shared" si="45"/>
        <v>2</v>
      </c>
    </row>
    <row r="1178" spans="1:6" x14ac:dyDescent="0.25">
      <c r="A1178" s="42" t="s">
        <v>17</v>
      </c>
      <c r="B1178" s="19">
        <v>43942</v>
      </c>
      <c r="C1178" s="4">
        <v>60</v>
      </c>
      <c r="D1178" s="21">
        <v>975</v>
      </c>
      <c r="E1178" s="4">
        <v>4</v>
      </c>
      <c r="F1178" s="57">
        <f>E1178+F1154</f>
        <v>58</v>
      </c>
    </row>
    <row r="1179" spans="1:6" x14ac:dyDescent="0.25">
      <c r="A1179" s="5" t="s">
        <v>29</v>
      </c>
      <c r="B1179" s="19">
        <v>43942</v>
      </c>
      <c r="C1179" s="4">
        <v>0</v>
      </c>
      <c r="D1179" s="21">
        <v>0</v>
      </c>
      <c r="F1179" s="57">
        <f t="shared" ref="F1179:F1201" si="46">E1179+F1155</f>
        <v>0</v>
      </c>
    </row>
    <row r="1180" spans="1:6" x14ac:dyDescent="0.25">
      <c r="A1180" s="5" t="s">
        <v>16</v>
      </c>
      <c r="B1180" s="19">
        <v>43942</v>
      </c>
      <c r="C1180" s="4">
        <v>5</v>
      </c>
      <c r="D1180" s="21">
        <v>263</v>
      </c>
      <c r="F1180" s="57">
        <f t="shared" si="46"/>
        <v>10</v>
      </c>
    </row>
    <row r="1181" spans="1:6" x14ac:dyDescent="0.25">
      <c r="A1181" s="5" t="s">
        <v>30</v>
      </c>
      <c r="B1181" s="19">
        <v>43942</v>
      </c>
      <c r="C1181" s="4">
        <v>0</v>
      </c>
      <c r="D1181" s="21">
        <v>2</v>
      </c>
      <c r="F1181" s="57">
        <f t="shared" si="46"/>
        <v>1</v>
      </c>
    </row>
    <row r="1182" spans="1:6" x14ac:dyDescent="0.25">
      <c r="A1182" s="5" t="s">
        <v>44</v>
      </c>
      <c r="B1182" s="19">
        <v>43942</v>
      </c>
      <c r="C1182" s="4">
        <v>33</v>
      </c>
      <c r="D1182" s="21">
        <v>761</v>
      </c>
      <c r="E1182" s="4">
        <v>3</v>
      </c>
      <c r="F1182" s="57">
        <f t="shared" si="46"/>
        <v>41</v>
      </c>
    </row>
    <row r="1183" spans="1:6" x14ac:dyDescent="0.25">
      <c r="A1183" s="5" t="s">
        <v>21</v>
      </c>
      <c r="B1183" s="19">
        <v>43942</v>
      </c>
      <c r="C1183" s="4">
        <v>0</v>
      </c>
      <c r="D1183" s="21">
        <v>260</v>
      </c>
      <c r="F1183" s="57">
        <f t="shared" si="46"/>
        <v>9</v>
      </c>
    </row>
    <row r="1184" spans="1:6" x14ac:dyDescent="0.25">
      <c r="A1184" s="5" t="s">
        <v>31</v>
      </c>
      <c r="B1184" s="19">
        <v>43942</v>
      </c>
      <c r="C1184" s="4">
        <v>0</v>
      </c>
      <c r="D1184" s="21">
        <v>34</v>
      </c>
      <c r="F1184" s="57">
        <f t="shared" si="46"/>
        <v>0</v>
      </c>
    </row>
    <row r="1185" spans="1:6" x14ac:dyDescent="0.25">
      <c r="A1185" s="5" t="s">
        <v>32</v>
      </c>
      <c r="B1185" s="19">
        <v>43942</v>
      </c>
      <c r="C1185" s="4">
        <v>0</v>
      </c>
      <c r="D1185" s="21">
        <v>22</v>
      </c>
      <c r="F1185" s="57">
        <f t="shared" si="46"/>
        <v>0</v>
      </c>
    </row>
    <row r="1186" spans="1:6" x14ac:dyDescent="0.25">
      <c r="A1186" s="5" t="s">
        <v>42</v>
      </c>
      <c r="B1186" s="19">
        <v>43942</v>
      </c>
      <c r="C1186" s="4">
        <v>0</v>
      </c>
      <c r="D1186" s="21">
        <v>0</v>
      </c>
      <c r="F1186" s="57">
        <f t="shared" si="46"/>
        <v>0</v>
      </c>
    </row>
    <row r="1187" spans="1:6" x14ac:dyDescent="0.25">
      <c r="A1187" s="5" t="s">
        <v>33</v>
      </c>
      <c r="B1187" s="19">
        <v>43942</v>
      </c>
      <c r="C1187" s="4">
        <v>0</v>
      </c>
      <c r="D1187" s="21">
        <v>5</v>
      </c>
      <c r="F1187" s="57">
        <f t="shared" si="46"/>
        <v>0</v>
      </c>
    </row>
    <row r="1188" spans="1:6" x14ac:dyDescent="0.25">
      <c r="A1188" s="5" t="s">
        <v>34</v>
      </c>
      <c r="B1188" s="19">
        <v>43942</v>
      </c>
      <c r="C1188" s="4">
        <v>0</v>
      </c>
      <c r="D1188" s="21">
        <v>5</v>
      </c>
      <c r="F1188" s="57">
        <f t="shared" si="46"/>
        <v>0</v>
      </c>
    </row>
    <row r="1189" spans="1:6" x14ac:dyDescent="0.25">
      <c r="A1189" s="5" t="s">
        <v>22</v>
      </c>
      <c r="B1189" s="19">
        <v>43942</v>
      </c>
      <c r="C1189" s="4">
        <v>1</v>
      </c>
      <c r="D1189" s="21">
        <v>40</v>
      </c>
      <c r="E1189" s="4">
        <v>2</v>
      </c>
      <c r="F1189" s="57">
        <f t="shared" si="46"/>
        <v>5</v>
      </c>
    </row>
    <row r="1190" spans="1:6" x14ac:dyDescent="0.25">
      <c r="A1190" s="5" t="s">
        <v>18</v>
      </c>
      <c r="B1190" s="19">
        <v>43942</v>
      </c>
      <c r="C1190" s="4">
        <v>0</v>
      </c>
      <c r="D1190" s="21">
        <v>73</v>
      </c>
      <c r="F1190" s="57">
        <f t="shared" si="46"/>
        <v>8</v>
      </c>
    </row>
    <row r="1191" spans="1:6" x14ac:dyDescent="0.25">
      <c r="A1191" s="5" t="s">
        <v>24</v>
      </c>
      <c r="B1191" s="19">
        <v>43942</v>
      </c>
      <c r="C1191" s="4">
        <v>0</v>
      </c>
      <c r="D1191" s="21">
        <v>5</v>
      </c>
      <c r="F1191" s="57">
        <f t="shared" si="46"/>
        <v>0</v>
      </c>
    </row>
    <row r="1192" spans="1:6" x14ac:dyDescent="0.25">
      <c r="A1192" s="5" t="s">
        <v>20</v>
      </c>
      <c r="B1192" s="19">
        <v>43942</v>
      </c>
      <c r="C1192" s="4">
        <v>0</v>
      </c>
      <c r="D1192" s="21">
        <v>102</v>
      </c>
      <c r="F1192" s="57">
        <f t="shared" si="46"/>
        <v>3</v>
      </c>
    </row>
    <row r="1193" spans="1:6" x14ac:dyDescent="0.25">
      <c r="A1193" s="5" t="s">
        <v>19</v>
      </c>
      <c r="B1193" s="19">
        <v>43942</v>
      </c>
      <c r="C1193" s="4">
        <v>11</v>
      </c>
      <c r="D1193" s="21">
        <v>148</v>
      </c>
      <c r="F1193" s="57">
        <f t="shared" si="46"/>
        <v>7</v>
      </c>
    </row>
    <row r="1194" spans="1:6" x14ac:dyDescent="0.25">
      <c r="A1194" s="5" t="s">
        <v>35</v>
      </c>
      <c r="B1194" s="19">
        <v>43942</v>
      </c>
      <c r="C1194" s="4">
        <v>0</v>
      </c>
      <c r="D1194" s="21">
        <v>3</v>
      </c>
      <c r="F1194" s="57">
        <f t="shared" si="46"/>
        <v>0</v>
      </c>
    </row>
    <row r="1195" spans="1:6" x14ac:dyDescent="0.25">
      <c r="A1195" s="5" t="s">
        <v>36</v>
      </c>
      <c r="B1195" s="19">
        <v>43942</v>
      </c>
      <c r="C1195" s="4">
        <v>0</v>
      </c>
      <c r="D1195" s="21">
        <v>2</v>
      </c>
      <c r="F1195" s="57">
        <f t="shared" si="46"/>
        <v>0</v>
      </c>
    </row>
    <row r="1196" spans="1:6" x14ac:dyDescent="0.25">
      <c r="A1196" s="5" t="s">
        <v>37</v>
      </c>
      <c r="B1196" s="19">
        <v>43942</v>
      </c>
      <c r="C1196" s="4">
        <v>0</v>
      </c>
      <c r="D1196" s="21">
        <v>11</v>
      </c>
      <c r="F1196" s="57">
        <f t="shared" si="46"/>
        <v>0</v>
      </c>
    </row>
    <row r="1197" spans="1:6" x14ac:dyDescent="0.25">
      <c r="A1197" s="5" t="s">
        <v>38</v>
      </c>
      <c r="B1197" s="19">
        <v>43942</v>
      </c>
      <c r="C1197" s="4">
        <v>0</v>
      </c>
      <c r="D1197" s="21">
        <v>41</v>
      </c>
      <c r="F1197" s="57">
        <f t="shared" si="46"/>
        <v>0</v>
      </c>
    </row>
    <row r="1198" spans="1:6" x14ac:dyDescent="0.25">
      <c r="A1198" s="5" t="s">
        <v>23</v>
      </c>
      <c r="B1198" s="19">
        <v>43942</v>
      </c>
      <c r="C1198" s="4">
        <v>1</v>
      </c>
      <c r="D1198" s="21">
        <v>225</v>
      </c>
      <c r="F1198" s="57">
        <f>E1198+F1174</f>
        <v>2</v>
      </c>
    </row>
    <row r="1199" spans="1:6" x14ac:dyDescent="0.25">
      <c r="A1199" s="5" t="s">
        <v>39</v>
      </c>
      <c r="B1199" s="19">
        <v>43942</v>
      </c>
      <c r="C1199" s="4">
        <v>0</v>
      </c>
      <c r="D1199" s="21">
        <v>12</v>
      </c>
      <c r="F1199" s="57">
        <f t="shared" si="46"/>
        <v>0</v>
      </c>
    </row>
    <row r="1200" spans="1:6" x14ac:dyDescent="0.25">
      <c r="A1200" s="5" t="s">
        <v>40</v>
      </c>
      <c r="B1200" s="19">
        <v>43942</v>
      </c>
      <c r="C1200" s="4">
        <v>2</v>
      </c>
      <c r="D1200" s="21">
        <v>124</v>
      </c>
      <c r="F1200" s="57">
        <f t="shared" si="46"/>
        <v>0</v>
      </c>
    </row>
    <row r="1201" spans="1:6" x14ac:dyDescent="0.25">
      <c r="A1201" s="5" t="s">
        <v>41</v>
      </c>
      <c r="B1201" s="19">
        <v>43942</v>
      </c>
      <c r="C1201" s="4">
        <v>0</v>
      </c>
      <c r="D1201" s="21">
        <v>31</v>
      </c>
      <c r="F1201" s="57">
        <f t="shared" si="46"/>
        <v>2</v>
      </c>
    </row>
    <row r="1202" spans="1:6" x14ac:dyDescent="0.25">
      <c r="A1202" s="42" t="s">
        <v>17</v>
      </c>
      <c r="B1202" s="19">
        <v>43943</v>
      </c>
      <c r="C1202" s="4">
        <v>61</v>
      </c>
      <c r="D1202" s="21">
        <v>1036</v>
      </c>
      <c r="E1202" s="4">
        <v>5</v>
      </c>
      <c r="F1202" s="57">
        <f>E1202+F1178</f>
        <v>63</v>
      </c>
    </row>
    <row r="1203" spans="1:6" x14ac:dyDescent="0.25">
      <c r="A1203" s="5" t="s">
        <v>29</v>
      </c>
      <c r="B1203" s="19">
        <v>43943</v>
      </c>
      <c r="C1203" s="4">
        <v>0</v>
      </c>
      <c r="D1203" s="21">
        <v>0</v>
      </c>
      <c r="F1203" s="57">
        <f t="shared" ref="F1203:F1225" si="47">E1203+F1179</f>
        <v>0</v>
      </c>
    </row>
    <row r="1204" spans="1:6" x14ac:dyDescent="0.25">
      <c r="A1204" s="5" t="s">
        <v>16</v>
      </c>
      <c r="B1204" s="19">
        <v>43943</v>
      </c>
      <c r="C1204" s="4">
        <v>7</v>
      </c>
      <c r="D1204" s="21">
        <v>270</v>
      </c>
      <c r="F1204" s="57">
        <f t="shared" si="47"/>
        <v>10</v>
      </c>
    </row>
    <row r="1205" spans="1:6" x14ac:dyDescent="0.25">
      <c r="A1205" s="5" t="s">
        <v>30</v>
      </c>
      <c r="B1205" s="19">
        <v>43943</v>
      </c>
      <c r="C1205" s="4">
        <v>0</v>
      </c>
      <c r="D1205" s="21">
        <v>2</v>
      </c>
      <c r="F1205" s="57">
        <f t="shared" si="47"/>
        <v>1</v>
      </c>
    </row>
    <row r="1206" spans="1:6" x14ac:dyDescent="0.25">
      <c r="A1206" s="5" t="s">
        <v>44</v>
      </c>
      <c r="B1206" s="19">
        <v>43943</v>
      </c>
      <c r="C1206" s="4">
        <v>39</v>
      </c>
      <c r="D1206" s="21">
        <v>800</v>
      </c>
      <c r="E1206" s="4">
        <v>2</v>
      </c>
      <c r="F1206" s="57">
        <f t="shared" si="47"/>
        <v>43</v>
      </c>
    </row>
    <row r="1207" spans="1:6" x14ac:dyDescent="0.25">
      <c r="A1207" s="5" t="s">
        <v>21</v>
      </c>
      <c r="B1207" s="19">
        <v>43943</v>
      </c>
      <c r="C1207" s="4">
        <v>4</v>
      </c>
      <c r="D1207" s="21">
        <v>264</v>
      </c>
      <c r="E1207" s="4">
        <v>1</v>
      </c>
      <c r="F1207" s="57">
        <f t="shared" si="47"/>
        <v>10</v>
      </c>
    </row>
    <row r="1208" spans="1:6" x14ac:dyDescent="0.25">
      <c r="A1208" s="5" t="s">
        <v>31</v>
      </c>
      <c r="B1208" s="19">
        <v>43943</v>
      </c>
      <c r="C1208" s="4">
        <v>0</v>
      </c>
      <c r="D1208" s="21">
        <v>34</v>
      </c>
      <c r="F1208" s="57">
        <f t="shared" si="47"/>
        <v>0</v>
      </c>
    </row>
    <row r="1209" spans="1:6" x14ac:dyDescent="0.25">
      <c r="A1209" s="5" t="s">
        <v>32</v>
      </c>
      <c r="B1209" s="19">
        <v>43943</v>
      </c>
      <c r="C1209" s="4">
        <v>0</v>
      </c>
      <c r="D1209" s="21">
        <v>22</v>
      </c>
      <c r="F1209" s="57">
        <f t="shared" si="47"/>
        <v>0</v>
      </c>
    </row>
    <row r="1210" spans="1:6" x14ac:dyDescent="0.25">
      <c r="A1210" s="5" t="s">
        <v>42</v>
      </c>
      <c r="B1210" s="19">
        <v>43943</v>
      </c>
      <c r="C1210" s="4">
        <v>0</v>
      </c>
      <c r="D1210" s="21">
        <v>0</v>
      </c>
      <c r="F1210" s="57">
        <f t="shared" si="47"/>
        <v>0</v>
      </c>
    </row>
    <row r="1211" spans="1:6" x14ac:dyDescent="0.25">
      <c r="A1211" s="5" t="s">
        <v>33</v>
      </c>
      <c r="B1211" s="19">
        <v>43943</v>
      </c>
      <c r="C1211" s="4">
        <v>0</v>
      </c>
      <c r="D1211" s="21">
        <v>5</v>
      </c>
      <c r="F1211" s="57">
        <f t="shared" si="47"/>
        <v>0</v>
      </c>
    </row>
    <row r="1212" spans="1:6" x14ac:dyDescent="0.25">
      <c r="A1212" s="5" t="s">
        <v>34</v>
      </c>
      <c r="B1212" s="19">
        <v>43943</v>
      </c>
      <c r="C1212" s="4">
        <v>0</v>
      </c>
      <c r="D1212" s="21">
        <v>5</v>
      </c>
      <c r="F1212" s="57">
        <f t="shared" si="47"/>
        <v>0</v>
      </c>
    </row>
    <row r="1213" spans="1:6" x14ac:dyDescent="0.25">
      <c r="A1213" s="5" t="s">
        <v>22</v>
      </c>
      <c r="B1213" s="19">
        <v>43943</v>
      </c>
      <c r="C1213" s="4">
        <v>5</v>
      </c>
      <c r="D1213" s="21">
        <v>45</v>
      </c>
      <c r="F1213" s="57">
        <f t="shared" si="47"/>
        <v>5</v>
      </c>
    </row>
    <row r="1214" spans="1:6" x14ac:dyDescent="0.25">
      <c r="A1214" s="5" t="s">
        <v>18</v>
      </c>
      <c r="B1214" s="19">
        <v>43943</v>
      </c>
      <c r="C1214" s="4">
        <v>1</v>
      </c>
      <c r="D1214" s="21">
        <v>74</v>
      </c>
      <c r="F1214" s="57">
        <f t="shared" si="47"/>
        <v>8</v>
      </c>
    </row>
    <row r="1215" spans="1:6" x14ac:dyDescent="0.25">
      <c r="A1215" s="5" t="s">
        <v>24</v>
      </c>
      <c r="B1215" s="19">
        <v>43943</v>
      </c>
      <c r="C1215" s="4">
        <v>0</v>
      </c>
      <c r="D1215" s="21">
        <v>5</v>
      </c>
      <c r="F1215" s="57">
        <f t="shared" si="47"/>
        <v>0</v>
      </c>
    </row>
    <row r="1216" spans="1:6" x14ac:dyDescent="0.25">
      <c r="A1216" s="5" t="s">
        <v>20</v>
      </c>
      <c r="B1216" s="19">
        <v>43943</v>
      </c>
      <c r="C1216" s="4">
        <v>1</v>
      </c>
      <c r="D1216" s="21">
        <v>103</v>
      </c>
      <c r="F1216" s="57">
        <f t="shared" si="47"/>
        <v>3</v>
      </c>
    </row>
    <row r="1217" spans="1:6" x14ac:dyDescent="0.25">
      <c r="A1217" s="5" t="s">
        <v>19</v>
      </c>
      <c r="B1217" s="19">
        <v>43943</v>
      </c>
      <c r="C1217" s="4">
        <v>17</v>
      </c>
      <c r="D1217" s="21">
        <v>165</v>
      </c>
      <c r="F1217" s="57">
        <f t="shared" si="47"/>
        <v>7</v>
      </c>
    </row>
    <row r="1218" spans="1:6" x14ac:dyDescent="0.25">
      <c r="A1218" s="5" t="s">
        <v>35</v>
      </c>
      <c r="B1218" s="19">
        <v>43943</v>
      </c>
      <c r="C1218" s="4">
        <v>0</v>
      </c>
      <c r="D1218" s="21">
        <v>3</v>
      </c>
      <c r="F1218" s="57">
        <f t="shared" si="47"/>
        <v>0</v>
      </c>
    </row>
    <row r="1219" spans="1:6" x14ac:dyDescent="0.25">
      <c r="A1219" s="5" t="s">
        <v>36</v>
      </c>
      <c r="B1219" s="19">
        <v>43943</v>
      </c>
      <c r="C1219" s="4">
        <v>0</v>
      </c>
      <c r="D1219" s="21">
        <v>2</v>
      </c>
      <c r="F1219" s="57">
        <f t="shared" si="47"/>
        <v>0</v>
      </c>
    </row>
    <row r="1220" spans="1:6" x14ac:dyDescent="0.25">
      <c r="A1220" s="5" t="s">
        <v>37</v>
      </c>
      <c r="B1220" s="19">
        <v>43943</v>
      </c>
      <c r="C1220" s="4">
        <v>0</v>
      </c>
      <c r="D1220" s="21">
        <v>11</v>
      </c>
      <c r="F1220" s="57">
        <f t="shared" si="47"/>
        <v>0</v>
      </c>
    </row>
    <row r="1221" spans="1:6" x14ac:dyDescent="0.25">
      <c r="A1221" s="5" t="s">
        <v>38</v>
      </c>
      <c r="B1221" s="19">
        <v>43943</v>
      </c>
      <c r="C1221" s="4">
        <v>0</v>
      </c>
      <c r="D1221" s="21">
        <v>41</v>
      </c>
      <c r="F1221" s="57">
        <f t="shared" si="47"/>
        <v>0</v>
      </c>
    </row>
    <row r="1222" spans="1:6" x14ac:dyDescent="0.25">
      <c r="A1222" s="5" t="s">
        <v>23</v>
      </c>
      <c r="B1222" s="19">
        <v>43943</v>
      </c>
      <c r="C1222" s="4">
        <v>5</v>
      </c>
      <c r="D1222" s="21">
        <v>230</v>
      </c>
      <c r="F1222" s="57">
        <f>E1222+F1198</f>
        <v>2</v>
      </c>
    </row>
    <row r="1223" spans="1:6" x14ac:dyDescent="0.25">
      <c r="A1223" s="5" t="s">
        <v>39</v>
      </c>
      <c r="B1223" s="19">
        <v>43943</v>
      </c>
      <c r="C1223" s="4">
        <v>0</v>
      </c>
      <c r="D1223" s="21">
        <v>12</v>
      </c>
      <c r="F1223" s="57">
        <f t="shared" si="47"/>
        <v>0</v>
      </c>
    </row>
    <row r="1224" spans="1:6" x14ac:dyDescent="0.25">
      <c r="A1224" s="5" t="s">
        <v>40</v>
      </c>
      <c r="B1224" s="19">
        <v>43943</v>
      </c>
      <c r="C1224" s="4">
        <v>0</v>
      </c>
      <c r="D1224" s="21">
        <v>124</v>
      </c>
      <c r="F1224" s="57">
        <f t="shared" si="47"/>
        <v>0</v>
      </c>
    </row>
    <row r="1225" spans="1:6" x14ac:dyDescent="0.25">
      <c r="A1225" s="5" t="s">
        <v>41</v>
      </c>
      <c r="B1225" s="19">
        <v>43943</v>
      </c>
      <c r="C1225" s="4">
        <v>4</v>
      </c>
      <c r="D1225" s="21">
        <v>35</v>
      </c>
      <c r="F1225" s="57">
        <f t="shared" si="47"/>
        <v>2</v>
      </c>
    </row>
    <row r="1226" spans="1:6" x14ac:dyDescent="0.25">
      <c r="A1226" s="42" t="s">
        <v>17</v>
      </c>
      <c r="B1226" s="19">
        <v>43944</v>
      </c>
      <c r="C1226" s="4">
        <v>84</v>
      </c>
      <c r="D1226" s="21">
        <v>1120</v>
      </c>
      <c r="E1226" s="4">
        <v>4</v>
      </c>
      <c r="F1226" s="57">
        <f>E1226+F1202</f>
        <v>67</v>
      </c>
    </row>
    <row r="1227" spans="1:6" x14ac:dyDescent="0.25">
      <c r="A1227" s="5" t="s">
        <v>29</v>
      </c>
      <c r="B1227" s="19">
        <v>43944</v>
      </c>
      <c r="C1227" s="4">
        <v>0</v>
      </c>
      <c r="D1227" s="21">
        <v>0</v>
      </c>
      <c r="F1227" s="57">
        <f t="shared" ref="F1227:F1249" si="48">E1227+F1203</f>
        <v>0</v>
      </c>
    </row>
    <row r="1228" spans="1:6" x14ac:dyDescent="0.25">
      <c r="A1228" s="5" t="s">
        <v>16</v>
      </c>
      <c r="B1228" s="19">
        <v>43944</v>
      </c>
      <c r="C1228" s="4">
        <v>10</v>
      </c>
      <c r="D1228" s="21">
        <v>280</v>
      </c>
      <c r="F1228" s="57">
        <f t="shared" si="48"/>
        <v>10</v>
      </c>
    </row>
    <row r="1229" spans="1:6" x14ac:dyDescent="0.25">
      <c r="A1229" s="5" t="s">
        <v>30</v>
      </c>
      <c r="B1229" s="19">
        <v>43944</v>
      </c>
      <c r="C1229" s="4">
        <v>0</v>
      </c>
      <c r="D1229" s="21">
        <v>2</v>
      </c>
      <c r="F1229" s="57">
        <f t="shared" si="48"/>
        <v>1</v>
      </c>
    </row>
    <row r="1230" spans="1:6" x14ac:dyDescent="0.25">
      <c r="A1230" s="5" t="s">
        <v>44</v>
      </c>
      <c r="B1230" s="19">
        <v>43944</v>
      </c>
      <c r="C1230" s="4">
        <v>37</v>
      </c>
      <c r="D1230" s="21">
        <v>837</v>
      </c>
      <c r="E1230" s="4">
        <v>1</v>
      </c>
      <c r="F1230" s="57">
        <f t="shared" si="48"/>
        <v>44</v>
      </c>
    </row>
    <row r="1231" spans="1:6" x14ac:dyDescent="0.25">
      <c r="A1231" s="5" t="s">
        <v>21</v>
      </c>
      <c r="B1231" s="19">
        <v>43944</v>
      </c>
      <c r="C1231" s="4">
        <v>2</v>
      </c>
      <c r="D1231" s="21">
        <v>266</v>
      </c>
      <c r="F1231" s="57">
        <f t="shared" si="48"/>
        <v>10</v>
      </c>
    </row>
    <row r="1232" spans="1:6" x14ac:dyDescent="0.25">
      <c r="A1232" s="5" t="s">
        <v>31</v>
      </c>
      <c r="B1232" s="19">
        <v>43944</v>
      </c>
      <c r="C1232" s="4">
        <v>1</v>
      </c>
      <c r="D1232" s="21">
        <v>35</v>
      </c>
      <c r="F1232" s="57">
        <f t="shared" si="48"/>
        <v>0</v>
      </c>
    </row>
    <row r="1233" spans="1:6" x14ac:dyDescent="0.25">
      <c r="A1233" s="5" t="s">
        <v>32</v>
      </c>
      <c r="B1233" s="19">
        <v>43944</v>
      </c>
      <c r="C1233" s="4">
        <v>0</v>
      </c>
      <c r="D1233" s="21">
        <v>22</v>
      </c>
      <c r="F1233" s="57">
        <f t="shared" si="48"/>
        <v>0</v>
      </c>
    </row>
    <row r="1234" spans="1:6" x14ac:dyDescent="0.25">
      <c r="A1234" s="5" t="s">
        <v>42</v>
      </c>
      <c r="B1234" s="19">
        <v>43944</v>
      </c>
      <c r="C1234" s="4">
        <v>0</v>
      </c>
      <c r="D1234" s="21">
        <v>0</v>
      </c>
      <c r="F1234" s="57">
        <f t="shared" si="48"/>
        <v>0</v>
      </c>
    </row>
    <row r="1235" spans="1:6" x14ac:dyDescent="0.25">
      <c r="A1235" s="5" t="s">
        <v>33</v>
      </c>
      <c r="B1235" s="19">
        <v>43944</v>
      </c>
      <c r="C1235" s="4">
        <v>0</v>
      </c>
      <c r="D1235" s="21">
        <v>5</v>
      </c>
      <c r="F1235" s="57">
        <f t="shared" si="48"/>
        <v>0</v>
      </c>
    </row>
    <row r="1236" spans="1:6" x14ac:dyDescent="0.25">
      <c r="A1236" s="5" t="s">
        <v>34</v>
      </c>
      <c r="B1236" s="19">
        <v>43944</v>
      </c>
      <c r="C1236" s="4">
        <v>0</v>
      </c>
      <c r="D1236" s="21">
        <v>5</v>
      </c>
      <c r="F1236" s="57">
        <f t="shared" si="48"/>
        <v>0</v>
      </c>
    </row>
    <row r="1237" spans="1:6" x14ac:dyDescent="0.25">
      <c r="A1237" s="5" t="s">
        <v>22</v>
      </c>
      <c r="B1237" s="19">
        <v>43944</v>
      </c>
      <c r="C1237" s="4">
        <v>0</v>
      </c>
      <c r="D1237" s="21">
        <v>45</v>
      </c>
      <c r="F1237" s="57">
        <f t="shared" si="48"/>
        <v>5</v>
      </c>
    </row>
    <row r="1238" spans="1:6" x14ac:dyDescent="0.25">
      <c r="A1238" s="5" t="s">
        <v>18</v>
      </c>
      <c r="B1238" s="19">
        <v>43944</v>
      </c>
      <c r="C1238" s="4">
        <v>1</v>
      </c>
      <c r="D1238" s="21">
        <v>75</v>
      </c>
      <c r="E1238" s="4">
        <v>1</v>
      </c>
      <c r="F1238" s="57">
        <f t="shared" si="48"/>
        <v>9</v>
      </c>
    </row>
    <row r="1239" spans="1:6" x14ac:dyDescent="0.25">
      <c r="A1239" s="5" t="s">
        <v>24</v>
      </c>
      <c r="B1239" s="19">
        <v>43944</v>
      </c>
      <c r="C1239" s="4">
        <v>0</v>
      </c>
      <c r="D1239" s="21">
        <v>5</v>
      </c>
      <c r="F1239" s="57">
        <f t="shared" si="48"/>
        <v>0</v>
      </c>
    </row>
    <row r="1240" spans="1:6" x14ac:dyDescent="0.25">
      <c r="A1240" s="5" t="s">
        <v>20</v>
      </c>
      <c r="B1240" s="19">
        <v>43944</v>
      </c>
      <c r="C1240" s="4">
        <v>1</v>
      </c>
      <c r="D1240" s="21">
        <v>104</v>
      </c>
      <c r="F1240" s="57">
        <f t="shared" si="48"/>
        <v>3</v>
      </c>
    </row>
    <row r="1241" spans="1:6" x14ac:dyDescent="0.25">
      <c r="A1241" s="5" t="s">
        <v>19</v>
      </c>
      <c r="B1241" s="19">
        <v>43944</v>
      </c>
      <c r="C1241" s="4">
        <v>4</v>
      </c>
      <c r="D1241" s="21">
        <v>169</v>
      </c>
      <c r="F1241" s="57">
        <f t="shared" si="48"/>
        <v>7</v>
      </c>
    </row>
    <row r="1242" spans="1:6" x14ac:dyDescent="0.25">
      <c r="A1242" s="5" t="s">
        <v>35</v>
      </c>
      <c r="B1242" s="19">
        <v>43944</v>
      </c>
      <c r="C1242" s="4">
        <v>0</v>
      </c>
      <c r="D1242" s="21">
        <v>3</v>
      </c>
      <c r="F1242" s="57">
        <f t="shared" si="48"/>
        <v>0</v>
      </c>
    </row>
    <row r="1243" spans="1:6" x14ac:dyDescent="0.25">
      <c r="A1243" s="5" t="s">
        <v>36</v>
      </c>
      <c r="B1243" s="19">
        <v>43944</v>
      </c>
      <c r="C1243" s="4">
        <v>0</v>
      </c>
      <c r="D1243" s="21">
        <v>2</v>
      </c>
      <c r="F1243" s="57">
        <f t="shared" si="48"/>
        <v>0</v>
      </c>
    </row>
    <row r="1244" spans="1:6" x14ac:dyDescent="0.25">
      <c r="A1244" s="5" t="s">
        <v>37</v>
      </c>
      <c r="B1244" s="19">
        <v>43944</v>
      </c>
      <c r="C1244" s="4">
        <v>0</v>
      </c>
      <c r="D1244" s="21">
        <v>11</v>
      </c>
      <c r="F1244" s="57">
        <f t="shared" si="48"/>
        <v>0</v>
      </c>
    </row>
    <row r="1245" spans="1:6" x14ac:dyDescent="0.25">
      <c r="A1245" s="5" t="s">
        <v>38</v>
      </c>
      <c r="B1245" s="19">
        <v>43944</v>
      </c>
      <c r="C1245" s="4">
        <v>0</v>
      </c>
      <c r="D1245" s="21">
        <v>41</v>
      </c>
      <c r="F1245" s="57">
        <f t="shared" si="48"/>
        <v>0</v>
      </c>
    </row>
    <row r="1246" spans="1:6" x14ac:dyDescent="0.25">
      <c r="A1246" s="5" t="s">
        <v>23</v>
      </c>
      <c r="B1246" s="19">
        <v>43944</v>
      </c>
      <c r="C1246" s="4">
        <v>6</v>
      </c>
      <c r="D1246" s="21">
        <v>236</v>
      </c>
      <c r="F1246" s="57">
        <f>E1246+F1222</f>
        <v>2</v>
      </c>
    </row>
    <row r="1247" spans="1:6" x14ac:dyDescent="0.25">
      <c r="A1247" s="5" t="s">
        <v>39</v>
      </c>
      <c r="B1247" s="19">
        <v>43944</v>
      </c>
      <c r="C1247" s="4">
        <v>0</v>
      </c>
      <c r="D1247" s="21">
        <v>12</v>
      </c>
      <c r="F1247" s="57">
        <f t="shared" si="48"/>
        <v>0</v>
      </c>
    </row>
    <row r="1248" spans="1:6" x14ac:dyDescent="0.25">
      <c r="A1248" s="5" t="s">
        <v>40</v>
      </c>
      <c r="B1248" s="19">
        <v>43944</v>
      </c>
      <c r="C1248" s="4">
        <v>1</v>
      </c>
      <c r="D1248" s="21">
        <v>125</v>
      </c>
      <c r="F1248" s="57">
        <f t="shared" si="48"/>
        <v>0</v>
      </c>
    </row>
    <row r="1249" spans="1:6" x14ac:dyDescent="0.25">
      <c r="A1249" s="5" t="s">
        <v>41</v>
      </c>
      <c r="B1249" s="19">
        <v>43944</v>
      </c>
      <c r="C1249" s="4">
        <v>0</v>
      </c>
      <c r="D1249" s="21">
        <v>35</v>
      </c>
      <c r="F1249" s="57">
        <f t="shared" si="48"/>
        <v>2</v>
      </c>
    </row>
    <row r="1250" spans="1:6" x14ac:dyDescent="0.25">
      <c r="A1250" s="42" t="s">
        <v>17</v>
      </c>
      <c r="B1250" s="19">
        <v>43945</v>
      </c>
      <c r="C1250" s="4">
        <v>61</v>
      </c>
      <c r="D1250" s="21">
        <v>1181</v>
      </c>
      <c r="E1250" s="4">
        <v>4</v>
      </c>
      <c r="F1250" s="57">
        <f>E1250+F1226</f>
        <v>71</v>
      </c>
    </row>
    <row r="1251" spans="1:6" x14ac:dyDescent="0.25">
      <c r="A1251" s="5" t="s">
        <v>29</v>
      </c>
      <c r="B1251" s="19">
        <v>43945</v>
      </c>
      <c r="C1251" s="4">
        <v>0</v>
      </c>
      <c r="D1251" s="21">
        <v>0</v>
      </c>
      <c r="F1251" s="57">
        <f t="shared" ref="F1251:F1273" si="49">E1251+F1227</f>
        <v>0</v>
      </c>
    </row>
    <row r="1252" spans="1:6" x14ac:dyDescent="0.25">
      <c r="A1252" s="5" t="s">
        <v>16</v>
      </c>
      <c r="B1252" s="19">
        <v>43945</v>
      </c>
      <c r="C1252" s="4">
        <v>7</v>
      </c>
      <c r="D1252" s="21">
        <v>287</v>
      </c>
      <c r="E1252" s="4">
        <v>1</v>
      </c>
      <c r="F1252" s="57">
        <f t="shared" si="49"/>
        <v>11</v>
      </c>
    </row>
    <row r="1253" spans="1:6" x14ac:dyDescent="0.25">
      <c r="A1253" s="5" t="s">
        <v>30</v>
      </c>
      <c r="B1253" s="19">
        <v>43945</v>
      </c>
      <c r="C1253" s="4">
        <v>0</v>
      </c>
      <c r="D1253" s="21">
        <v>2</v>
      </c>
      <c r="F1253" s="57">
        <f t="shared" si="49"/>
        <v>1</v>
      </c>
    </row>
    <row r="1254" spans="1:6" x14ac:dyDescent="0.25">
      <c r="A1254" s="5" t="s">
        <v>44</v>
      </c>
      <c r="B1254" s="19">
        <v>43945</v>
      </c>
      <c r="C1254" s="4">
        <v>79</v>
      </c>
      <c r="D1254" s="21">
        <v>916</v>
      </c>
      <c r="E1254" s="4">
        <v>4</v>
      </c>
      <c r="F1254" s="57">
        <f t="shared" si="49"/>
        <v>48</v>
      </c>
    </row>
    <row r="1255" spans="1:6" x14ac:dyDescent="0.25">
      <c r="A1255" s="5" t="s">
        <v>21</v>
      </c>
      <c r="B1255" s="19">
        <v>43945</v>
      </c>
      <c r="C1255" s="4">
        <v>3</v>
      </c>
      <c r="D1255" s="21">
        <v>269</v>
      </c>
      <c r="E1255" s="4">
        <v>1</v>
      </c>
      <c r="F1255" s="57">
        <f t="shared" si="49"/>
        <v>11</v>
      </c>
    </row>
    <row r="1256" spans="1:6" x14ac:dyDescent="0.25">
      <c r="A1256" s="5" t="s">
        <v>31</v>
      </c>
      <c r="B1256" s="19">
        <v>43945</v>
      </c>
      <c r="C1256" s="4">
        <v>4</v>
      </c>
      <c r="D1256" s="21">
        <v>39</v>
      </c>
      <c r="F1256" s="57">
        <f t="shared" si="49"/>
        <v>0</v>
      </c>
    </row>
    <row r="1257" spans="1:6" x14ac:dyDescent="0.25">
      <c r="A1257" s="5" t="s">
        <v>32</v>
      </c>
      <c r="B1257" s="19">
        <v>43945</v>
      </c>
      <c r="C1257" s="4">
        <v>0</v>
      </c>
      <c r="D1257" s="21">
        <v>22</v>
      </c>
      <c r="F1257" s="57">
        <f t="shared" si="49"/>
        <v>0</v>
      </c>
    </row>
    <row r="1258" spans="1:6" x14ac:dyDescent="0.25">
      <c r="A1258" s="5" t="s">
        <v>42</v>
      </c>
      <c r="B1258" s="19">
        <v>43945</v>
      </c>
      <c r="C1258" s="4">
        <v>0</v>
      </c>
      <c r="D1258" s="21">
        <v>0</v>
      </c>
      <c r="F1258" s="57">
        <f t="shared" si="49"/>
        <v>0</v>
      </c>
    </row>
    <row r="1259" spans="1:6" x14ac:dyDescent="0.25">
      <c r="A1259" s="5" t="s">
        <v>33</v>
      </c>
      <c r="B1259" s="19">
        <v>43945</v>
      </c>
      <c r="C1259" s="4">
        <v>0</v>
      </c>
      <c r="D1259" s="21">
        <v>5</v>
      </c>
      <c r="F1259" s="57">
        <f t="shared" si="49"/>
        <v>0</v>
      </c>
    </row>
    <row r="1260" spans="1:6" x14ac:dyDescent="0.25">
      <c r="A1260" s="5" t="s">
        <v>34</v>
      </c>
      <c r="B1260" s="19">
        <v>43945</v>
      </c>
      <c r="C1260" s="4">
        <v>0</v>
      </c>
      <c r="D1260" s="21">
        <v>5</v>
      </c>
      <c r="F1260" s="57">
        <f t="shared" si="49"/>
        <v>0</v>
      </c>
    </row>
    <row r="1261" spans="1:6" x14ac:dyDescent="0.25">
      <c r="A1261" s="5" t="s">
        <v>22</v>
      </c>
      <c r="B1261" s="19">
        <v>43945</v>
      </c>
      <c r="C1261" s="4">
        <v>2</v>
      </c>
      <c r="D1261" s="21">
        <v>47</v>
      </c>
      <c r="F1261" s="57">
        <f t="shared" si="49"/>
        <v>5</v>
      </c>
    </row>
    <row r="1262" spans="1:6" x14ac:dyDescent="0.25">
      <c r="A1262" s="5" t="s">
        <v>18</v>
      </c>
      <c r="B1262" s="19">
        <v>43945</v>
      </c>
      <c r="C1262" s="4">
        <v>0</v>
      </c>
      <c r="D1262" s="21">
        <v>75</v>
      </c>
      <c r="F1262" s="57">
        <f t="shared" si="49"/>
        <v>9</v>
      </c>
    </row>
    <row r="1263" spans="1:6" x14ac:dyDescent="0.25">
      <c r="A1263" s="5" t="s">
        <v>24</v>
      </c>
      <c r="B1263" s="19">
        <v>43945</v>
      </c>
      <c r="C1263" s="4">
        <v>1</v>
      </c>
      <c r="D1263" s="21">
        <v>6</v>
      </c>
      <c r="E1263" s="4">
        <v>1</v>
      </c>
      <c r="F1263" s="57">
        <f t="shared" si="49"/>
        <v>1</v>
      </c>
    </row>
    <row r="1264" spans="1:6" x14ac:dyDescent="0.25">
      <c r="A1264" s="5" t="s">
        <v>20</v>
      </c>
      <c r="B1264" s="19">
        <v>43945</v>
      </c>
      <c r="C1264" s="4">
        <v>0</v>
      </c>
      <c r="D1264" s="21">
        <v>104</v>
      </c>
      <c r="F1264" s="57">
        <f t="shared" si="49"/>
        <v>3</v>
      </c>
    </row>
    <row r="1265" spans="1:6" x14ac:dyDescent="0.25">
      <c r="A1265" s="5" t="s">
        <v>19</v>
      </c>
      <c r="B1265" s="19">
        <v>43945</v>
      </c>
      <c r="C1265" s="4">
        <v>11</v>
      </c>
      <c r="D1265" s="21">
        <v>180</v>
      </c>
      <c r="F1265" s="57">
        <f t="shared" si="49"/>
        <v>7</v>
      </c>
    </row>
    <row r="1266" spans="1:6" x14ac:dyDescent="0.25">
      <c r="A1266" s="5" t="s">
        <v>35</v>
      </c>
      <c r="B1266" s="19">
        <v>43945</v>
      </c>
      <c r="C1266" s="4">
        <v>0</v>
      </c>
      <c r="D1266" s="21">
        <v>3</v>
      </c>
      <c r="F1266" s="57">
        <f t="shared" si="49"/>
        <v>0</v>
      </c>
    </row>
    <row r="1267" spans="1:6" x14ac:dyDescent="0.25">
      <c r="A1267" s="5" t="s">
        <v>36</v>
      </c>
      <c r="B1267" s="19">
        <v>43945</v>
      </c>
      <c r="C1267" s="4">
        <v>0</v>
      </c>
      <c r="D1267" s="21">
        <v>2</v>
      </c>
      <c r="F1267" s="57">
        <f t="shared" si="49"/>
        <v>0</v>
      </c>
    </row>
    <row r="1268" spans="1:6" x14ac:dyDescent="0.25">
      <c r="A1268" s="5" t="s">
        <v>37</v>
      </c>
      <c r="B1268" s="19">
        <v>43945</v>
      </c>
      <c r="C1268" s="4">
        <v>0</v>
      </c>
      <c r="D1268" s="21">
        <v>11</v>
      </c>
      <c r="F1268" s="57">
        <f t="shared" si="49"/>
        <v>0</v>
      </c>
    </row>
    <row r="1269" spans="1:6" x14ac:dyDescent="0.25">
      <c r="A1269" s="5" t="s">
        <v>38</v>
      </c>
      <c r="B1269" s="19">
        <v>43945</v>
      </c>
      <c r="C1269" s="4">
        <v>1</v>
      </c>
      <c r="D1269" s="21">
        <v>42</v>
      </c>
      <c r="F1269" s="57">
        <f t="shared" si="49"/>
        <v>0</v>
      </c>
    </row>
    <row r="1270" spans="1:6" x14ac:dyDescent="0.25">
      <c r="A1270" s="5" t="s">
        <v>23</v>
      </c>
      <c r="B1270" s="19">
        <v>43945</v>
      </c>
      <c r="C1270" s="4">
        <v>3</v>
      </c>
      <c r="D1270" s="21">
        <v>239</v>
      </c>
      <c r="F1270" s="57">
        <f>E1270+F1246</f>
        <v>2</v>
      </c>
    </row>
    <row r="1271" spans="1:6" x14ac:dyDescent="0.25">
      <c r="A1271" s="5" t="s">
        <v>39</v>
      </c>
      <c r="B1271" s="19">
        <v>43945</v>
      </c>
      <c r="C1271" s="4">
        <v>0</v>
      </c>
      <c r="D1271" s="21">
        <v>12</v>
      </c>
      <c r="F1271" s="57">
        <f t="shared" si="49"/>
        <v>0</v>
      </c>
    </row>
    <row r="1272" spans="1:6" x14ac:dyDescent="0.25">
      <c r="A1272" s="5" t="s">
        <v>40</v>
      </c>
      <c r="B1272" s="19">
        <v>43945</v>
      </c>
      <c r="C1272" s="4">
        <v>1</v>
      </c>
      <c r="D1272" s="21">
        <v>126</v>
      </c>
      <c r="F1272" s="57">
        <f t="shared" si="49"/>
        <v>0</v>
      </c>
    </row>
    <row r="1273" spans="1:6" x14ac:dyDescent="0.25">
      <c r="A1273" s="5" t="s">
        <v>41</v>
      </c>
      <c r="B1273" s="19">
        <v>43945</v>
      </c>
      <c r="C1273" s="4">
        <v>-1</v>
      </c>
      <c r="D1273" s="21">
        <v>34</v>
      </c>
      <c r="F1273" s="57">
        <f t="shared" si="49"/>
        <v>2</v>
      </c>
    </row>
    <row r="1274" spans="1:6" x14ac:dyDescent="0.25">
      <c r="A1274" s="42" t="s">
        <v>17</v>
      </c>
      <c r="B1274" s="19">
        <v>43946</v>
      </c>
      <c r="C1274" s="4">
        <v>94</v>
      </c>
      <c r="D1274" s="21">
        <v>1275</v>
      </c>
      <c r="E1274" s="4">
        <v>2</v>
      </c>
      <c r="F1274" s="57">
        <f>E1274+F1250</f>
        <v>73</v>
      </c>
    </row>
    <row r="1275" spans="1:6" x14ac:dyDescent="0.25">
      <c r="A1275" s="5" t="s">
        <v>29</v>
      </c>
      <c r="B1275" s="19">
        <v>43946</v>
      </c>
      <c r="C1275" s="4">
        <v>0</v>
      </c>
      <c r="D1275" s="21">
        <v>0</v>
      </c>
      <c r="F1275" s="57">
        <f t="shared" ref="F1275:F1297" si="50">E1275+F1251</f>
        <v>0</v>
      </c>
    </row>
    <row r="1276" spans="1:6" x14ac:dyDescent="0.25">
      <c r="A1276" s="5" t="s">
        <v>16</v>
      </c>
      <c r="B1276" s="19">
        <v>43946</v>
      </c>
      <c r="C1276" s="4">
        <v>7</v>
      </c>
      <c r="D1276" s="21">
        <v>294</v>
      </c>
      <c r="F1276" s="57">
        <f t="shared" si="50"/>
        <v>11</v>
      </c>
    </row>
    <row r="1277" spans="1:6" x14ac:dyDescent="0.25">
      <c r="A1277" s="5" t="s">
        <v>30</v>
      </c>
      <c r="B1277" s="19">
        <v>43946</v>
      </c>
      <c r="C1277" s="4">
        <v>0</v>
      </c>
      <c r="D1277" s="21">
        <v>2</v>
      </c>
      <c r="F1277" s="57">
        <f t="shared" si="50"/>
        <v>1</v>
      </c>
    </row>
    <row r="1278" spans="1:6" x14ac:dyDescent="0.25">
      <c r="A1278" s="5" t="s">
        <v>44</v>
      </c>
      <c r="B1278" s="19">
        <v>43946</v>
      </c>
      <c r="C1278" s="4">
        <v>55</v>
      </c>
      <c r="D1278" s="21">
        <v>971</v>
      </c>
      <c r="E1278" s="4">
        <v>4</v>
      </c>
      <c r="F1278" s="57">
        <f t="shared" si="50"/>
        <v>52</v>
      </c>
    </row>
    <row r="1279" spans="1:6" x14ac:dyDescent="0.25">
      <c r="A1279" s="5" t="s">
        <v>21</v>
      </c>
      <c r="B1279" s="19">
        <v>43946</v>
      </c>
      <c r="C1279" s="4">
        <v>1</v>
      </c>
      <c r="D1279" s="21">
        <v>270</v>
      </c>
      <c r="E1279" s="4">
        <v>1</v>
      </c>
      <c r="F1279" s="57">
        <f t="shared" si="50"/>
        <v>12</v>
      </c>
    </row>
    <row r="1280" spans="1:6" x14ac:dyDescent="0.25">
      <c r="A1280" s="5" t="s">
        <v>31</v>
      </c>
      <c r="B1280" s="19">
        <v>43946</v>
      </c>
      <c r="C1280" s="4">
        <v>1</v>
      </c>
      <c r="D1280" s="21">
        <v>40</v>
      </c>
      <c r="F1280" s="57">
        <f t="shared" si="50"/>
        <v>0</v>
      </c>
    </row>
    <row r="1281" spans="1:6" x14ac:dyDescent="0.25">
      <c r="A1281" s="5" t="s">
        <v>32</v>
      </c>
      <c r="B1281" s="19">
        <v>43946</v>
      </c>
      <c r="C1281" s="4">
        <v>0</v>
      </c>
      <c r="D1281" s="21">
        <v>22</v>
      </c>
      <c r="F1281" s="57">
        <f t="shared" si="50"/>
        <v>0</v>
      </c>
    </row>
    <row r="1282" spans="1:6" x14ac:dyDescent="0.25">
      <c r="A1282" s="5" t="s">
        <v>42</v>
      </c>
      <c r="B1282" s="19">
        <v>43946</v>
      </c>
      <c r="C1282" s="4">
        <v>0</v>
      </c>
      <c r="D1282" s="21">
        <v>0</v>
      </c>
      <c r="F1282" s="57">
        <f t="shared" si="50"/>
        <v>0</v>
      </c>
    </row>
    <row r="1283" spans="1:6" x14ac:dyDescent="0.25">
      <c r="A1283" s="5" t="s">
        <v>33</v>
      </c>
      <c r="B1283" s="19">
        <v>43946</v>
      </c>
      <c r="C1283" s="4">
        <v>0</v>
      </c>
      <c r="D1283" s="21">
        <v>5</v>
      </c>
      <c r="F1283" s="57">
        <f t="shared" si="50"/>
        <v>0</v>
      </c>
    </row>
    <row r="1284" spans="1:6" x14ac:dyDescent="0.25">
      <c r="A1284" s="5" t="s">
        <v>34</v>
      </c>
      <c r="B1284" s="19">
        <v>43946</v>
      </c>
      <c r="C1284" s="4">
        <v>0</v>
      </c>
      <c r="D1284" s="21">
        <v>5</v>
      </c>
      <c r="F1284" s="57">
        <f t="shared" si="50"/>
        <v>0</v>
      </c>
    </row>
    <row r="1285" spans="1:6" x14ac:dyDescent="0.25">
      <c r="A1285" s="5" t="s">
        <v>22</v>
      </c>
      <c r="B1285" s="19">
        <v>43946</v>
      </c>
      <c r="C1285" s="4">
        <v>3</v>
      </c>
      <c r="D1285" s="21">
        <v>50</v>
      </c>
      <c r="E1285" s="4">
        <v>1</v>
      </c>
      <c r="F1285" s="57">
        <f t="shared" si="50"/>
        <v>6</v>
      </c>
    </row>
    <row r="1286" spans="1:6" x14ac:dyDescent="0.25">
      <c r="A1286" s="5" t="s">
        <v>18</v>
      </c>
      <c r="B1286" s="19">
        <v>43946</v>
      </c>
      <c r="C1286" s="4">
        <v>0</v>
      </c>
      <c r="D1286" s="21">
        <v>75</v>
      </c>
      <c r="F1286" s="57">
        <f t="shared" si="50"/>
        <v>9</v>
      </c>
    </row>
    <row r="1287" spans="1:6" x14ac:dyDescent="0.25">
      <c r="A1287" s="5" t="s">
        <v>24</v>
      </c>
      <c r="B1287" s="19">
        <v>43946</v>
      </c>
      <c r="C1287" s="4">
        <v>0</v>
      </c>
      <c r="D1287" s="21">
        <v>6</v>
      </c>
      <c r="F1287" s="57">
        <f t="shared" si="50"/>
        <v>1</v>
      </c>
    </row>
    <row r="1288" spans="1:6" x14ac:dyDescent="0.25">
      <c r="A1288" s="5" t="s">
        <v>20</v>
      </c>
      <c r="B1288" s="19">
        <v>43946</v>
      </c>
      <c r="C1288" s="4">
        <v>0</v>
      </c>
      <c r="D1288" s="21">
        <v>104</v>
      </c>
      <c r="F1288" s="57">
        <f t="shared" si="50"/>
        <v>3</v>
      </c>
    </row>
    <row r="1289" spans="1:6" x14ac:dyDescent="0.25">
      <c r="A1289" s="5" t="s">
        <v>19</v>
      </c>
      <c r="B1289" s="19">
        <v>43946</v>
      </c>
      <c r="C1289" s="4">
        <v>4</v>
      </c>
      <c r="D1289" s="21">
        <v>184</v>
      </c>
      <c r="E1289" s="4">
        <v>1</v>
      </c>
      <c r="F1289" s="57">
        <f t="shared" si="50"/>
        <v>8</v>
      </c>
    </row>
    <row r="1290" spans="1:6" x14ac:dyDescent="0.25">
      <c r="A1290" s="5" t="s">
        <v>35</v>
      </c>
      <c r="B1290" s="19">
        <v>43946</v>
      </c>
      <c r="C1290" s="4">
        <v>0</v>
      </c>
      <c r="D1290" s="21">
        <v>3</v>
      </c>
      <c r="F1290" s="57">
        <f t="shared" si="50"/>
        <v>0</v>
      </c>
    </row>
    <row r="1291" spans="1:6" x14ac:dyDescent="0.25">
      <c r="A1291" s="5" t="s">
        <v>36</v>
      </c>
      <c r="B1291" s="19">
        <v>43946</v>
      </c>
      <c r="C1291" s="4">
        <v>0</v>
      </c>
      <c r="D1291" s="21">
        <v>2</v>
      </c>
      <c r="F1291" s="57">
        <f t="shared" si="50"/>
        <v>0</v>
      </c>
    </row>
    <row r="1292" spans="1:6" x14ac:dyDescent="0.25">
      <c r="A1292" s="5" t="s">
        <v>37</v>
      </c>
      <c r="B1292" s="19">
        <v>43946</v>
      </c>
      <c r="C1292" s="4">
        <v>0</v>
      </c>
      <c r="D1292" s="21">
        <v>11</v>
      </c>
      <c r="F1292" s="57">
        <f t="shared" si="50"/>
        <v>0</v>
      </c>
    </row>
    <row r="1293" spans="1:6" x14ac:dyDescent="0.25">
      <c r="A1293" s="5" t="s">
        <v>38</v>
      </c>
      <c r="B1293" s="19">
        <v>43946</v>
      </c>
      <c r="C1293" s="4">
        <v>0</v>
      </c>
      <c r="D1293" s="21">
        <v>42</v>
      </c>
      <c r="F1293" s="57">
        <f t="shared" si="50"/>
        <v>0</v>
      </c>
    </row>
    <row r="1294" spans="1:6" x14ac:dyDescent="0.25">
      <c r="A1294" s="5" t="s">
        <v>23</v>
      </c>
      <c r="B1294" s="19">
        <v>43946</v>
      </c>
      <c r="C1294" s="4">
        <v>3</v>
      </c>
      <c r="D1294" s="21">
        <v>242</v>
      </c>
      <c r="F1294" s="57">
        <f>E1294+F1270</f>
        <v>2</v>
      </c>
    </row>
    <row r="1295" spans="1:6" x14ac:dyDescent="0.25">
      <c r="A1295" s="5" t="s">
        <v>39</v>
      </c>
      <c r="B1295" s="19">
        <v>43946</v>
      </c>
      <c r="C1295" s="4">
        <v>1</v>
      </c>
      <c r="D1295" s="21">
        <v>13</v>
      </c>
      <c r="F1295" s="57">
        <f t="shared" si="50"/>
        <v>0</v>
      </c>
    </row>
    <row r="1296" spans="1:6" x14ac:dyDescent="0.25">
      <c r="A1296" s="5" t="s">
        <v>40</v>
      </c>
      <c r="B1296" s="19">
        <v>43946</v>
      </c>
      <c r="C1296" s="4">
        <v>4</v>
      </c>
      <c r="D1296" s="21">
        <v>130</v>
      </c>
      <c r="F1296" s="57">
        <f t="shared" si="50"/>
        <v>0</v>
      </c>
    </row>
    <row r="1297" spans="1:6" x14ac:dyDescent="0.25">
      <c r="A1297" s="5" t="s">
        <v>41</v>
      </c>
      <c r="B1297" s="19">
        <v>43946</v>
      </c>
      <c r="C1297" s="4">
        <v>0</v>
      </c>
      <c r="D1297" s="21">
        <v>34</v>
      </c>
      <c r="F1297" s="57">
        <f t="shared" si="50"/>
        <v>2</v>
      </c>
    </row>
    <row r="1298" spans="1:6" x14ac:dyDescent="0.25">
      <c r="A1298" s="42" t="s">
        <v>17</v>
      </c>
      <c r="B1298" s="19">
        <v>43947</v>
      </c>
      <c r="C1298" s="4">
        <v>56</v>
      </c>
      <c r="D1298" s="21">
        <v>1331</v>
      </c>
      <c r="E1298" s="4">
        <v>2</v>
      </c>
      <c r="F1298" s="57">
        <f>E1298+F1274</f>
        <v>75</v>
      </c>
    </row>
    <row r="1299" spans="1:6" x14ac:dyDescent="0.25">
      <c r="A1299" s="5" t="s">
        <v>29</v>
      </c>
      <c r="B1299" s="19">
        <v>43947</v>
      </c>
      <c r="C1299" s="4">
        <v>0</v>
      </c>
      <c r="D1299" s="21">
        <v>0</v>
      </c>
      <c r="F1299" s="57">
        <f t="shared" ref="F1299:F1320" si="51">E1299+F1275</f>
        <v>0</v>
      </c>
    </row>
    <row r="1300" spans="1:6" x14ac:dyDescent="0.25">
      <c r="A1300" s="5" t="s">
        <v>16</v>
      </c>
      <c r="B1300" s="19">
        <v>43947</v>
      </c>
      <c r="C1300" s="4">
        <v>3</v>
      </c>
      <c r="D1300" s="21">
        <v>297</v>
      </c>
      <c r="F1300" s="57">
        <f t="shared" si="51"/>
        <v>11</v>
      </c>
    </row>
    <row r="1301" spans="1:6" x14ac:dyDescent="0.25">
      <c r="A1301" s="5" t="s">
        <v>30</v>
      </c>
      <c r="B1301" s="19">
        <v>43947</v>
      </c>
      <c r="C1301" s="4">
        <v>0</v>
      </c>
      <c r="D1301" s="21">
        <v>2</v>
      </c>
      <c r="F1301" s="57">
        <f t="shared" si="51"/>
        <v>1</v>
      </c>
    </row>
    <row r="1302" spans="1:6" x14ac:dyDescent="0.25">
      <c r="A1302" s="5" t="s">
        <v>44</v>
      </c>
      <c r="B1302" s="19">
        <v>43947</v>
      </c>
      <c r="C1302" s="4">
        <v>36</v>
      </c>
      <c r="D1302" s="21">
        <v>1007</v>
      </c>
      <c r="E1302" s="4">
        <v>5</v>
      </c>
      <c r="F1302" s="57">
        <f t="shared" si="51"/>
        <v>57</v>
      </c>
    </row>
    <row r="1303" spans="1:6" x14ac:dyDescent="0.25">
      <c r="A1303" s="5" t="s">
        <v>21</v>
      </c>
      <c r="B1303" s="19">
        <v>43947</v>
      </c>
      <c r="C1303" s="4">
        <v>3</v>
      </c>
      <c r="D1303" s="21">
        <v>273</v>
      </c>
      <c r="F1303" s="57">
        <f t="shared" si="51"/>
        <v>12</v>
      </c>
    </row>
    <row r="1304" spans="1:6" x14ac:dyDescent="0.25">
      <c r="A1304" s="5" t="s">
        <v>31</v>
      </c>
      <c r="B1304" s="19">
        <v>43947</v>
      </c>
      <c r="C1304" s="4">
        <v>6</v>
      </c>
      <c r="D1304" s="21">
        <v>46</v>
      </c>
      <c r="F1304" s="57">
        <f t="shared" si="51"/>
        <v>0</v>
      </c>
    </row>
    <row r="1305" spans="1:6" x14ac:dyDescent="0.25">
      <c r="A1305" s="5" t="s">
        <v>32</v>
      </c>
      <c r="B1305" s="19">
        <v>43947</v>
      </c>
      <c r="C1305" s="4">
        <v>1</v>
      </c>
      <c r="D1305" s="21">
        <v>23</v>
      </c>
      <c r="F1305" s="57">
        <f t="shared" si="51"/>
        <v>0</v>
      </c>
    </row>
    <row r="1306" spans="1:6" x14ac:dyDescent="0.25">
      <c r="A1306" s="5" t="s">
        <v>42</v>
      </c>
      <c r="B1306" s="19">
        <v>43947</v>
      </c>
      <c r="C1306" s="4">
        <v>0</v>
      </c>
      <c r="D1306" s="21">
        <v>0</v>
      </c>
      <c r="F1306" s="57">
        <f t="shared" si="51"/>
        <v>0</v>
      </c>
    </row>
    <row r="1307" spans="1:6" x14ac:dyDescent="0.25">
      <c r="A1307" s="5" t="s">
        <v>33</v>
      </c>
      <c r="B1307" s="19">
        <v>43947</v>
      </c>
      <c r="C1307" s="4">
        <v>0</v>
      </c>
      <c r="D1307" s="21">
        <v>5</v>
      </c>
      <c r="F1307" s="57">
        <f t="shared" si="51"/>
        <v>0</v>
      </c>
    </row>
    <row r="1308" spans="1:6" x14ac:dyDescent="0.25">
      <c r="A1308" s="5" t="s">
        <v>34</v>
      </c>
      <c r="B1308" s="19">
        <v>43947</v>
      </c>
      <c r="C1308" s="4">
        <v>0</v>
      </c>
      <c r="D1308" s="21">
        <v>5</v>
      </c>
      <c r="F1308" s="57">
        <f t="shared" si="51"/>
        <v>0</v>
      </c>
    </row>
    <row r="1309" spans="1:6" x14ac:dyDescent="0.25">
      <c r="A1309" s="5" t="s">
        <v>22</v>
      </c>
      <c r="B1309" s="19">
        <v>43947</v>
      </c>
      <c r="C1309" s="4">
        <v>0</v>
      </c>
      <c r="D1309" s="21">
        <v>50</v>
      </c>
      <c r="F1309" s="57">
        <f t="shared" si="51"/>
        <v>6</v>
      </c>
    </row>
    <row r="1310" spans="1:6" x14ac:dyDescent="0.25">
      <c r="A1310" s="5" t="s">
        <v>18</v>
      </c>
      <c r="B1310" s="19">
        <v>43947</v>
      </c>
      <c r="C1310" s="4">
        <v>0</v>
      </c>
      <c r="D1310" s="21">
        <v>75</v>
      </c>
      <c r="F1310" s="57">
        <f t="shared" si="51"/>
        <v>9</v>
      </c>
    </row>
    <row r="1311" spans="1:6" x14ac:dyDescent="0.25">
      <c r="A1311" s="5" t="s">
        <v>24</v>
      </c>
      <c r="B1311" s="19">
        <v>43947</v>
      </c>
      <c r="C1311" s="4">
        <v>0</v>
      </c>
      <c r="D1311" s="21">
        <v>6</v>
      </c>
      <c r="F1311" s="57">
        <f t="shared" si="51"/>
        <v>1</v>
      </c>
    </row>
    <row r="1312" spans="1:6" x14ac:dyDescent="0.25">
      <c r="A1312" s="5" t="s">
        <v>20</v>
      </c>
      <c r="B1312" s="19">
        <v>43947</v>
      </c>
      <c r="C1312" s="4">
        <v>1</v>
      </c>
      <c r="D1312" s="21">
        <v>105</v>
      </c>
      <c r="F1312" s="57">
        <f t="shared" si="51"/>
        <v>3</v>
      </c>
    </row>
    <row r="1313" spans="1:6" x14ac:dyDescent="0.25">
      <c r="A1313" s="5" t="s">
        <v>19</v>
      </c>
      <c r="B1313" s="19">
        <v>43947</v>
      </c>
      <c r="C1313" s="4">
        <v>1</v>
      </c>
      <c r="D1313" s="21">
        <v>185</v>
      </c>
      <c r="F1313" s="57">
        <f t="shared" si="51"/>
        <v>8</v>
      </c>
    </row>
    <row r="1314" spans="1:6" x14ac:dyDescent="0.25">
      <c r="A1314" s="5" t="s">
        <v>35</v>
      </c>
      <c r="B1314" s="19">
        <v>43947</v>
      </c>
      <c r="C1314" s="4">
        <v>1</v>
      </c>
      <c r="D1314" s="21">
        <v>4</v>
      </c>
      <c r="F1314" s="57">
        <f t="shared" si="51"/>
        <v>0</v>
      </c>
    </row>
    <row r="1315" spans="1:6" x14ac:dyDescent="0.25">
      <c r="A1315" s="5" t="s">
        <v>36</v>
      </c>
      <c r="B1315" s="19">
        <v>43947</v>
      </c>
      <c r="C1315" s="4">
        <v>0</v>
      </c>
      <c r="D1315" s="21">
        <v>2</v>
      </c>
      <c r="F1315" s="57">
        <f t="shared" si="51"/>
        <v>0</v>
      </c>
    </row>
    <row r="1316" spans="1:6" x14ac:dyDescent="0.25">
      <c r="A1316" s="5" t="s">
        <v>37</v>
      </c>
      <c r="B1316" s="19">
        <v>43947</v>
      </c>
      <c r="C1316" s="4">
        <v>0</v>
      </c>
      <c r="D1316" s="21">
        <v>11</v>
      </c>
      <c r="F1316" s="57">
        <f t="shared" si="51"/>
        <v>0</v>
      </c>
    </row>
    <row r="1317" spans="1:6" x14ac:dyDescent="0.25">
      <c r="A1317" s="5" t="s">
        <v>38</v>
      </c>
      <c r="B1317" s="19">
        <v>43947</v>
      </c>
      <c r="C1317" s="4">
        <v>1</v>
      </c>
      <c r="D1317" s="21">
        <v>43</v>
      </c>
      <c r="F1317" s="57">
        <f t="shared" si="51"/>
        <v>0</v>
      </c>
    </row>
    <row r="1318" spans="1:6" x14ac:dyDescent="0.25">
      <c r="A1318" s="5" t="s">
        <v>23</v>
      </c>
      <c r="B1318" s="19">
        <v>43947</v>
      </c>
      <c r="C1318" s="4">
        <v>0</v>
      </c>
      <c r="D1318" s="21">
        <v>242</v>
      </c>
      <c r="F1318" s="57">
        <f>E1318+F1294</f>
        <v>2</v>
      </c>
    </row>
    <row r="1319" spans="1:6" x14ac:dyDescent="0.25">
      <c r="A1319" s="5" t="s">
        <v>39</v>
      </c>
      <c r="B1319" s="19">
        <v>43947</v>
      </c>
      <c r="C1319" s="4">
        <v>2</v>
      </c>
      <c r="D1319" s="21">
        <v>15</v>
      </c>
      <c r="F1319" s="57">
        <f t="shared" si="51"/>
        <v>0</v>
      </c>
    </row>
    <row r="1320" spans="1:6" x14ac:dyDescent="0.25">
      <c r="A1320" s="5" t="s">
        <v>40</v>
      </c>
      <c r="B1320" s="19">
        <v>43947</v>
      </c>
      <c r="C1320" s="4">
        <v>0</v>
      </c>
      <c r="D1320" s="21">
        <v>130</v>
      </c>
      <c r="F1320" s="57">
        <f t="shared" si="51"/>
        <v>0</v>
      </c>
    </row>
    <row r="1321" spans="1:6" x14ac:dyDescent="0.25">
      <c r="A1321" s="5" t="s">
        <v>41</v>
      </c>
      <c r="B1321" s="19">
        <v>43947</v>
      </c>
      <c r="C1321" s="4">
        <v>1</v>
      </c>
      <c r="D1321" s="21">
        <v>35</v>
      </c>
      <c r="F1321" s="57">
        <f>E1321+F1297</f>
        <v>2</v>
      </c>
    </row>
    <row r="1322" spans="1:6" x14ac:dyDescent="0.25">
      <c r="A1322" s="42" t="s">
        <v>17</v>
      </c>
      <c r="B1322" s="19">
        <v>43948</v>
      </c>
      <c r="C1322" s="4">
        <v>50</v>
      </c>
      <c r="D1322" s="21">
        <v>1381</v>
      </c>
      <c r="E1322" s="4">
        <v>1</v>
      </c>
      <c r="F1322" s="57">
        <f>E1322+F1298</f>
        <v>76</v>
      </c>
    </row>
    <row r="1323" spans="1:6" x14ac:dyDescent="0.25">
      <c r="A1323" s="5" t="s">
        <v>29</v>
      </c>
      <c r="B1323" s="19">
        <v>43948</v>
      </c>
      <c r="C1323" s="4">
        <v>0</v>
      </c>
      <c r="D1323" s="21">
        <v>0</v>
      </c>
      <c r="F1323" s="57">
        <f t="shared" ref="F1323:F1344" si="52">E1323+F1299</f>
        <v>0</v>
      </c>
    </row>
    <row r="1324" spans="1:6" x14ac:dyDescent="0.25">
      <c r="A1324" s="5" t="s">
        <v>16</v>
      </c>
      <c r="B1324" s="19">
        <v>43948</v>
      </c>
      <c r="C1324" s="4">
        <v>10</v>
      </c>
      <c r="D1324" s="21">
        <v>307</v>
      </c>
      <c r="E1324" s="4">
        <v>1</v>
      </c>
      <c r="F1324" s="57">
        <f t="shared" si="52"/>
        <v>12</v>
      </c>
    </row>
    <row r="1325" spans="1:6" x14ac:dyDescent="0.25">
      <c r="A1325" s="5" t="s">
        <v>30</v>
      </c>
      <c r="B1325" s="19">
        <v>43948</v>
      </c>
      <c r="C1325" s="4">
        <v>0</v>
      </c>
      <c r="D1325" s="21">
        <v>2</v>
      </c>
      <c r="F1325" s="57">
        <f t="shared" si="52"/>
        <v>1</v>
      </c>
    </row>
    <row r="1326" spans="1:6" x14ac:dyDescent="0.25">
      <c r="A1326" s="5" t="s">
        <v>44</v>
      </c>
      <c r="B1326" s="19">
        <v>43948</v>
      </c>
      <c r="C1326" s="4">
        <v>32</v>
      </c>
      <c r="D1326" s="21">
        <v>1039</v>
      </c>
      <c r="E1326" s="4">
        <v>2</v>
      </c>
      <c r="F1326" s="57">
        <f t="shared" si="52"/>
        <v>59</v>
      </c>
    </row>
    <row r="1327" spans="1:6" x14ac:dyDescent="0.25">
      <c r="A1327" s="5" t="s">
        <v>21</v>
      </c>
      <c r="B1327" s="19">
        <v>43948</v>
      </c>
      <c r="C1327" s="4">
        <v>0</v>
      </c>
      <c r="D1327" s="21">
        <v>273</v>
      </c>
      <c r="E1327" s="4">
        <v>1</v>
      </c>
      <c r="F1327" s="57">
        <f t="shared" si="52"/>
        <v>13</v>
      </c>
    </row>
    <row r="1328" spans="1:6" x14ac:dyDescent="0.25">
      <c r="A1328" s="5" t="s">
        <v>31</v>
      </c>
      <c r="B1328" s="19">
        <v>43948</v>
      </c>
      <c r="C1328" s="4">
        <v>0</v>
      </c>
      <c r="D1328" s="21">
        <v>46</v>
      </c>
      <c r="F1328" s="57">
        <f t="shared" si="52"/>
        <v>0</v>
      </c>
    </row>
    <row r="1329" spans="1:6" x14ac:dyDescent="0.25">
      <c r="A1329" s="5" t="s">
        <v>32</v>
      </c>
      <c r="B1329" s="19">
        <v>43948</v>
      </c>
      <c r="C1329" s="4">
        <v>0</v>
      </c>
      <c r="D1329" s="21">
        <v>23</v>
      </c>
      <c r="F1329" s="57">
        <f t="shared" si="52"/>
        <v>0</v>
      </c>
    </row>
    <row r="1330" spans="1:6" x14ac:dyDescent="0.25">
      <c r="A1330" s="5" t="s">
        <v>42</v>
      </c>
      <c r="B1330" s="19">
        <v>43948</v>
      </c>
      <c r="C1330" s="4">
        <v>0</v>
      </c>
      <c r="D1330" s="21">
        <v>0</v>
      </c>
      <c r="F1330" s="57">
        <f t="shared" si="52"/>
        <v>0</v>
      </c>
    </row>
    <row r="1331" spans="1:6" x14ac:dyDescent="0.25">
      <c r="A1331" s="5" t="s">
        <v>33</v>
      </c>
      <c r="B1331" s="19">
        <v>43948</v>
      </c>
      <c r="C1331" s="4">
        <v>0</v>
      </c>
      <c r="D1331" s="21">
        <v>5</v>
      </c>
      <c r="F1331" s="57">
        <f t="shared" si="52"/>
        <v>0</v>
      </c>
    </row>
    <row r="1332" spans="1:6" x14ac:dyDescent="0.25">
      <c r="A1332" s="5" t="s">
        <v>34</v>
      </c>
      <c r="B1332" s="19">
        <v>43948</v>
      </c>
      <c r="C1332" s="4">
        <v>0</v>
      </c>
      <c r="D1332" s="21">
        <v>5</v>
      </c>
      <c r="F1332" s="57">
        <f t="shared" si="52"/>
        <v>0</v>
      </c>
    </row>
    <row r="1333" spans="1:6" x14ac:dyDescent="0.25">
      <c r="A1333" s="5" t="s">
        <v>22</v>
      </c>
      <c r="B1333" s="19">
        <v>43948</v>
      </c>
      <c r="C1333" s="4">
        <v>0</v>
      </c>
      <c r="D1333" s="21">
        <v>50</v>
      </c>
      <c r="F1333" s="57">
        <f t="shared" si="52"/>
        <v>6</v>
      </c>
    </row>
    <row r="1334" spans="1:6" x14ac:dyDescent="0.25">
      <c r="A1334" s="5" t="s">
        <v>18</v>
      </c>
      <c r="B1334" s="19">
        <v>43948</v>
      </c>
      <c r="C1334" s="4">
        <v>0</v>
      </c>
      <c r="D1334" s="21">
        <v>75</v>
      </c>
      <c r="F1334" s="57">
        <f t="shared" si="52"/>
        <v>9</v>
      </c>
    </row>
    <row r="1335" spans="1:6" x14ac:dyDescent="0.25">
      <c r="A1335" s="5" t="s">
        <v>24</v>
      </c>
      <c r="B1335" s="19">
        <v>43948</v>
      </c>
      <c r="C1335" s="4">
        <v>2</v>
      </c>
      <c r="D1335" s="21">
        <v>8</v>
      </c>
      <c r="F1335" s="57">
        <f t="shared" si="52"/>
        <v>1</v>
      </c>
    </row>
    <row r="1336" spans="1:6" x14ac:dyDescent="0.25">
      <c r="A1336" s="5" t="s">
        <v>20</v>
      </c>
      <c r="B1336" s="19">
        <v>43948</v>
      </c>
      <c r="C1336" s="4">
        <v>3</v>
      </c>
      <c r="D1336" s="21">
        <v>108</v>
      </c>
      <c r="F1336" s="57">
        <f t="shared" si="52"/>
        <v>3</v>
      </c>
    </row>
    <row r="1337" spans="1:6" x14ac:dyDescent="0.25">
      <c r="A1337" s="5" t="s">
        <v>19</v>
      </c>
      <c r="B1337" s="19">
        <v>43948</v>
      </c>
      <c r="C1337" s="4">
        <v>8</v>
      </c>
      <c r="D1337" s="21">
        <v>193</v>
      </c>
      <c r="F1337" s="57">
        <f t="shared" si="52"/>
        <v>8</v>
      </c>
    </row>
    <row r="1338" spans="1:6" x14ac:dyDescent="0.25">
      <c r="A1338" s="5" t="s">
        <v>35</v>
      </c>
      <c r="B1338" s="19">
        <v>43948</v>
      </c>
      <c r="C1338" s="4">
        <v>0</v>
      </c>
      <c r="D1338" s="21">
        <v>4</v>
      </c>
      <c r="F1338" s="57">
        <f t="shared" si="52"/>
        <v>0</v>
      </c>
    </row>
    <row r="1339" spans="1:6" x14ac:dyDescent="0.25">
      <c r="A1339" s="5" t="s">
        <v>36</v>
      </c>
      <c r="B1339" s="19">
        <v>43948</v>
      </c>
      <c r="C1339" s="4">
        <v>0</v>
      </c>
      <c r="D1339" s="21">
        <v>2</v>
      </c>
      <c r="F1339" s="57">
        <f t="shared" si="52"/>
        <v>0</v>
      </c>
    </row>
    <row r="1340" spans="1:6" x14ac:dyDescent="0.25">
      <c r="A1340" s="5" t="s">
        <v>37</v>
      </c>
      <c r="B1340" s="19">
        <v>43948</v>
      </c>
      <c r="C1340" s="4">
        <v>0</v>
      </c>
      <c r="D1340" s="21">
        <v>11</v>
      </c>
      <c r="F1340" s="57">
        <f t="shared" si="52"/>
        <v>0</v>
      </c>
    </row>
    <row r="1341" spans="1:6" x14ac:dyDescent="0.25">
      <c r="A1341" s="5" t="s">
        <v>38</v>
      </c>
      <c r="B1341" s="19">
        <v>43948</v>
      </c>
      <c r="C1341" s="4">
        <v>5</v>
      </c>
      <c r="D1341" s="21">
        <v>48</v>
      </c>
      <c r="F1341" s="57">
        <f t="shared" si="52"/>
        <v>0</v>
      </c>
    </row>
    <row r="1342" spans="1:6" x14ac:dyDescent="0.25">
      <c r="A1342" s="5" t="s">
        <v>23</v>
      </c>
      <c r="B1342" s="19">
        <v>43948</v>
      </c>
      <c r="C1342" s="4">
        <v>0</v>
      </c>
      <c r="D1342" s="21">
        <v>242</v>
      </c>
      <c r="F1342" s="57">
        <f>E1342+F1318</f>
        <v>2</v>
      </c>
    </row>
    <row r="1343" spans="1:6" x14ac:dyDescent="0.25">
      <c r="A1343" s="5" t="s">
        <v>39</v>
      </c>
      <c r="B1343" s="19">
        <v>43948</v>
      </c>
      <c r="C1343" s="4">
        <v>0</v>
      </c>
      <c r="D1343" s="21">
        <v>15</v>
      </c>
      <c r="F1343" s="57">
        <f>E1343+F1319</f>
        <v>0</v>
      </c>
    </row>
    <row r="1344" spans="1:6" x14ac:dyDescent="0.25">
      <c r="A1344" s="5" t="s">
        <v>40</v>
      </c>
      <c r="B1344" s="19">
        <v>43948</v>
      </c>
      <c r="C1344" s="4">
        <v>1</v>
      </c>
      <c r="D1344" s="21">
        <v>131</v>
      </c>
      <c r="F1344" s="57">
        <f t="shared" si="52"/>
        <v>0</v>
      </c>
    </row>
    <row r="1345" spans="1:7" x14ac:dyDescent="0.25">
      <c r="A1345" s="5" t="s">
        <v>41</v>
      </c>
      <c r="B1345" s="19">
        <v>43948</v>
      </c>
      <c r="C1345" s="4">
        <v>0</v>
      </c>
      <c r="D1345" s="21">
        <v>35</v>
      </c>
      <c r="F1345" s="57">
        <f>E1345+F1321</f>
        <v>2</v>
      </c>
    </row>
    <row r="1346" spans="1:7" x14ac:dyDescent="0.25">
      <c r="A1346" s="42" t="s">
        <v>17</v>
      </c>
      <c r="B1346" s="19">
        <v>43949</v>
      </c>
      <c r="C1346" s="4">
        <v>48</v>
      </c>
      <c r="D1346" s="21">
        <v>1429</v>
      </c>
      <c r="E1346" s="4">
        <v>6</v>
      </c>
      <c r="F1346" s="57">
        <f>E1346+F1322</f>
        <v>82</v>
      </c>
    </row>
    <row r="1347" spans="1:7" x14ac:dyDescent="0.25">
      <c r="A1347" s="5" t="s">
        <v>29</v>
      </c>
      <c r="B1347" s="19">
        <v>43949</v>
      </c>
      <c r="C1347" s="4">
        <v>0</v>
      </c>
      <c r="D1347" s="21">
        <v>0</v>
      </c>
      <c r="F1347" s="57">
        <f t="shared" ref="F1347:F1353" si="53">E1347+F1323</f>
        <v>0</v>
      </c>
      <c r="G1347" s="62"/>
    </row>
    <row r="1348" spans="1:7" x14ac:dyDescent="0.25">
      <c r="A1348" s="5" t="s">
        <v>16</v>
      </c>
      <c r="B1348" s="19">
        <v>43949</v>
      </c>
      <c r="C1348" s="4">
        <v>0</v>
      </c>
      <c r="D1348" s="21">
        <v>307</v>
      </c>
      <c r="F1348" s="57">
        <f t="shared" si="53"/>
        <v>12</v>
      </c>
      <c r="G1348" s="62"/>
    </row>
    <row r="1349" spans="1:7" x14ac:dyDescent="0.25">
      <c r="A1349" s="5" t="s">
        <v>30</v>
      </c>
      <c r="B1349" s="19">
        <v>43949</v>
      </c>
      <c r="C1349" s="4">
        <v>0</v>
      </c>
      <c r="D1349" s="21">
        <v>2</v>
      </c>
      <c r="F1349" s="57">
        <f t="shared" si="53"/>
        <v>1</v>
      </c>
      <c r="G1349" s="62"/>
    </row>
    <row r="1350" spans="1:7" x14ac:dyDescent="0.25">
      <c r="A1350" s="5" t="s">
        <v>44</v>
      </c>
      <c r="B1350" s="19">
        <v>43949</v>
      </c>
      <c r="C1350" s="4">
        <v>50</v>
      </c>
      <c r="D1350" s="21">
        <v>1089</v>
      </c>
      <c r="E1350" s="4">
        <v>2</v>
      </c>
      <c r="F1350" s="57">
        <f t="shared" si="53"/>
        <v>61</v>
      </c>
      <c r="G1350" s="62"/>
    </row>
    <row r="1351" spans="1:7" x14ac:dyDescent="0.25">
      <c r="A1351" s="5" t="s">
        <v>21</v>
      </c>
      <c r="B1351" s="19">
        <v>43949</v>
      </c>
      <c r="C1351" s="4">
        <v>2</v>
      </c>
      <c r="D1351" s="21">
        <v>275</v>
      </c>
      <c r="E1351" s="4">
        <v>1</v>
      </c>
      <c r="F1351" s="57">
        <f t="shared" si="53"/>
        <v>14</v>
      </c>
      <c r="G1351" s="62"/>
    </row>
    <row r="1352" spans="1:7" x14ac:dyDescent="0.25">
      <c r="A1352" s="5" t="s">
        <v>31</v>
      </c>
      <c r="B1352" s="19">
        <v>43949</v>
      </c>
      <c r="C1352" s="4">
        <v>1</v>
      </c>
      <c r="D1352" s="21">
        <v>47</v>
      </c>
      <c r="F1352" s="57">
        <f t="shared" si="53"/>
        <v>0</v>
      </c>
      <c r="G1352" s="62"/>
    </row>
    <row r="1353" spans="1:7" x14ac:dyDescent="0.25">
      <c r="A1353" s="5" t="s">
        <v>32</v>
      </c>
      <c r="B1353" s="19">
        <v>43949</v>
      </c>
      <c r="C1353" s="4">
        <v>0</v>
      </c>
      <c r="D1353" s="21">
        <v>23</v>
      </c>
      <c r="F1353" s="57">
        <f t="shared" si="53"/>
        <v>0</v>
      </c>
      <c r="G1353" s="62"/>
    </row>
    <row r="1354" spans="1:7" s="62" customFormat="1" x14ac:dyDescent="0.25">
      <c r="A1354" s="5" t="s">
        <v>42</v>
      </c>
      <c r="B1354" s="19">
        <v>43949</v>
      </c>
      <c r="C1354" s="4">
        <v>0</v>
      </c>
      <c r="D1354" s="21">
        <v>0</v>
      </c>
      <c r="E1354" s="4"/>
      <c r="F1354" s="57">
        <f t="shared" ref="F1354:F1368" si="54">E1354+F1329</f>
        <v>0</v>
      </c>
    </row>
    <row r="1355" spans="1:7" x14ac:dyDescent="0.25">
      <c r="A1355" s="5" t="s">
        <v>33</v>
      </c>
      <c r="B1355" s="19">
        <v>43949</v>
      </c>
      <c r="C1355" s="4">
        <v>0</v>
      </c>
      <c r="D1355" s="21">
        <v>5</v>
      </c>
      <c r="F1355" s="57">
        <f t="shared" si="54"/>
        <v>0</v>
      </c>
      <c r="G1355" s="62"/>
    </row>
    <row r="1356" spans="1:7" x14ac:dyDescent="0.25">
      <c r="A1356" s="5" t="s">
        <v>34</v>
      </c>
      <c r="B1356" s="19">
        <v>43949</v>
      </c>
      <c r="C1356" s="4">
        <v>0</v>
      </c>
      <c r="D1356" s="21">
        <v>5</v>
      </c>
      <c r="F1356" s="57">
        <f t="shared" si="54"/>
        <v>0</v>
      </c>
      <c r="G1356" s="62"/>
    </row>
    <row r="1357" spans="1:7" x14ac:dyDescent="0.25">
      <c r="A1357" s="5" t="s">
        <v>22</v>
      </c>
      <c r="B1357" s="19">
        <v>43949</v>
      </c>
      <c r="C1357" s="4">
        <v>1</v>
      </c>
      <c r="D1357" s="21">
        <v>51</v>
      </c>
      <c r="F1357" s="57">
        <f t="shared" si="54"/>
        <v>0</v>
      </c>
      <c r="G1357" s="62"/>
    </row>
    <row r="1358" spans="1:7" x14ac:dyDescent="0.25">
      <c r="A1358" s="5" t="s">
        <v>18</v>
      </c>
      <c r="B1358" s="19">
        <v>43949</v>
      </c>
      <c r="C1358" s="4">
        <v>1</v>
      </c>
      <c r="D1358" s="21">
        <v>76</v>
      </c>
      <c r="F1358" s="57">
        <f t="shared" si="54"/>
        <v>6</v>
      </c>
      <c r="G1358" s="62"/>
    </row>
    <row r="1359" spans="1:7" x14ac:dyDescent="0.25">
      <c r="A1359" s="5" t="s">
        <v>24</v>
      </c>
      <c r="B1359" s="19">
        <v>43949</v>
      </c>
      <c r="C1359" s="4">
        <v>0</v>
      </c>
      <c r="D1359" s="21">
        <v>8</v>
      </c>
      <c r="F1359" s="57">
        <f t="shared" si="54"/>
        <v>9</v>
      </c>
      <c r="G1359" s="62"/>
    </row>
    <row r="1360" spans="1:7" x14ac:dyDescent="0.25">
      <c r="A1360" s="5" t="s">
        <v>20</v>
      </c>
      <c r="B1360" s="19">
        <v>43949</v>
      </c>
      <c r="C1360" s="4">
        <v>0</v>
      </c>
      <c r="D1360" s="21">
        <v>108</v>
      </c>
      <c r="E1360" s="4">
        <v>1</v>
      </c>
      <c r="F1360" s="57">
        <f t="shared" si="54"/>
        <v>2</v>
      </c>
      <c r="G1360" s="62"/>
    </row>
    <row r="1361" spans="1:7" x14ac:dyDescent="0.25">
      <c r="A1361" s="5" t="s">
        <v>19</v>
      </c>
      <c r="B1361" s="19">
        <v>43949</v>
      </c>
      <c r="C1361" s="4">
        <v>13</v>
      </c>
      <c r="D1361" s="21">
        <v>206</v>
      </c>
      <c r="F1361" s="57">
        <f t="shared" si="54"/>
        <v>3</v>
      </c>
      <c r="G1361" s="62"/>
    </row>
    <row r="1362" spans="1:7" x14ac:dyDescent="0.25">
      <c r="A1362" s="5" t="s">
        <v>35</v>
      </c>
      <c r="B1362" s="19">
        <v>43949</v>
      </c>
      <c r="C1362" s="4">
        <v>0</v>
      </c>
      <c r="D1362" s="21">
        <v>4</v>
      </c>
      <c r="F1362" s="57">
        <f t="shared" si="54"/>
        <v>8</v>
      </c>
      <c r="G1362" s="62"/>
    </row>
    <row r="1363" spans="1:7" x14ac:dyDescent="0.25">
      <c r="A1363" s="5" t="s">
        <v>36</v>
      </c>
      <c r="B1363" s="19">
        <v>43949</v>
      </c>
      <c r="C1363" s="4">
        <v>0</v>
      </c>
      <c r="D1363" s="21">
        <v>2</v>
      </c>
      <c r="F1363" s="57">
        <f t="shared" si="54"/>
        <v>0</v>
      </c>
      <c r="G1363" s="62"/>
    </row>
    <row r="1364" spans="1:7" x14ac:dyDescent="0.25">
      <c r="A1364" s="5" t="s">
        <v>37</v>
      </c>
      <c r="B1364" s="19">
        <v>43949</v>
      </c>
      <c r="C1364" s="4">
        <v>0</v>
      </c>
      <c r="D1364" s="21">
        <v>11</v>
      </c>
      <c r="F1364" s="57">
        <f t="shared" si="54"/>
        <v>0</v>
      </c>
      <c r="G1364" s="62"/>
    </row>
    <row r="1365" spans="1:7" x14ac:dyDescent="0.25">
      <c r="A1365" s="5" t="s">
        <v>38</v>
      </c>
      <c r="B1365" s="19">
        <v>43949</v>
      </c>
      <c r="C1365" s="4">
        <v>0</v>
      </c>
      <c r="D1365" s="21">
        <v>48</v>
      </c>
      <c r="F1365" s="57">
        <f t="shared" si="54"/>
        <v>0</v>
      </c>
      <c r="G1365" s="62"/>
    </row>
    <row r="1366" spans="1:7" x14ac:dyDescent="0.25">
      <c r="A1366" s="5" t="s">
        <v>23</v>
      </c>
      <c r="B1366" s="19">
        <v>43949</v>
      </c>
      <c r="C1366" s="4">
        <v>1</v>
      </c>
      <c r="D1366" s="21">
        <v>243</v>
      </c>
      <c r="F1366" s="57">
        <f>E1366+F1342</f>
        <v>2</v>
      </c>
      <c r="G1366" s="62"/>
    </row>
    <row r="1367" spans="1:7" x14ac:dyDescent="0.25">
      <c r="A1367" s="5" t="s">
        <v>39</v>
      </c>
      <c r="B1367" s="19">
        <v>43949</v>
      </c>
      <c r="C1367" s="4">
        <v>0</v>
      </c>
      <c r="D1367" s="21">
        <v>15</v>
      </c>
      <c r="F1367" s="57">
        <f>E1367+F1343</f>
        <v>0</v>
      </c>
      <c r="G1367" s="62"/>
    </row>
    <row r="1368" spans="1:7" x14ac:dyDescent="0.25">
      <c r="A1368" s="5" t="s">
        <v>40</v>
      </c>
      <c r="B1368" s="19">
        <v>43949</v>
      </c>
      <c r="C1368" s="4">
        <v>6</v>
      </c>
      <c r="D1368" s="21">
        <v>137</v>
      </c>
      <c r="F1368" s="57">
        <f t="shared" si="54"/>
        <v>0</v>
      </c>
      <c r="G1368" s="62"/>
    </row>
    <row r="1369" spans="1:7" x14ac:dyDescent="0.25">
      <c r="A1369" s="5" t="s">
        <v>41</v>
      </c>
      <c r="B1369" s="19">
        <v>43949</v>
      </c>
      <c r="C1369" s="4">
        <v>1</v>
      </c>
      <c r="D1369" s="21">
        <v>36</v>
      </c>
      <c r="F1369" s="57">
        <f>E1369+F1345</f>
        <v>2</v>
      </c>
      <c r="G1369" s="62"/>
    </row>
    <row r="1370" spans="1:7" x14ac:dyDescent="0.25">
      <c r="A1370" s="42" t="s">
        <v>17</v>
      </c>
      <c r="B1370" s="19">
        <v>43950</v>
      </c>
      <c r="C1370" s="4">
        <v>103</v>
      </c>
      <c r="D1370" s="21">
        <v>1532</v>
      </c>
      <c r="E1370" s="4">
        <v>2</v>
      </c>
      <c r="F1370" s="57">
        <f>E1370+F1346</f>
        <v>84</v>
      </c>
    </row>
    <row r="1371" spans="1:7" x14ac:dyDescent="0.25">
      <c r="A1371" s="5" t="s">
        <v>29</v>
      </c>
      <c r="B1371" s="19">
        <v>43950</v>
      </c>
      <c r="C1371" s="4">
        <v>0</v>
      </c>
      <c r="D1371" s="21">
        <v>0</v>
      </c>
      <c r="F1371" s="57">
        <f t="shared" ref="F1371:F1377" si="55">E1371+F1347</f>
        <v>0</v>
      </c>
    </row>
    <row r="1372" spans="1:7" x14ac:dyDescent="0.25">
      <c r="A1372" s="5" t="s">
        <v>16</v>
      </c>
      <c r="B1372" s="19">
        <v>43950</v>
      </c>
      <c r="C1372" s="4">
        <v>4</v>
      </c>
      <c r="D1372" s="21">
        <v>311</v>
      </c>
      <c r="E1372" s="4">
        <v>1</v>
      </c>
      <c r="F1372" s="57">
        <f t="shared" si="55"/>
        <v>13</v>
      </c>
    </row>
    <row r="1373" spans="1:7" x14ac:dyDescent="0.25">
      <c r="A1373" s="5" t="s">
        <v>30</v>
      </c>
      <c r="B1373" s="19">
        <v>43950</v>
      </c>
      <c r="C1373" s="4">
        <v>0</v>
      </c>
      <c r="D1373" s="21">
        <v>2</v>
      </c>
      <c r="F1373" s="57">
        <f t="shared" si="55"/>
        <v>1</v>
      </c>
    </row>
    <row r="1374" spans="1:7" x14ac:dyDescent="0.25">
      <c r="A1374" s="5" t="s">
        <v>44</v>
      </c>
      <c r="B1374" s="19">
        <v>43950</v>
      </c>
      <c r="C1374" s="4">
        <v>34</v>
      </c>
      <c r="D1374" s="21">
        <v>1123</v>
      </c>
      <c r="E1374" s="4">
        <v>3</v>
      </c>
      <c r="F1374" s="57">
        <f t="shared" si="55"/>
        <v>64</v>
      </c>
    </row>
    <row r="1375" spans="1:7" x14ac:dyDescent="0.25">
      <c r="A1375" s="5" t="s">
        <v>21</v>
      </c>
      <c r="B1375" s="19">
        <v>43950</v>
      </c>
      <c r="C1375" s="4">
        <v>1</v>
      </c>
      <c r="D1375" s="21">
        <v>276</v>
      </c>
      <c r="F1375" s="57">
        <f t="shared" si="55"/>
        <v>14</v>
      </c>
    </row>
    <row r="1376" spans="1:7" x14ac:dyDescent="0.25">
      <c r="A1376" s="5" t="s">
        <v>31</v>
      </c>
      <c r="B1376" s="19">
        <v>43950</v>
      </c>
      <c r="C1376" s="4">
        <v>0</v>
      </c>
      <c r="D1376" s="21">
        <v>47</v>
      </c>
      <c r="F1376" s="57">
        <f t="shared" si="55"/>
        <v>0</v>
      </c>
    </row>
    <row r="1377" spans="1:6" x14ac:dyDescent="0.25">
      <c r="A1377" s="5" t="s">
        <v>32</v>
      </c>
      <c r="B1377" s="19">
        <v>43950</v>
      </c>
      <c r="C1377" s="4">
        <v>0</v>
      </c>
      <c r="D1377" s="21">
        <v>23</v>
      </c>
      <c r="F1377" s="57">
        <f t="shared" si="55"/>
        <v>0</v>
      </c>
    </row>
    <row r="1378" spans="1:6" x14ac:dyDescent="0.25">
      <c r="A1378" s="5" t="s">
        <v>42</v>
      </c>
      <c r="B1378" s="19">
        <v>43950</v>
      </c>
      <c r="C1378" s="4">
        <v>0</v>
      </c>
      <c r="D1378" s="21">
        <v>0</v>
      </c>
      <c r="F1378" s="57">
        <f t="shared" ref="F1378:F1392" si="56">E1378+F1353</f>
        <v>0</v>
      </c>
    </row>
    <row r="1379" spans="1:6" x14ac:dyDescent="0.25">
      <c r="A1379" s="5" t="s">
        <v>33</v>
      </c>
      <c r="B1379" s="19">
        <v>43950</v>
      </c>
      <c r="C1379" s="4">
        <v>0</v>
      </c>
      <c r="D1379" s="21">
        <v>5</v>
      </c>
      <c r="F1379" s="57">
        <f t="shared" si="56"/>
        <v>0</v>
      </c>
    </row>
    <row r="1380" spans="1:6" x14ac:dyDescent="0.25">
      <c r="A1380" s="5" t="s">
        <v>34</v>
      </c>
      <c r="B1380" s="19">
        <v>43950</v>
      </c>
      <c r="C1380" s="4">
        <v>0</v>
      </c>
      <c r="D1380" s="21">
        <v>5</v>
      </c>
      <c r="F1380" s="57">
        <f t="shared" si="56"/>
        <v>0</v>
      </c>
    </row>
    <row r="1381" spans="1:6" x14ac:dyDescent="0.25">
      <c r="A1381" s="5" t="s">
        <v>22</v>
      </c>
      <c r="B1381" s="19">
        <v>43950</v>
      </c>
      <c r="C1381" s="4">
        <v>1</v>
      </c>
      <c r="D1381" s="21">
        <v>52</v>
      </c>
      <c r="F1381" s="57">
        <f t="shared" si="56"/>
        <v>0</v>
      </c>
    </row>
    <row r="1382" spans="1:6" x14ac:dyDescent="0.25">
      <c r="A1382" s="5" t="s">
        <v>18</v>
      </c>
      <c r="B1382" s="19">
        <v>43950</v>
      </c>
      <c r="C1382" s="4">
        <v>2</v>
      </c>
      <c r="D1382" s="21">
        <v>78</v>
      </c>
      <c r="F1382" s="57">
        <f t="shared" si="56"/>
        <v>0</v>
      </c>
    </row>
    <row r="1383" spans="1:6" x14ac:dyDescent="0.25">
      <c r="A1383" s="5" t="s">
        <v>24</v>
      </c>
      <c r="B1383" s="19">
        <v>43950</v>
      </c>
      <c r="C1383" s="4">
        <v>4</v>
      </c>
      <c r="D1383" s="21">
        <v>12</v>
      </c>
      <c r="F1383" s="57">
        <f t="shared" si="56"/>
        <v>6</v>
      </c>
    </row>
    <row r="1384" spans="1:6" x14ac:dyDescent="0.25">
      <c r="A1384" s="5" t="s">
        <v>20</v>
      </c>
      <c r="B1384" s="19">
        <v>43950</v>
      </c>
      <c r="C1384" s="4">
        <v>1</v>
      </c>
      <c r="D1384" s="21">
        <v>109</v>
      </c>
      <c r="F1384" s="57">
        <f t="shared" si="56"/>
        <v>9</v>
      </c>
    </row>
    <row r="1385" spans="1:6" x14ac:dyDescent="0.25">
      <c r="A1385" s="5" t="s">
        <v>19</v>
      </c>
      <c r="B1385" s="19">
        <v>43950</v>
      </c>
      <c r="C1385" s="4">
        <v>8</v>
      </c>
      <c r="D1385" s="21">
        <v>214</v>
      </c>
      <c r="E1385" s="4">
        <v>1</v>
      </c>
      <c r="F1385" s="57">
        <f t="shared" si="56"/>
        <v>3</v>
      </c>
    </row>
    <row r="1386" spans="1:6" x14ac:dyDescent="0.25">
      <c r="A1386" s="5" t="s">
        <v>35</v>
      </c>
      <c r="B1386" s="19">
        <v>43950</v>
      </c>
      <c r="C1386" s="4">
        <v>0</v>
      </c>
      <c r="D1386" s="21">
        <v>4</v>
      </c>
      <c r="F1386" s="57">
        <f t="shared" si="56"/>
        <v>3</v>
      </c>
    </row>
    <row r="1387" spans="1:6" x14ac:dyDescent="0.25">
      <c r="A1387" s="5" t="s">
        <v>36</v>
      </c>
      <c r="B1387" s="19">
        <v>43950</v>
      </c>
      <c r="C1387" s="4">
        <v>0</v>
      </c>
      <c r="D1387" s="21">
        <v>2</v>
      </c>
      <c r="F1387" s="57">
        <f>E1387+F1363</f>
        <v>0</v>
      </c>
    </row>
    <row r="1388" spans="1:6" x14ac:dyDescent="0.25">
      <c r="A1388" s="5" t="s">
        <v>37</v>
      </c>
      <c r="B1388" s="19">
        <v>43950</v>
      </c>
      <c r="C1388" s="4">
        <v>0</v>
      </c>
      <c r="D1388" s="21">
        <v>11</v>
      </c>
      <c r="F1388" s="57">
        <f t="shared" si="56"/>
        <v>0</v>
      </c>
    </row>
    <row r="1389" spans="1:6" x14ac:dyDescent="0.25">
      <c r="A1389" s="5" t="s">
        <v>38</v>
      </c>
      <c r="B1389" s="19">
        <v>43950</v>
      </c>
      <c r="C1389" s="4">
        <v>0</v>
      </c>
      <c r="D1389" s="21">
        <v>48</v>
      </c>
      <c r="F1389" s="57">
        <f t="shared" si="56"/>
        <v>0</v>
      </c>
    </row>
    <row r="1390" spans="1:6" x14ac:dyDescent="0.25">
      <c r="A1390" s="5" t="s">
        <v>23</v>
      </c>
      <c r="B1390" s="19">
        <v>43950</v>
      </c>
      <c r="C1390" s="4">
        <v>0</v>
      </c>
      <c r="D1390" s="21">
        <v>243</v>
      </c>
      <c r="F1390" s="57">
        <f>E1390+F1366</f>
        <v>2</v>
      </c>
    </row>
    <row r="1391" spans="1:6" x14ac:dyDescent="0.25">
      <c r="A1391" s="5" t="s">
        <v>39</v>
      </c>
      <c r="B1391" s="19">
        <v>43950</v>
      </c>
      <c r="C1391" s="4">
        <v>0</v>
      </c>
      <c r="D1391" s="21">
        <v>15</v>
      </c>
      <c r="F1391" s="57">
        <f>E1391+F1367</f>
        <v>0</v>
      </c>
    </row>
    <row r="1392" spans="1:6" x14ac:dyDescent="0.25">
      <c r="A1392" s="5" t="s">
        <v>40</v>
      </c>
      <c r="B1392" s="19">
        <v>43950</v>
      </c>
      <c r="C1392" s="4">
        <v>0</v>
      </c>
      <c r="D1392" s="21">
        <v>137</v>
      </c>
      <c r="F1392" s="57">
        <f t="shared" si="56"/>
        <v>0</v>
      </c>
    </row>
    <row r="1393" spans="1:6" x14ac:dyDescent="0.25">
      <c r="A1393" s="5" t="s">
        <v>41</v>
      </c>
      <c r="B1393" s="19">
        <v>43950</v>
      </c>
      <c r="C1393" s="4">
        <v>0</v>
      </c>
      <c r="D1393" s="21">
        <v>36</v>
      </c>
      <c r="F1393" s="57">
        <f>E1393+F1369</f>
        <v>2</v>
      </c>
    </row>
    <row r="1394" spans="1:6" x14ac:dyDescent="0.25">
      <c r="A1394" s="42" t="s">
        <v>17</v>
      </c>
      <c r="B1394" s="19">
        <v>43951</v>
      </c>
      <c r="C1394" s="4">
        <v>66</v>
      </c>
      <c r="D1394" s="21">
        <v>1598</v>
      </c>
      <c r="E1394" s="4">
        <v>2</v>
      </c>
      <c r="F1394" s="57">
        <f>E1394+F1370</f>
        <v>86</v>
      </c>
    </row>
    <row r="1395" spans="1:6" x14ac:dyDescent="0.25">
      <c r="A1395" s="5" t="s">
        <v>29</v>
      </c>
      <c r="B1395" s="19">
        <v>43951</v>
      </c>
      <c r="C1395" s="4">
        <v>0</v>
      </c>
      <c r="D1395" s="21">
        <v>0</v>
      </c>
      <c r="F1395" s="57">
        <f t="shared" ref="F1395:F1400" si="57">E1395+F1371</f>
        <v>0</v>
      </c>
    </row>
    <row r="1396" spans="1:6" x14ac:dyDescent="0.25">
      <c r="A1396" s="5" t="s">
        <v>16</v>
      </c>
      <c r="B1396" s="19">
        <v>43951</v>
      </c>
      <c r="C1396" s="4">
        <v>3</v>
      </c>
      <c r="D1396" s="21">
        <v>314</v>
      </c>
      <c r="F1396" s="57">
        <f t="shared" si="57"/>
        <v>13</v>
      </c>
    </row>
    <row r="1397" spans="1:6" x14ac:dyDescent="0.25">
      <c r="A1397" s="5" t="s">
        <v>30</v>
      </c>
      <c r="B1397" s="19">
        <v>43951</v>
      </c>
      <c r="C1397" s="4">
        <v>0</v>
      </c>
      <c r="D1397" s="21">
        <v>2</v>
      </c>
      <c r="F1397" s="57">
        <f t="shared" si="57"/>
        <v>1</v>
      </c>
    </row>
    <row r="1398" spans="1:6" x14ac:dyDescent="0.25">
      <c r="A1398" s="5" t="s">
        <v>44</v>
      </c>
      <c r="B1398" s="19">
        <v>43951</v>
      </c>
      <c r="C1398" s="4">
        <v>45</v>
      </c>
      <c r="D1398" s="21">
        <v>1168</v>
      </c>
      <c r="E1398" s="4">
        <v>2</v>
      </c>
      <c r="F1398" s="57">
        <f t="shared" si="57"/>
        <v>66</v>
      </c>
    </row>
    <row r="1399" spans="1:6" x14ac:dyDescent="0.25">
      <c r="A1399" s="5" t="s">
        <v>21</v>
      </c>
      <c r="B1399" s="19">
        <v>43951</v>
      </c>
      <c r="C1399" s="4">
        <v>2</v>
      </c>
      <c r="D1399" s="21">
        <v>278</v>
      </c>
      <c r="F1399" s="57">
        <f t="shared" si="57"/>
        <v>14</v>
      </c>
    </row>
    <row r="1400" spans="1:6" x14ac:dyDescent="0.25">
      <c r="A1400" s="5" t="s">
        <v>31</v>
      </c>
      <c r="B1400" s="19">
        <v>43951</v>
      </c>
      <c r="C1400" s="4">
        <v>1</v>
      </c>
      <c r="D1400" s="21">
        <v>48</v>
      </c>
      <c r="F1400" s="57">
        <f t="shared" si="57"/>
        <v>0</v>
      </c>
    </row>
    <row r="1401" spans="1:6" x14ac:dyDescent="0.25">
      <c r="A1401" s="5" t="s">
        <v>32</v>
      </c>
      <c r="B1401" s="19">
        <v>43951</v>
      </c>
      <c r="C1401" s="4">
        <v>0</v>
      </c>
      <c r="D1401" s="21">
        <v>23</v>
      </c>
      <c r="F1401" s="57">
        <f>E1401+F1377</f>
        <v>0</v>
      </c>
    </row>
    <row r="1402" spans="1:6" x14ac:dyDescent="0.25">
      <c r="A1402" s="5" t="s">
        <v>42</v>
      </c>
      <c r="B1402" s="19">
        <v>43951</v>
      </c>
      <c r="C1402" s="4">
        <v>0</v>
      </c>
      <c r="D1402" s="21">
        <v>0</v>
      </c>
      <c r="F1402" s="57">
        <f t="shared" ref="F1402:F1416" si="58">E1402+F1377</f>
        <v>0</v>
      </c>
    </row>
    <row r="1403" spans="1:6" x14ac:dyDescent="0.25">
      <c r="A1403" s="5" t="s">
        <v>33</v>
      </c>
      <c r="B1403" s="19">
        <v>43951</v>
      </c>
      <c r="C1403" s="4">
        <v>0</v>
      </c>
      <c r="D1403" s="21">
        <v>5</v>
      </c>
      <c r="F1403" s="57">
        <f t="shared" si="58"/>
        <v>0</v>
      </c>
    </row>
    <row r="1404" spans="1:6" x14ac:dyDescent="0.25">
      <c r="A1404" s="5" t="s">
        <v>34</v>
      </c>
      <c r="B1404" s="19">
        <v>43951</v>
      </c>
      <c r="C1404" s="4">
        <v>0</v>
      </c>
      <c r="D1404" s="21">
        <v>5</v>
      </c>
      <c r="F1404" s="57">
        <f t="shared" si="58"/>
        <v>0</v>
      </c>
    </row>
    <row r="1405" spans="1:6" x14ac:dyDescent="0.25">
      <c r="A1405" s="5" t="s">
        <v>22</v>
      </c>
      <c r="B1405" s="19">
        <v>43951</v>
      </c>
      <c r="C1405" s="4">
        <v>0</v>
      </c>
      <c r="D1405" s="21">
        <v>52</v>
      </c>
      <c r="F1405" s="57">
        <f t="shared" si="58"/>
        <v>0</v>
      </c>
    </row>
    <row r="1406" spans="1:6" x14ac:dyDescent="0.25">
      <c r="A1406" s="5" t="s">
        <v>18</v>
      </c>
      <c r="B1406" s="19">
        <v>43951</v>
      </c>
      <c r="C1406" s="4">
        <v>5</v>
      </c>
      <c r="D1406" s="21">
        <v>83</v>
      </c>
      <c r="F1406" s="57">
        <f t="shared" si="58"/>
        <v>0</v>
      </c>
    </row>
    <row r="1407" spans="1:6" x14ac:dyDescent="0.25">
      <c r="A1407" s="5" t="s">
        <v>24</v>
      </c>
      <c r="B1407" s="19">
        <v>43951</v>
      </c>
      <c r="C1407" s="4">
        <v>0</v>
      </c>
      <c r="D1407" s="21">
        <v>12</v>
      </c>
      <c r="F1407" s="57">
        <f t="shared" si="58"/>
        <v>0</v>
      </c>
    </row>
    <row r="1408" spans="1:6" x14ac:dyDescent="0.25">
      <c r="A1408" s="5" t="s">
        <v>20</v>
      </c>
      <c r="B1408" s="19">
        <v>43951</v>
      </c>
      <c r="C1408" s="4">
        <v>1</v>
      </c>
      <c r="D1408" s="21">
        <v>110</v>
      </c>
      <c r="F1408" s="57">
        <f t="shared" si="58"/>
        <v>6</v>
      </c>
    </row>
    <row r="1409" spans="1:6" x14ac:dyDescent="0.25">
      <c r="A1409" s="5" t="s">
        <v>19</v>
      </c>
      <c r="B1409" s="19">
        <v>43951</v>
      </c>
      <c r="C1409" s="4">
        <v>14</v>
      </c>
      <c r="D1409" s="21">
        <v>228</v>
      </c>
      <c r="F1409" s="57">
        <f t="shared" si="58"/>
        <v>9</v>
      </c>
    </row>
    <row r="1410" spans="1:6" x14ac:dyDescent="0.25">
      <c r="A1410" s="5" t="s">
        <v>35</v>
      </c>
      <c r="B1410" s="19">
        <v>43951</v>
      </c>
      <c r="C1410" s="4">
        <v>0</v>
      </c>
      <c r="D1410" s="21">
        <v>4</v>
      </c>
      <c r="F1410" s="57">
        <f t="shared" si="58"/>
        <v>3</v>
      </c>
    </row>
    <row r="1411" spans="1:6" x14ac:dyDescent="0.25">
      <c r="A1411" s="5" t="s">
        <v>36</v>
      </c>
      <c r="B1411" s="19">
        <v>43951</v>
      </c>
      <c r="C1411" s="4">
        <v>0</v>
      </c>
      <c r="D1411" s="21">
        <v>2</v>
      </c>
      <c r="F1411" s="57">
        <f>E1411+F1387</f>
        <v>0</v>
      </c>
    </row>
    <row r="1412" spans="1:6" x14ac:dyDescent="0.25">
      <c r="A1412" s="5" t="s">
        <v>37</v>
      </c>
      <c r="B1412" s="19">
        <v>43951</v>
      </c>
      <c r="C1412" s="4">
        <v>0</v>
      </c>
      <c r="D1412" s="21">
        <v>11</v>
      </c>
      <c r="F1412" s="57">
        <f t="shared" si="58"/>
        <v>0</v>
      </c>
    </row>
    <row r="1413" spans="1:6" x14ac:dyDescent="0.25">
      <c r="A1413" s="5" t="s">
        <v>38</v>
      </c>
      <c r="B1413" s="19">
        <v>43951</v>
      </c>
      <c r="C1413" s="4">
        <v>1</v>
      </c>
      <c r="D1413" s="21">
        <v>49</v>
      </c>
      <c r="F1413" s="57">
        <f t="shared" si="58"/>
        <v>0</v>
      </c>
    </row>
    <row r="1414" spans="1:6" x14ac:dyDescent="0.25">
      <c r="A1414" s="5" t="s">
        <v>23</v>
      </c>
      <c r="B1414" s="19">
        <v>43951</v>
      </c>
      <c r="C1414" s="4">
        <v>0</v>
      </c>
      <c r="D1414" s="21">
        <v>243</v>
      </c>
      <c r="F1414" s="57">
        <f>E1414+F1390</f>
        <v>2</v>
      </c>
    </row>
    <row r="1415" spans="1:6" x14ac:dyDescent="0.25">
      <c r="A1415" s="5" t="s">
        <v>39</v>
      </c>
      <c r="B1415" s="19">
        <v>43951</v>
      </c>
      <c r="C1415" s="4">
        <v>0</v>
      </c>
      <c r="D1415" s="21">
        <v>15</v>
      </c>
      <c r="F1415" s="57">
        <f>E1415+F1391</f>
        <v>0</v>
      </c>
    </row>
    <row r="1416" spans="1:6" x14ac:dyDescent="0.25">
      <c r="A1416" s="5" t="s">
        <v>40</v>
      </c>
      <c r="B1416" s="19">
        <v>43951</v>
      </c>
      <c r="C1416" s="4">
        <v>2</v>
      </c>
      <c r="D1416" s="21">
        <v>139</v>
      </c>
      <c r="F1416" s="57">
        <f t="shared" si="58"/>
        <v>0</v>
      </c>
    </row>
    <row r="1417" spans="1:6" x14ac:dyDescent="0.25">
      <c r="A1417" s="5" t="s">
        <v>41</v>
      </c>
      <c r="B1417" s="19">
        <v>43951</v>
      </c>
      <c r="C1417" s="4">
        <v>2</v>
      </c>
      <c r="D1417" s="21">
        <v>38</v>
      </c>
      <c r="F1417" s="57">
        <f>E1417+F1393</f>
        <v>2</v>
      </c>
    </row>
    <row r="1418" spans="1:6" x14ac:dyDescent="0.25">
      <c r="A1418" s="42" t="s">
        <v>17</v>
      </c>
      <c r="B1418" s="19">
        <v>43952</v>
      </c>
      <c r="C1418" s="4">
        <v>34</v>
      </c>
      <c r="D1418" s="21">
        <v>1632</v>
      </c>
      <c r="E1418" s="4">
        <v>3</v>
      </c>
      <c r="F1418" s="57">
        <f>E1418+F1394</f>
        <v>89</v>
      </c>
    </row>
    <row r="1419" spans="1:6" x14ac:dyDescent="0.25">
      <c r="A1419" s="5" t="s">
        <v>29</v>
      </c>
      <c r="B1419" s="19">
        <v>43952</v>
      </c>
      <c r="C1419" s="4">
        <v>0</v>
      </c>
      <c r="D1419" s="21">
        <v>0</v>
      </c>
      <c r="F1419" s="57">
        <f t="shared" ref="F1419:F1424" si="59">E1419+F1395</f>
        <v>0</v>
      </c>
    </row>
    <row r="1420" spans="1:6" x14ac:dyDescent="0.25">
      <c r="A1420" s="5" t="s">
        <v>16</v>
      </c>
      <c r="B1420" s="19">
        <v>43952</v>
      </c>
      <c r="C1420" s="4">
        <v>12</v>
      </c>
      <c r="D1420" s="21">
        <v>326</v>
      </c>
      <c r="F1420" s="57">
        <f t="shared" si="59"/>
        <v>13</v>
      </c>
    </row>
    <row r="1421" spans="1:6" x14ac:dyDescent="0.25">
      <c r="A1421" s="5" t="s">
        <v>30</v>
      </c>
      <c r="B1421" s="19">
        <v>43952</v>
      </c>
      <c r="C1421" s="4">
        <v>1</v>
      </c>
      <c r="D1421" s="21">
        <v>3</v>
      </c>
      <c r="F1421" s="57">
        <f t="shared" si="59"/>
        <v>1</v>
      </c>
    </row>
    <row r="1422" spans="1:6" x14ac:dyDescent="0.25">
      <c r="A1422" s="5" t="s">
        <v>44</v>
      </c>
      <c r="B1422" s="19">
        <v>43952</v>
      </c>
      <c r="C1422" s="4">
        <v>29</v>
      </c>
      <c r="D1422" s="21">
        <v>1197</v>
      </c>
      <c r="E1422" s="4">
        <v>4</v>
      </c>
      <c r="F1422" s="57">
        <f t="shared" si="59"/>
        <v>70</v>
      </c>
    </row>
    <row r="1423" spans="1:6" x14ac:dyDescent="0.25">
      <c r="A1423" s="5" t="s">
        <v>21</v>
      </c>
      <c r="B1423" s="19">
        <v>43952</v>
      </c>
      <c r="C1423" s="4">
        <v>13</v>
      </c>
      <c r="D1423" s="21">
        <v>291</v>
      </c>
      <c r="F1423" s="57">
        <f t="shared" si="59"/>
        <v>14</v>
      </c>
    </row>
    <row r="1424" spans="1:6" x14ac:dyDescent="0.25">
      <c r="A1424" s="5" t="s">
        <v>31</v>
      </c>
      <c r="B1424" s="19">
        <v>43952</v>
      </c>
      <c r="C1424" s="4">
        <v>1</v>
      </c>
      <c r="D1424" s="21">
        <v>49</v>
      </c>
      <c r="F1424" s="57">
        <f t="shared" si="59"/>
        <v>0</v>
      </c>
    </row>
    <row r="1425" spans="1:6" x14ac:dyDescent="0.25">
      <c r="A1425" s="5" t="s">
        <v>32</v>
      </c>
      <c r="B1425" s="19">
        <v>43952</v>
      </c>
      <c r="C1425" s="4">
        <v>2</v>
      </c>
      <c r="D1425" s="21">
        <v>25</v>
      </c>
      <c r="F1425" s="57">
        <f>E1425+F1401</f>
        <v>0</v>
      </c>
    </row>
    <row r="1426" spans="1:6" x14ac:dyDescent="0.25">
      <c r="A1426" s="5" t="s">
        <v>42</v>
      </c>
      <c r="B1426" s="19">
        <v>43952</v>
      </c>
      <c r="C1426" s="4">
        <v>0</v>
      </c>
      <c r="D1426" s="21">
        <v>0</v>
      </c>
      <c r="F1426" s="57">
        <f t="shared" ref="F1426:F1440" si="60">E1426+F1401</f>
        <v>0</v>
      </c>
    </row>
    <row r="1427" spans="1:6" x14ac:dyDescent="0.25">
      <c r="A1427" s="5" t="s">
        <v>33</v>
      </c>
      <c r="B1427" s="19">
        <v>43952</v>
      </c>
      <c r="C1427" s="4">
        <v>0</v>
      </c>
      <c r="D1427" s="21">
        <v>5</v>
      </c>
      <c r="F1427" s="57">
        <f t="shared" si="60"/>
        <v>0</v>
      </c>
    </row>
    <row r="1428" spans="1:6" x14ac:dyDescent="0.25">
      <c r="A1428" s="5" t="s">
        <v>34</v>
      </c>
      <c r="B1428" s="19">
        <v>43952</v>
      </c>
      <c r="C1428" s="4">
        <v>0</v>
      </c>
      <c r="D1428" s="21">
        <v>5</v>
      </c>
      <c r="F1428" s="57">
        <f t="shared" si="60"/>
        <v>0</v>
      </c>
    </row>
    <row r="1429" spans="1:6" x14ac:dyDescent="0.25">
      <c r="A1429" s="5" t="s">
        <v>22</v>
      </c>
      <c r="B1429" s="19">
        <v>43952</v>
      </c>
      <c r="C1429" s="4">
        <v>3</v>
      </c>
      <c r="D1429" s="21">
        <v>55</v>
      </c>
      <c r="F1429" s="57">
        <f t="shared" si="60"/>
        <v>0</v>
      </c>
    </row>
    <row r="1430" spans="1:6" x14ac:dyDescent="0.25">
      <c r="A1430" s="5" t="s">
        <v>18</v>
      </c>
      <c r="B1430" s="19">
        <v>43952</v>
      </c>
      <c r="C1430" s="4">
        <v>1</v>
      </c>
      <c r="D1430" s="21">
        <v>84</v>
      </c>
      <c r="F1430" s="57">
        <f t="shared" si="60"/>
        <v>0</v>
      </c>
    </row>
    <row r="1431" spans="1:6" x14ac:dyDescent="0.25">
      <c r="A1431" s="5" t="s">
        <v>24</v>
      </c>
      <c r="B1431" s="19">
        <v>43952</v>
      </c>
      <c r="C1431" s="4">
        <v>0</v>
      </c>
      <c r="D1431" s="21">
        <v>12</v>
      </c>
      <c r="F1431" s="57">
        <f t="shared" si="60"/>
        <v>0</v>
      </c>
    </row>
    <row r="1432" spans="1:6" x14ac:dyDescent="0.25">
      <c r="A1432" s="5" t="s">
        <v>20</v>
      </c>
      <c r="B1432" s="19">
        <v>43952</v>
      </c>
      <c r="C1432" s="4">
        <v>0</v>
      </c>
      <c r="D1432" s="21">
        <v>110</v>
      </c>
      <c r="F1432" s="57">
        <f t="shared" si="60"/>
        <v>0</v>
      </c>
    </row>
    <row r="1433" spans="1:6" x14ac:dyDescent="0.25">
      <c r="A1433" s="5" t="s">
        <v>19</v>
      </c>
      <c r="B1433" s="19">
        <v>43952</v>
      </c>
      <c r="C1433" s="4">
        <v>8</v>
      </c>
      <c r="D1433" s="21">
        <v>236</v>
      </c>
      <c r="F1433" s="57">
        <f t="shared" si="60"/>
        <v>6</v>
      </c>
    </row>
    <row r="1434" spans="1:6" x14ac:dyDescent="0.25">
      <c r="A1434" s="5" t="s">
        <v>35</v>
      </c>
      <c r="B1434" s="19">
        <v>43952</v>
      </c>
      <c r="C1434" s="4">
        <v>0</v>
      </c>
      <c r="D1434" s="21">
        <v>4</v>
      </c>
      <c r="F1434" s="57">
        <f t="shared" si="60"/>
        <v>9</v>
      </c>
    </row>
    <row r="1435" spans="1:6" x14ac:dyDescent="0.25">
      <c r="A1435" s="5" t="s">
        <v>36</v>
      </c>
      <c r="B1435" s="19">
        <v>43952</v>
      </c>
      <c r="C1435" s="4">
        <v>0</v>
      </c>
      <c r="D1435" s="21">
        <v>2</v>
      </c>
      <c r="F1435" s="57">
        <f>E1435+F1411</f>
        <v>0</v>
      </c>
    </row>
    <row r="1436" spans="1:6" x14ac:dyDescent="0.25">
      <c r="A1436" s="5" t="s">
        <v>37</v>
      </c>
      <c r="B1436" s="19">
        <v>43952</v>
      </c>
      <c r="C1436" s="4">
        <v>0</v>
      </c>
      <c r="D1436" s="21">
        <v>11</v>
      </c>
      <c r="F1436" s="57">
        <f t="shared" si="60"/>
        <v>0</v>
      </c>
    </row>
    <row r="1437" spans="1:6" x14ac:dyDescent="0.25">
      <c r="A1437" s="5" t="s">
        <v>38</v>
      </c>
      <c r="B1437" s="19">
        <v>43952</v>
      </c>
      <c r="C1437" s="4">
        <v>0</v>
      </c>
      <c r="D1437" s="21">
        <v>49</v>
      </c>
      <c r="F1437" s="57">
        <f t="shared" si="60"/>
        <v>0</v>
      </c>
    </row>
    <row r="1438" spans="1:6" x14ac:dyDescent="0.25">
      <c r="A1438" s="5" t="s">
        <v>23</v>
      </c>
      <c r="B1438" s="19">
        <v>43952</v>
      </c>
      <c r="C1438" s="4">
        <v>0</v>
      </c>
      <c r="D1438" s="21">
        <v>243</v>
      </c>
      <c r="F1438" s="57">
        <f>E1438+F1414</f>
        <v>2</v>
      </c>
    </row>
    <row r="1439" spans="1:6" x14ac:dyDescent="0.25">
      <c r="A1439" s="5" t="s">
        <v>39</v>
      </c>
      <c r="B1439" s="19">
        <v>43952</v>
      </c>
      <c r="C1439" s="4">
        <v>0</v>
      </c>
      <c r="D1439" s="21">
        <v>15</v>
      </c>
      <c r="F1439" s="57">
        <f>E1439+F1415</f>
        <v>0</v>
      </c>
    </row>
    <row r="1440" spans="1:6" x14ac:dyDescent="0.25">
      <c r="A1440" s="5" t="s">
        <v>40</v>
      </c>
      <c r="B1440" s="19">
        <v>43952</v>
      </c>
      <c r="C1440" s="4">
        <v>1</v>
      </c>
      <c r="D1440" s="21">
        <v>140</v>
      </c>
      <c r="F1440" s="57">
        <f t="shared" si="60"/>
        <v>0</v>
      </c>
    </row>
    <row r="1441" spans="1:6" x14ac:dyDescent="0.25">
      <c r="A1441" s="5" t="s">
        <v>41</v>
      </c>
      <c r="B1441" s="19">
        <v>43952</v>
      </c>
      <c r="C1441" s="4">
        <v>0</v>
      </c>
      <c r="D1441" s="21">
        <v>38</v>
      </c>
      <c r="F1441" s="57">
        <f>E1441+F1417</f>
        <v>2</v>
      </c>
    </row>
    <row r="1442" spans="1:6" x14ac:dyDescent="0.25">
      <c r="A1442" s="42" t="s">
        <v>17</v>
      </c>
      <c r="B1442" s="19">
        <v>43953</v>
      </c>
      <c r="C1442" s="4">
        <v>45</v>
      </c>
      <c r="D1442" s="21">
        <v>1677</v>
      </c>
      <c r="E1442" s="4">
        <v>2</v>
      </c>
      <c r="F1442" s="57">
        <f>E1442+F1418</f>
        <v>91</v>
      </c>
    </row>
    <row r="1443" spans="1:6" x14ac:dyDescent="0.25">
      <c r="A1443" s="5" t="s">
        <v>29</v>
      </c>
      <c r="B1443" s="19">
        <v>43953</v>
      </c>
      <c r="C1443" s="4">
        <v>0</v>
      </c>
      <c r="D1443" s="21">
        <v>0</v>
      </c>
      <c r="F1443" s="57">
        <f t="shared" ref="F1443:F1448" si="61">E1443+F1419</f>
        <v>0</v>
      </c>
    </row>
    <row r="1444" spans="1:6" x14ac:dyDescent="0.25">
      <c r="A1444" s="5" t="s">
        <v>16</v>
      </c>
      <c r="B1444" s="19">
        <v>43953</v>
      </c>
      <c r="C1444" s="4">
        <v>11</v>
      </c>
      <c r="D1444" s="21">
        <v>337</v>
      </c>
      <c r="E1444" s="4">
        <v>3</v>
      </c>
      <c r="F1444" s="57">
        <f t="shared" si="61"/>
        <v>16</v>
      </c>
    </row>
    <row r="1445" spans="1:6" x14ac:dyDescent="0.25">
      <c r="A1445" s="5" t="s">
        <v>30</v>
      </c>
      <c r="B1445" s="19">
        <v>43953</v>
      </c>
      <c r="C1445" s="4">
        <v>1</v>
      </c>
      <c r="D1445" s="21">
        <v>4</v>
      </c>
      <c r="F1445" s="57">
        <f t="shared" si="61"/>
        <v>1</v>
      </c>
    </row>
    <row r="1446" spans="1:6" x14ac:dyDescent="0.25">
      <c r="A1446" s="5" t="s">
        <v>44</v>
      </c>
      <c r="B1446" s="19">
        <v>43953</v>
      </c>
      <c r="C1446" s="4">
        <v>58</v>
      </c>
      <c r="D1446" s="21">
        <v>1255</v>
      </c>
      <c r="E1446" s="4">
        <v>6</v>
      </c>
      <c r="F1446" s="57">
        <f t="shared" si="61"/>
        <v>76</v>
      </c>
    </row>
    <row r="1447" spans="1:6" x14ac:dyDescent="0.25">
      <c r="A1447" s="5" t="s">
        <v>21</v>
      </c>
      <c r="B1447" s="19">
        <v>43953</v>
      </c>
      <c r="C1447" s="4">
        <v>12</v>
      </c>
      <c r="D1447" s="21">
        <v>303</v>
      </c>
      <c r="E1447" s="4">
        <v>1</v>
      </c>
      <c r="F1447" s="57">
        <f t="shared" si="61"/>
        <v>15</v>
      </c>
    </row>
    <row r="1448" spans="1:6" x14ac:dyDescent="0.25">
      <c r="A1448" s="5" t="s">
        <v>31</v>
      </c>
      <c r="B1448" s="19">
        <v>43953</v>
      </c>
      <c r="C1448" s="4">
        <v>0</v>
      </c>
      <c r="D1448" s="21">
        <v>49</v>
      </c>
      <c r="F1448" s="57">
        <f t="shared" si="61"/>
        <v>0</v>
      </c>
    </row>
    <row r="1449" spans="1:6" x14ac:dyDescent="0.25">
      <c r="A1449" s="5" t="s">
        <v>32</v>
      </c>
      <c r="B1449" s="19">
        <v>43953</v>
      </c>
      <c r="C1449" s="4">
        <v>0</v>
      </c>
      <c r="D1449" s="21">
        <v>25</v>
      </c>
      <c r="F1449" s="57">
        <f>E1449+F1425</f>
        <v>0</v>
      </c>
    </row>
    <row r="1450" spans="1:6" x14ac:dyDescent="0.25">
      <c r="A1450" s="5" t="s">
        <v>42</v>
      </c>
      <c r="B1450" s="19">
        <v>43953</v>
      </c>
      <c r="C1450" s="4">
        <v>0</v>
      </c>
      <c r="D1450" s="21">
        <v>0</v>
      </c>
      <c r="F1450" s="57">
        <f t="shared" ref="F1450:F1464" si="62">E1450+F1425</f>
        <v>0</v>
      </c>
    </row>
    <row r="1451" spans="1:6" x14ac:dyDescent="0.25">
      <c r="A1451" s="5" t="s">
        <v>33</v>
      </c>
      <c r="B1451" s="19">
        <v>43953</v>
      </c>
      <c r="C1451" s="4">
        <v>0</v>
      </c>
      <c r="D1451" s="21">
        <v>5</v>
      </c>
      <c r="F1451" s="57">
        <f t="shared" si="62"/>
        <v>0</v>
      </c>
    </row>
    <row r="1452" spans="1:6" x14ac:dyDescent="0.25">
      <c r="A1452" s="5" t="s">
        <v>34</v>
      </c>
      <c r="B1452" s="19">
        <v>43953</v>
      </c>
      <c r="C1452" s="4">
        <v>0</v>
      </c>
      <c r="D1452" s="21">
        <v>5</v>
      </c>
      <c r="F1452" s="57">
        <f t="shared" si="62"/>
        <v>0</v>
      </c>
    </row>
    <row r="1453" spans="1:6" x14ac:dyDescent="0.25">
      <c r="A1453" s="5" t="s">
        <v>22</v>
      </c>
      <c r="B1453" s="19">
        <v>43953</v>
      </c>
      <c r="C1453" s="4">
        <v>0</v>
      </c>
      <c r="D1453" s="21">
        <v>55</v>
      </c>
      <c r="F1453" s="57">
        <f t="shared" si="62"/>
        <v>0</v>
      </c>
    </row>
    <row r="1454" spans="1:6" x14ac:dyDescent="0.25">
      <c r="A1454" s="5" t="s">
        <v>18</v>
      </c>
      <c r="B1454" s="19">
        <v>43953</v>
      </c>
      <c r="C1454" s="4">
        <v>1</v>
      </c>
      <c r="D1454" s="21">
        <v>85</v>
      </c>
      <c r="F1454" s="57">
        <f t="shared" si="62"/>
        <v>0</v>
      </c>
    </row>
    <row r="1455" spans="1:6" x14ac:dyDescent="0.25">
      <c r="A1455" s="5" t="s">
        <v>24</v>
      </c>
      <c r="B1455" s="19">
        <v>43953</v>
      </c>
      <c r="C1455" s="4">
        <v>12</v>
      </c>
      <c r="D1455" s="21">
        <v>24</v>
      </c>
      <c r="F1455" s="57">
        <f t="shared" si="62"/>
        <v>0</v>
      </c>
    </row>
    <row r="1456" spans="1:6" x14ac:dyDescent="0.25">
      <c r="A1456" s="5" t="s">
        <v>20</v>
      </c>
      <c r="B1456" s="19">
        <v>43953</v>
      </c>
      <c r="C1456" s="4">
        <v>0</v>
      </c>
      <c r="D1456" s="21">
        <v>110</v>
      </c>
      <c r="F1456" s="57">
        <f t="shared" si="62"/>
        <v>0</v>
      </c>
    </row>
    <row r="1457" spans="1:6" x14ac:dyDescent="0.25">
      <c r="A1457" s="5" t="s">
        <v>19</v>
      </c>
      <c r="B1457" s="19">
        <v>43953</v>
      </c>
      <c r="C1457" s="4">
        <v>6</v>
      </c>
      <c r="D1457" s="21">
        <v>242</v>
      </c>
      <c r="F1457" s="57">
        <f t="shared" si="62"/>
        <v>0</v>
      </c>
    </row>
    <row r="1458" spans="1:6" x14ac:dyDescent="0.25">
      <c r="A1458" s="5" t="s">
        <v>35</v>
      </c>
      <c r="B1458" s="19">
        <v>43953</v>
      </c>
      <c r="C1458" s="4">
        <v>0</v>
      </c>
      <c r="D1458" s="21">
        <v>4</v>
      </c>
      <c r="F1458" s="57">
        <f t="shared" si="62"/>
        <v>6</v>
      </c>
    </row>
    <row r="1459" spans="1:6" x14ac:dyDescent="0.25">
      <c r="A1459" s="5" t="s">
        <v>36</v>
      </c>
      <c r="B1459" s="19">
        <v>43953</v>
      </c>
      <c r="C1459" s="4">
        <v>0</v>
      </c>
      <c r="D1459" s="21">
        <v>2</v>
      </c>
      <c r="F1459" s="57">
        <f>E1459+F1435</f>
        <v>0</v>
      </c>
    </row>
    <row r="1460" spans="1:6" x14ac:dyDescent="0.25">
      <c r="A1460" s="5" t="s">
        <v>37</v>
      </c>
      <c r="B1460" s="19">
        <v>43953</v>
      </c>
      <c r="C1460" s="4">
        <v>0</v>
      </c>
      <c r="D1460" s="21">
        <v>11</v>
      </c>
      <c r="F1460" s="57">
        <f t="shared" si="62"/>
        <v>0</v>
      </c>
    </row>
    <row r="1461" spans="1:6" x14ac:dyDescent="0.25">
      <c r="A1461" s="5" t="s">
        <v>38</v>
      </c>
      <c r="B1461" s="19">
        <v>43953</v>
      </c>
      <c r="C1461" s="4">
        <v>0</v>
      </c>
      <c r="D1461" s="21">
        <v>49</v>
      </c>
      <c r="F1461" s="57">
        <f t="shared" si="62"/>
        <v>0</v>
      </c>
    </row>
    <row r="1462" spans="1:6" x14ac:dyDescent="0.25">
      <c r="A1462" s="5" t="s">
        <v>23</v>
      </c>
      <c r="B1462" s="19">
        <v>43953</v>
      </c>
      <c r="C1462" s="4">
        <v>0</v>
      </c>
      <c r="D1462" s="21">
        <v>243</v>
      </c>
      <c r="F1462" s="57">
        <f>E1462+F1438</f>
        <v>2</v>
      </c>
    </row>
    <row r="1463" spans="1:6" x14ac:dyDescent="0.25">
      <c r="A1463" s="5" t="s">
        <v>39</v>
      </c>
      <c r="B1463" s="19">
        <v>43953</v>
      </c>
      <c r="C1463" s="4">
        <v>0</v>
      </c>
      <c r="D1463" s="21">
        <v>15</v>
      </c>
      <c r="F1463" s="57">
        <f>E1463+F1439</f>
        <v>0</v>
      </c>
    </row>
    <row r="1464" spans="1:6" x14ac:dyDescent="0.25">
      <c r="A1464" s="5" t="s">
        <v>40</v>
      </c>
      <c r="B1464" s="19">
        <v>43953</v>
      </c>
      <c r="C1464" s="4">
        <v>3</v>
      </c>
      <c r="D1464" s="21">
        <v>143</v>
      </c>
      <c r="F1464" s="57">
        <f t="shared" si="62"/>
        <v>0</v>
      </c>
    </row>
    <row r="1465" spans="1:6" x14ac:dyDescent="0.25">
      <c r="A1465" s="5" t="s">
        <v>41</v>
      </c>
      <c r="B1465" s="19">
        <v>43953</v>
      </c>
      <c r="C1465" s="4">
        <v>0</v>
      </c>
      <c r="D1465" s="21">
        <v>38</v>
      </c>
      <c r="F1465" s="57">
        <f>E1465+F1441</f>
        <v>2</v>
      </c>
    </row>
    <row r="1466" spans="1:6" x14ac:dyDescent="0.25">
      <c r="A1466" s="42" t="s">
        <v>17</v>
      </c>
      <c r="B1466" s="19">
        <v>43954</v>
      </c>
      <c r="C1466" s="4">
        <v>38</v>
      </c>
      <c r="D1466" s="21">
        <v>1715</v>
      </c>
      <c r="E1466" s="4">
        <v>3</v>
      </c>
      <c r="F1466" s="57">
        <f>E1466+F1442</f>
        <v>94</v>
      </c>
    </row>
    <row r="1467" spans="1:6" x14ac:dyDescent="0.25">
      <c r="A1467" s="5" t="s">
        <v>29</v>
      </c>
      <c r="B1467" s="19">
        <v>43954</v>
      </c>
      <c r="C1467" s="4">
        <v>0</v>
      </c>
      <c r="D1467" s="21">
        <v>0</v>
      </c>
      <c r="F1467" s="57">
        <f t="shared" ref="F1467:F1472" si="63">E1467+F1443</f>
        <v>0</v>
      </c>
    </row>
    <row r="1468" spans="1:6" x14ac:dyDescent="0.25">
      <c r="A1468" s="5" t="s">
        <v>16</v>
      </c>
      <c r="B1468" s="19">
        <v>43954</v>
      </c>
      <c r="C1468" s="4">
        <v>5</v>
      </c>
      <c r="D1468" s="21">
        <v>342</v>
      </c>
      <c r="E1468" s="4">
        <v>2</v>
      </c>
      <c r="F1468" s="57">
        <f t="shared" si="63"/>
        <v>18</v>
      </c>
    </row>
    <row r="1469" spans="1:6" x14ac:dyDescent="0.25">
      <c r="A1469" s="5" t="s">
        <v>30</v>
      </c>
      <c r="B1469" s="19">
        <v>43954</v>
      </c>
      <c r="C1469" s="4">
        <v>0</v>
      </c>
      <c r="D1469" s="21">
        <v>4</v>
      </c>
      <c r="F1469" s="57">
        <f t="shared" si="63"/>
        <v>1</v>
      </c>
    </row>
    <row r="1470" spans="1:6" x14ac:dyDescent="0.25">
      <c r="A1470" s="5" t="s">
        <v>44</v>
      </c>
      <c r="B1470" s="19">
        <v>43954</v>
      </c>
      <c r="C1470" s="4">
        <v>49</v>
      </c>
      <c r="D1470" s="21">
        <v>1304</v>
      </c>
      <c r="E1470" s="4">
        <v>2</v>
      </c>
      <c r="F1470" s="57">
        <f t="shared" si="63"/>
        <v>78</v>
      </c>
    </row>
    <row r="1471" spans="1:6" x14ac:dyDescent="0.25">
      <c r="A1471" s="5" t="s">
        <v>21</v>
      </c>
      <c r="B1471" s="19">
        <v>43954</v>
      </c>
      <c r="C1471" s="4">
        <v>1</v>
      </c>
      <c r="D1471" s="21">
        <v>304</v>
      </c>
      <c r="E1471" s="4">
        <v>1</v>
      </c>
      <c r="F1471" s="57">
        <f t="shared" si="63"/>
        <v>16</v>
      </c>
    </row>
    <row r="1472" spans="1:6" x14ac:dyDescent="0.25">
      <c r="A1472" s="5" t="s">
        <v>31</v>
      </c>
      <c r="B1472" s="19">
        <v>43954</v>
      </c>
      <c r="C1472" s="4">
        <v>0</v>
      </c>
      <c r="D1472" s="21">
        <v>49</v>
      </c>
      <c r="F1472" s="57">
        <f t="shared" si="63"/>
        <v>0</v>
      </c>
    </row>
    <row r="1473" spans="1:6" x14ac:dyDescent="0.25">
      <c r="A1473" s="5" t="s">
        <v>32</v>
      </c>
      <c r="B1473" s="19">
        <v>43954</v>
      </c>
      <c r="C1473" s="4">
        <v>2</v>
      </c>
      <c r="D1473" s="21">
        <v>27</v>
      </c>
      <c r="F1473" s="57">
        <f>E1473+F1449</f>
        <v>0</v>
      </c>
    </row>
    <row r="1474" spans="1:6" x14ac:dyDescent="0.25">
      <c r="A1474" s="5" t="s">
        <v>42</v>
      </c>
      <c r="B1474" s="19">
        <v>43954</v>
      </c>
      <c r="C1474" s="4">
        <v>0</v>
      </c>
      <c r="D1474" s="21">
        <v>0</v>
      </c>
      <c r="F1474" s="57">
        <f t="shared" ref="F1474:F1488" si="64">E1474+F1449</f>
        <v>0</v>
      </c>
    </row>
    <row r="1475" spans="1:6" x14ac:dyDescent="0.25">
      <c r="A1475" s="5" t="s">
        <v>33</v>
      </c>
      <c r="B1475" s="19">
        <v>43954</v>
      </c>
      <c r="C1475" s="4">
        <v>0</v>
      </c>
      <c r="D1475" s="21">
        <v>5</v>
      </c>
      <c r="F1475" s="57">
        <f t="shared" si="64"/>
        <v>0</v>
      </c>
    </row>
    <row r="1476" spans="1:6" x14ac:dyDescent="0.25">
      <c r="A1476" s="5" t="s">
        <v>34</v>
      </c>
      <c r="B1476" s="19">
        <v>43954</v>
      </c>
      <c r="C1476" s="4">
        <v>0</v>
      </c>
      <c r="D1476" s="21">
        <v>5</v>
      </c>
      <c r="F1476" s="57">
        <f t="shared" si="64"/>
        <v>0</v>
      </c>
    </row>
    <row r="1477" spans="1:6" x14ac:dyDescent="0.25">
      <c r="A1477" s="5" t="s">
        <v>22</v>
      </c>
      <c r="B1477" s="19">
        <v>43954</v>
      </c>
      <c r="C1477" s="4">
        <v>0</v>
      </c>
      <c r="D1477" s="21">
        <v>55</v>
      </c>
      <c r="F1477" s="57">
        <f t="shared" si="64"/>
        <v>0</v>
      </c>
    </row>
    <row r="1478" spans="1:6" x14ac:dyDescent="0.25">
      <c r="A1478" s="5" t="s">
        <v>18</v>
      </c>
      <c r="B1478" s="19">
        <v>43954</v>
      </c>
      <c r="C1478" s="4">
        <v>0</v>
      </c>
      <c r="D1478" s="21">
        <v>85</v>
      </c>
      <c r="F1478" s="57">
        <f t="shared" si="64"/>
        <v>0</v>
      </c>
    </row>
    <row r="1479" spans="1:6" x14ac:dyDescent="0.25">
      <c r="A1479" s="5" t="s">
        <v>24</v>
      </c>
      <c r="B1479" s="19">
        <v>43954</v>
      </c>
      <c r="C1479" s="4">
        <v>0</v>
      </c>
      <c r="D1479" s="21">
        <v>24</v>
      </c>
      <c r="F1479" s="57">
        <f t="shared" si="64"/>
        <v>0</v>
      </c>
    </row>
    <row r="1480" spans="1:6" x14ac:dyDescent="0.25">
      <c r="A1480" s="5" t="s">
        <v>20</v>
      </c>
      <c r="B1480" s="19">
        <v>43954</v>
      </c>
      <c r="C1480" s="4">
        <v>0</v>
      </c>
      <c r="D1480" s="21">
        <v>110</v>
      </c>
      <c r="F1480" s="57">
        <f t="shared" si="64"/>
        <v>0</v>
      </c>
    </row>
    <row r="1481" spans="1:6" x14ac:dyDescent="0.25">
      <c r="A1481" s="5" t="s">
        <v>19</v>
      </c>
      <c r="B1481" s="19">
        <v>43954</v>
      </c>
      <c r="C1481" s="4">
        <v>6</v>
      </c>
      <c r="D1481" s="21">
        <v>248</v>
      </c>
      <c r="E1481" s="4">
        <v>1</v>
      </c>
      <c r="F1481" s="57">
        <f t="shared" si="64"/>
        <v>1</v>
      </c>
    </row>
    <row r="1482" spans="1:6" x14ac:dyDescent="0.25">
      <c r="A1482" s="5" t="s">
        <v>35</v>
      </c>
      <c r="B1482" s="19">
        <v>43954</v>
      </c>
      <c r="C1482" s="4">
        <v>0</v>
      </c>
      <c r="D1482" s="21">
        <v>4</v>
      </c>
      <c r="F1482" s="57">
        <f t="shared" si="64"/>
        <v>0</v>
      </c>
    </row>
    <row r="1483" spans="1:6" x14ac:dyDescent="0.25">
      <c r="A1483" s="5" t="s">
        <v>36</v>
      </c>
      <c r="B1483" s="19">
        <v>43954</v>
      </c>
      <c r="C1483" s="4">
        <v>0</v>
      </c>
      <c r="D1483" s="21">
        <v>2</v>
      </c>
      <c r="F1483" s="57">
        <f>E1483+F1459</f>
        <v>0</v>
      </c>
    </row>
    <row r="1484" spans="1:6" x14ac:dyDescent="0.25">
      <c r="A1484" s="5" t="s">
        <v>37</v>
      </c>
      <c r="B1484" s="19">
        <v>43954</v>
      </c>
      <c r="C1484" s="4">
        <v>0</v>
      </c>
      <c r="D1484" s="21">
        <v>11</v>
      </c>
      <c r="F1484" s="57">
        <f t="shared" si="64"/>
        <v>0</v>
      </c>
    </row>
    <row r="1485" spans="1:6" x14ac:dyDescent="0.25">
      <c r="A1485" s="5" t="s">
        <v>38</v>
      </c>
      <c r="B1485" s="19">
        <v>43954</v>
      </c>
      <c r="C1485" s="4">
        <v>0</v>
      </c>
      <c r="D1485" s="21">
        <v>49</v>
      </c>
      <c r="F1485" s="57">
        <f t="shared" si="64"/>
        <v>0</v>
      </c>
    </row>
    <row r="1486" spans="1:6" x14ac:dyDescent="0.25">
      <c r="A1486" s="5" t="s">
        <v>23</v>
      </c>
      <c r="B1486" s="19">
        <v>43954</v>
      </c>
      <c r="C1486" s="4">
        <v>0</v>
      </c>
      <c r="D1486" s="21">
        <v>243</v>
      </c>
      <c r="F1486" s="57">
        <f>E1486+F1462</f>
        <v>2</v>
      </c>
    </row>
    <row r="1487" spans="1:6" x14ac:dyDescent="0.25">
      <c r="A1487" s="5" t="s">
        <v>39</v>
      </c>
      <c r="B1487" s="19">
        <v>43954</v>
      </c>
      <c r="C1487" s="4">
        <v>0</v>
      </c>
      <c r="D1487" s="21">
        <v>15</v>
      </c>
      <c r="F1487" s="57">
        <f>E1487+F1463</f>
        <v>0</v>
      </c>
    </row>
    <row r="1488" spans="1:6" x14ac:dyDescent="0.25">
      <c r="A1488" s="5" t="s">
        <v>40</v>
      </c>
      <c r="B1488" s="19">
        <v>43954</v>
      </c>
      <c r="C1488" s="4">
        <v>2</v>
      </c>
      <c r="D1488" s="21">
        <v>145</v>
      </c>
      <c r="F1488" s="57">
        <f t="shared" si="64"/>
        <v>0</v>
      </c>
    </row>
    <row r="1489" spans="1:6" x14ac:dyDescent="0.25">
      <c r="A1489" s="5" t="s">
        <v>41</v>
      </c>
      <c r="B1489" s="19">
        <v>43954</v>
      </c>
      <c r="C1489" s="4">
        <v>0</v>
      </c>
      <c r="D1489" s="21">
        <v>38</v>
      </c>
      <c r="F1489" s="57">
        <f>E1489+F1465</f>
        <v>2</v>
      </c>
    </row>
    <row r="1490" spans="1:6" x14ac:dyDescent="0.25">
      <c r="A1490" s="42" t="s">
        <v>17</v>
      </c>
      <c r="B1490" s="19">
        <v>43955</v>
      </c>
      <c r="C1490" s="4">
        <v>38</v>
      </c>
      <c r="D1490" s="21">
        <v>1753</v>
      </c>
      <c r="E1490" s="4">
        <v>7</v>
      </c>
      <c r="F1490" s="57">
        <f>E1490+F1466</f>
        <v>101</v>
      </c>
    </row>
    <row r="1491" spans="1:6" x14ac:dyDescent="0.25">
      <c r="A1491" s="5" t="s">
        <v>29</v>
      </c>
      <c r="B1491" s="19">
        <v>43955</v>
      </c>
      <c r="C1491" s="4">
        <v>0</v>
      </c>
      <c r="D1491" s="21">
        <v>0</v>
      </c>
      <c r="F1491" s="57">
        <f t="shared" ref="F1491:F1496" si="65">E1491+F1467</f>
        <v>0</v>
      </c>
    </row>
    <row r="1492" spans="1:6" x14ac:dyDescent="0.25">
      <c r="A1492" s="5" t="s">
        <v>16</v>
      </c>
      <c r="B1492" s="19">
        <v>43955</v>
      </c>
      <c r="C1492" s="4">
        <v>5</v>
      </c>
      <c r="D1492" s="21">
        <v>347</v>
      </c>
      <c r="E1492" s="4">
        <v>1</v>
      </c>
      <c r="F1492" s="57">
        <f t="shared" si="65"/>
        <v>19</v>
      </c>
    </row>
    <row r="1493" spans="1:6" x14ac:dyDescent="0.25">
      <c r="A1493" s="5" t="s">
        <v>30</v>
      </c>
      <c r="B1493" s="19">
        <v>43955</v>
      </c>
      <c r="C1493" s="4">
        <v>0</v>
      </c>
      <c r="D1493" s="21">
        <v>4</v>
      </c>
      <c r="F1493" s="57">
        <f t="shared" si="65"/>
        <v>1</v>
      </c>
    </row>
    <row r="1494" spans="1:6" x14ac:dyDescent="0.25">
      <c r="A1494" s="5" t="s">
        <v>44</v>
      </c>
      <c r="B1494" s="19">
        <v>43955</v>
      </c>
      <c r="C1494" s="4">
        <v>43</v>
      </c>
      <c r="D1494" s="21">
        <v>1347</v>
      </c>
      <c r="E1494" s="4">
        <v>4</v>
      </c>
      <c r="F1494" s="57">
        <f t="shared" si="65"/>
        <v>82</v>
      </c>
    </row>
    <row r="1495" spans="1:6" x14ac:dyDescent="0.25">
      <c r="A1495" s="5" t="s">
        <v>21</v>
      </c>
      <c r="B1495" s="19">
        <v>43955</v>
      </c>
      <c r="C1495" s="4">
        <v>6</v>
      </c>
      <c r="D1495" s="21">
        <v>310</v>
      </c>
      <c r="E1495" s="4">
        <v>2</v>
      </c>
      <c r="F1495" s="57">
        <f t="shared" si="65"/>
        <v>18</v>
      </c>
    </row>
    <row r="1496" spans="1:6" x14ac:dyDescent="0.25">
      <c r="A1496" s="5" t="s">
        <v>31</v>
      </c>
      <c r="B1496" s="19">
        <v>43955</v>
      </c>
      <c r="C1496" s="4">
        <v>0</v>
      </c>
      <c r="D1496" s="21">
        <v>49</v>
      </c>
      <c r="F1496" s="57">
        <f t="shared" si="65"/>
        <v>0</v>
      </c>
    </row>
    <row r="1497" spans="1:6" x14ac:dyDescent="0.25">
      <c r="A1497" s="5" t="s">
        <v>32</v>
      </c>
      <c r="B1497" s="19">
        <v>43955</v>
      </c>
      <c r="C1497" s="4">
        <v>0</v>
      </c>
      <c r="D1497" s="21">
        <v>27</v>
      </c>
      <c r="F1497" s="57">
        <f>E1497+F1473</f>
        <v>0</v>
      </c>
    </row>
    <row r="1498" spans="1:6" x14ac:dyDescent="0.25">
      <c r="A1498" s="5" t="s">
        <v>42</v>
      </c>
      <c r="B1498" s="19">
        <v>43955</v>
      </c>
      <c r="C1498" s="4">
        <v>0</v>
      </c>
      <c r="D1498" s="21">
        <v>0</v>
      </c>
      <c r="F1498" s="57">
        <f t="shared" ref="F1498:F1512" si="66">E1498+F1473</f>
        <v>0</v>
      </c>
    </row>
    <row r="1499" spans="1:6" x14ac:dyDescent="0.25">
      <c r="A1499" s="5" t="s">
        <v>33</v>
      </c>
      <c r="B1499" s="19">
        <v>43955</v>
      </c>
      <c r="C1499" s="4">
        <v>0</v>
      </c>
      <c r="D1499" s="21">
        <v>5</v>
      </c>
      <c r="F1499" s="57">
        <f t="shared" si="66"/>
        <v>0</v>
      </c>
    </row>
    <row r="1500" spans="1:6" x14ac:dyDescent="0.25">
      <c r="A1500" s="5" t="s">
        <v>34</v>
      </c>
      <c r="B1500" s="19">
        <v>43955</v>
      </c>
      <c r="C1500" s="4">
        <v>0</v>
      </c>
      <c r="D1500" s="21">
        <v>5</v>
      </c>
      <c r="F1500" s="57">
        <f t="shared" si="66"/>
        <v>0</v>
      </c>
    </row>
    <row r="1501" spans="1:6" x14ac:dyDescent="0.25">
      <c r="A1501" s="5" t="s">
        <v>22</v>
      </c>
      <c r="B1501" s="19">
        <v>43955</v>
      </c>
      <c r="C1501" s="4">
        <v>1</v>
      </c>
      <c r="D1501" s="21">
        <v>56</v>
      </c>
      <c r="F1501" s="57">
        <f t="shared" si="66"/>
        <v>0</v>
      </c>
    </row>
    <row r="1502" spans="1:6" x14ac:dyDescent="0.25">
      <c r="A1502" s="5" t="s">
        <v>18</v>
      </c>
      <c r="B1502" s="19">
        <v>43955</v>
      </c>
      <c r="C1502" s="4">
        <v>-1</v>
      </c>
      <c r="D1502" s="21">
        <v>84</v>
      </c>
      <c r="F1502" s="57">
        <f t="shared" si="66"/>
        <v>0</v>
      </c>
    </row>
    <row r="1503" spans="1:6" x14ac:dyDescent="0.25">
      <c r="A1503" s="5" t="s">
        <v>24</v>
      </c>
      <c r="B1503" s="19">
        <v>43955</v>
      </c>
      <c r="C1503" s="4">
        <v>1</v>
      </c>
      <c r="D1503" s="21">
        <v>25</v>
      </c>
      <c r="F1503" s="57">
        <f t="shared" si="66"/>
        <v>0</v>
      </c>
    </row>
    <row r="1504" spans="1:6" x14ac:dyDescent="0.25">
      <c r="A1504" s="5" t="s">
        <v>20</v>
      </c>
      <c r="B1504" s="19">
        <v>43955</v>
      </c>
      <c r="C1504" s="4">
        <v>0</v>
      </c>
      <c r="D1504" s="21">
        <v>110</v>
      </c>
      <c r="F1504" s="57">
        <f t="shared" si="66"/>
        <v>0</v>
      </c>
    </row>
    <row r="1505" spans="1:6" x14ac:dyDescent="0.25">
      <c r="A1505" s="5" t="s">
        <v>19</v>
      </c>
      <c r="B1505" s="19">
        <v>43955</v>
      </c>
      <c r="C1505" s="4">
        <v>7</v>
      </c>
      <c r="D1505" s="21">
        <v>255</v>
      </c>
      <c r="F1505" s="57">
        <f t="shared" si="66"/>
        <v>0</v>
      </c>
    </row>
    <row r="1506" spans="1:6" x14ac:dyDescent="0.25">
      <c r="A1506" s="5" t="s">
        <v>35</v>
      </c>
      <c r="B1506" s="19">
        <v>43955</v>
      </c>
      <c r="C1506" s="4">
        <v>0</v>
      </c>
      <c r="D1506" s="21">
        <v>4</v>
      </c>
      <c r="F1506" s="57">
        <f t="shared" si="66"/>
        <v>1</v>
      </c>
    </row>
    <row r="1507" spans="1:6" x14ac:dyDescent="0.25">
      <c r="A1507" s="5" t="s">
        <v>36</v>
      </c>
      <c r="B1507" s="19">
        <v>43955</v>
      </c>
      <c r="C1507" s="4">
        <v>0</v>
      </c>
      <c r="D1507" s="21">
        <v>2</v>
      </c>
      <c r="F1507" s="57">
        <f>E1507+F1483</f>
        <v>0</v>
      </c>
    </row>
    <row r="1508" spans="1:6" x14ac:dyDescent="0.25">
      <c r="A1508" s="5" t="s">
        <v>37</v>
      </c>
      <c r="B1508" s="19">
        <v>43955</v>
      </c>
      <c r="C1508" s="4">
        <v>0</v>
      </c>
      <c r="D1508" s="21">
        <v>11</v>
      </c>
      <c r="F1508" s="57">
        <f t="shared" si="66"/>
        <v>0</v>
      </c>
    </row>
    <row r="1509" spans="1:6" x14ac:dyDescent="0.25">
      <c r="A1509" s="5" t="s">
        <v>38</v>
      </c>
      <c r="B1509" s="19">
        <v>43955</v>
      </c>
      <c r="C1509" s="4">
        <v>0</v>
      </c>
      <c r="D1509" s="21">
        <v>49</v>
      </c>
      <c r="F1509" s="57">
        <f t="shared" si="66"/>
        <v>0</v>
      </c>
    </row>
    <row r="1510" spans="1:6" x14ac:dyDescent="0.25">
      <c r="A1510" s="5" t="s">
        <v>23</v>
      </c>
      <c r="B1510" s="19">
        <v>43955</v>
      </c>
      <c r="C1510" s="4">
        <v>0</v>
      </c>
      <c r="D1510" s="21">
        <v>243</v>
      </c>
      <c r="F1510" s="57">
        <f>E1510+F1486</f>
        <v>2</v>
      </c>
    </row>
    <row r="1511" spans="1:6" x14ac:dyDescent="0.25">
      <c r="A1511" s="5" t="s">
        <v>39</v>
      </c>
      <c r="B1511" s="19">
        <v>43955</v>
      </c>
      <c r="C1511" s="4">
        <v>0</v>
      </c>
      <c r="D1511" s="21">
        <v>15</v>
      </c>
      <c r="F1511" s="57">
        <f>E1511+F1487</f>
        <v>0</v>
      </c>
    </row>
    <row r="1512" spans="1:6" x14ac:dyDescent="0.25">
      <c r="A1512" s="5" t="s">
        <v>40</v>
      </c>
      <c r="B1512" s="19">
        <v>43955</v>
      </c>
      <c r="C1512" s="4">
        <v>0</v>
      </c>
      <c r="D1512" s="21">
        <v>145</v>
      </c>
      <c r="F1512" s="57">
        <f t="shared" si="66"/>
        <v>0</v>
      </c>
    </row>
    <row r="1513" spans="1:6" x14ac:dyDescent="0.25">
      <c r="A1513" s="5" t="s">
        <v>41</v>
      </c>
      <c r="B1513" s="19">
        <v>43955</v>
      </c>
      <c r="C1513" s="4">
        <v>3</v>
      </c>
      <c r="D1513" s="21">
        <v>41</v>
      </c>
      <c r="F1513" s="57">
        <f>E1513+F1489</f>
        <v>2</v>
      </c>
    </row>
    <row r="1514" spans="1:6" x14ac:dyDescent="0.25">
      <c r="A1514" s="42" t="s">
        <v>17</v>
      </c>
      <c r="B1514" s="19">
        <v>43956</v>
      </c>
      <c r="C1514" s="4">
        <v>58</v>
      </c>
      <c r="D1514" s="21">
        <v>1811</v>
      </c>
      <c r="E1514" s="4">
        <v>1</v>
      </c>
      <c r="F1514" s="57">
        <f>E1514+F1490</f>
        <v>102</v>
      </c>
    </row>
    <row r="1515" spans="1:6" x14ac:dyDescent="0.25">
      <c r="A1515" s="5" t="s">
        <v>29</v>
      </c>
      <c r="B1515" s="19">
        <v>43956</v>
      </c>
      <c r="C1515" s="4">
        <v>0</v>
      </c>
      <c r="D1515" s="21">
        <v>0</v>
      </c>
      <c r="F1515" s="57">
        <f t="shared" ref="F1515:F1520" si="67">E1515+F1491</f>
        <v>0</v>
      </c>
    </row>
    <row r="1516" spans="1:6" x14ac:dyDescent="0.25">
      <c r="A1516" s="5" t="s">
        <v>16</v>
      </c>
      <c r="B1516" s="19">
        <v>43956</v>
      </c>
      <c r="C1516" s="4">
        <v>11</v>
      </c>
      <c r="D1516" s="21">
        <v>358</v>
      </c>
      <c r="F1516" s="57">
        <f t="shared" si="67"/>
        <v>19</v>
      </c>
    </row>
    <row r="1517" spans="1:6" x14ac:dyDescent="0.25">
      <c r="A1517" s="5" t="s">
        <v>30</v>
      </c>
      <c r="B1517" s="19">
        <v>43956</v>
      </c>
      <c r="C1517" s="4">
        <v>0</v>
      </c>
      <c r="D1517" s="21">
        <v>4</v>
      </c>
      <c r="F1517" s="57">
        <f t="shared" si="67"/>
        <v>1</v>
      </c>
    </row>
    <row r="1518" spans="1:6" x14ac:dyDescent="0.25">
      <c r="A1518" s="5" t="s">
        <v>44</v>
      </c>
      <c r="B1518" s="19">
        <v>43956</v>
      </c>
      <c r="C1518" s="4">
        <v>57</v>
      </c>
      <c r="D1518" s="21">
        <v>1404</v>
      </c>
      <c r="E1518" s="4">
        <v>1</v>
      </c>
      <c r="F1518" s="57">
        <f t="shared" si="67"/>
        <v>83</v>
      </c>
    </row>
    <row r="1519" spans="1:6" x14ac:dyDescent="0.25">
      <c r="A1519" s="5" t="s">
        <v>21</v>
      </c>
      <c r="B1519" s="19">
        <v>43956</v>
      </c>
      <c r="C1519" s="4">
        <v>1</v>
      </c>
      <c r="D1519" s="21">
        <v>311</v>
      </c>
      <c r="E1519" s="4">
        <v>1</v>
      </c>
      <c r="F1519" s="57">
        <f t="shared" si="67"/>
        <v>19</v>
      </c>
    </row>
    <row r="1520" spans="1:6" x14ac:dyDescent="0.25">
      <c r="A1520" s="5" t="s">
        <v>31</v>
      </c>
      <c r="B1520" s="19">
        <v>43956</v>
      </c>
      <c r="C1520" s="4">
        <v>-1</v>
      </c>
      <c r="D1520" s="21">
        <v>48</v>
      </c>
      <c r="F1520" s="57">
        <f t="shared" si="67"/>
        <v>0</v>
      </c>
    </row>
    <row r="1521" spans="1:6" x14ac:dyDescent="0.25">
      <c r="A1521" s="5" t="s">
        <v>32</v>
      </c>
      <c r="B1521" s="19">
        <v>43956</v>
      </c>
      <c r="C1521" s="4">
        <v>1</v>
      </c>
      <c r="D1521" s="21">
        <v>28</v>
      </c>
      <c r="F1521" s="57">
        <f>E1521+F1497</f>
        <v>0</v>
      </c>
    </row>
    <row r="1522" spans="1:6" x14ac:dyDescent="0.25">
      <c r="A1522" s="5" t="s">
        <v>42</v>
      </c>
      <c r="B1522" s="19">
        <v>43956</v>
      </c>
      <c r="C1522" s="4">
        <v>0</v>
      </c>
      <c r="D1522" s="21">
        <v>0</v>
      </c>
      <c r="F1522" s="57">
        <f t="shared" ref="F1522:F1536" si="68">E1522+F1497</f>
        <v>0</v>
      </c>
    </row>
    <row r="1523" spans="1:6" x14ac:dyDescent="0.25">
      <c r="A1523" s="5" t="s">
        <v>33</v>
      </c>
      <c r="B1523" s="19">
        <v>43956</v>
      </c>
      <c r="C1523" s="4">
        <v>0</v>
      </c>
      <c r="D1523" s="21">
        <v>5</v>
      </c>
      <c r="F1523" s="57">
        <f t="shared" si="68"/>
        <v>0</v>
      </c>
    </row>
    <row r="1524" spans="1:6" x14ac:dyDescent="0.25">
      <c r="A1524" s="5" t="s">
        <v>34</v>
      </c>
      <c r="B1524" s="19">
        <v>43956</v>
      </c>
      <c r="C1524" s="4">
        <v>0</v>
      </c>
      <c r="D1524" s="21">
        <v>5</v>
      </c>
      <c r="F1524" s="57">
        <f t="shared" si="68"/>
        <v>0</v>
      </c>
    </row>
    <row r="1525" spans="1:6" x14ac:dyDescent="0.25">
      <c r="A1525" s="5" t="s">
        <v>22</v>
      </c>
      <c r="B1525" s="19">
        <v>43956</v>
      </c>
      <c r="C1525" s="4">
        <v>0</v>
      </c>
      <c r="D1525" s="21">
        <v>56</v>
      </c>
      <c r="F1525" s="57">
        <f t="shared" si="68"/>
        <v>0</v>
      </c>
    </row>
    <row r="1526" spans="1:6" x14ac:dyDescent="0.25">
      <c r="A1526" s="5" t="s">
        <v>18</v>
      </c>
      <c r="B1526" s="19">
        <v>43956</v>
      </c>
      <c r="C1526" s="4">
        <v>1</v>
      </c>
      <c r="D1526" s="21">
        <v>85</v>
      </c>
      <c r="F1526" s="57">
        <f t="shared" si="68"/>
        <v>0</v>
      </c>
    </row>
    <row r="1527" spans="1:6" x14ac:dyDescent="0.25">
      <c r="A1527" s="5" t="s">
        <v>24</v>
      </c>
      <c r="B1527" s="19">
        <v>43956</v>
      </c>
      <c r="C1527" s="4">
        <v>0</v>
      </c>
      <c r="D1527" s="21">
        <v>25</v>
      </c>
      <c r="F1527" s="57">
        <f t="shared" si="68"/>
        <v>0</v>
      </c>
    </row>
    <row r="1528" spans="1:6" x14ac:dyDescent="0.25">
      <c r="A1528" s="5" t="s">
        <v>20</v>
      </c>
      <c r="B1528" s="19">
        <v>43956</v>
      </c>
      <c r="C1528" s="4">
        <v>0</v>
      </c>
      <c r="D1528" s="21">
        <v>110</v>
      </c>
      <c r="F1528" s="57">
        <f t="shared" si="68"/>
        <v>0</v>
      </c>
    </row>
    <row r="1529" spans="1:6" x14ac:dyDescent="0.25">
      <c r="A1529" s="5" t="s">
        <v>19</v>
      </c>
      <c r="B1529" s="19">
        <v>43956</v>
      </c>
      <c r="C1529" s="4">
        <v>4</v>
      </c>
      <c r="D1529" s="21">
        <v>259</v>
      </c>
      <c r="F1529" s="57">
        <f t="shared" si="68"/>
        <v>0</v>
      </c>
    </row>
    <row r="1530" spans="1:6" x14ac:dyDescent="0.25">
      <c r="A1530" s="5" t="s">
        <v>35</v>
      </c>
      <c r="B1530" s="19">
        <v>43956</v>
      </c>
      <c r="C1530" s="4">
        <v>0</v>
      </c>
      <c r="D1530" s="21">
        <v>4</v>
      </c>
      <c r="F1530" s="57">
        <f t="shared" si="68"/>
        <v>0</v>
      </c>
    </row>
    <row r="1531" spans="1:6" x14ac:dyDescent="0.25">
      <c r="A1531" s="5" t="s">
        <v>36</v>
      </c>
      <c r="B1531" s="19">
        <v>43956</v>
      </c>
      <c r="C1531" s="4">
        <v>0</v>
      </c>
      <c r="D1531" s="21">
        <v>2</v>
      </c>
      <c r="F1531" s="57">
        <f>E1531+F1507</f>
        <v>0</v>
      </c>
    </row>
    <row r="1532" spans="1:6" x14ac:dyDescent="0.25">
      <c r="A1532" s="5" t="s">
        <v>37</v>
      </c>
      <c r="B1532" s="19">
        <v>43956</v>
      </c>
      <c r="C1532" s="4">
        <v>0</v>
      </c>
      <c r="D1532" s="21">
        <v>11</v>
      </c>
      <c r="F1532" s="57">
        <f t="shared" si="68"/>
        <v>0</v>
      </c>
    </row>
    <row r="1533" spans="1:6" x14ac:dyDescent="0.25">
      <c r="A1533" s="5" t="s">
        <v>38</v>
      </c>
      <c r="B1533" s="19">
        <v>43956</v>
      </c>
      <c r="C1533" s="4">
        <v>0</v>
      </c>
      <c r="D1533" s="21">
        <v>49</v>
      </c>
      <c r="F1533" s="57">
        <f t="shared" si="68"/>
        <v>0</v>
      </c>
    </row>
    <row r="1534" spans="1:6" x14ac:dyDescent="0.25">
      <c r="A1534" s="5" t="s">
        <v>23</v>
      </c>
      <c r="B1534" s="19">
        <v>43956</v>
      </c>
      <c r="C1534" s="4">
        <v>1</v>
      </c>
      <c r="D1534" s="21">
        <v>244</v>
      </c>
      <c r="F1534" s="57">
        <f>E1534+F1510</f>
        <v>2</v>
      </c>
    </row>
    <row r="1535" spans="1:6" x14ac:dyDescent="0.25">
      <c r="A1535" s="5" t="s">
        <v>39</v>
      </c>
      <c r="B1535" s="19">
        <v>43956</v>
      </c>
      <c r="C1535" s="4">
        <v>0</v>
      </c>
      <c r="D1535" s="21">
        <v>15</v>
      </c>
      <c r="F1535" s="57">
        <f>E1535+F1511</f>
        <v>0</v>
      </c>
    </row>
    <row r="1536" spans="1:6" x14ac:dyDescent="0.25">
      <c r="A1536" s="5" t="s">
        <v>40</v>
      </c>
      <c r="B1536" s="19">
        <v>43956</v>
      </c>
      <c r="C1536" s="4">
        <v>0</v>
      </c>
      <c r="D1536" s="21">
        <v>145</v>
      </c>
      <c r="F1536" s="57">
        <f t="shared" si="68"/>
        <v>0</v>
      </c>
    </row>
    <row r="1537" spans="1:6" x14ac:dyDescent="0.25">
      <c r="A1537" s="5" t="s">
        <v>41</v>
      </c>
      <c r="B1537" s="19">
        <v>43956</v>
      </c>
      <c r="C1537" s="4">
        <v>0</v>
      </c>
      <c r="D1537" s="21">
        <v>41</v>
      </c>
      <c r="F1537" s="57">
        <f>E1537+F1513</f>
        <v>2</v>
      </c>
    </row>
    <row r="1538" spans="1:6" x14ac:dyDescent="0.25">
      <c r="A1538" s="42" t="s">
        <v>17</v>
      </c>
      <c r="B1538" s="19">
        <v>43957</v>
      </c>
      <c r="C1538" s="4">
        <v>63</v>
      </c>
      <c r="D1538" s="21">
        <v>1874</v>
      </c>
      <c r="E1538" s="4">
        <v>5</v>
      </c>
      <c r="F1538" s="57">
        <f>E1538+F1514</f>
        <v>107</v>
      </c>
    </row>
    <row r="1539" spans="1:6" x14ac:dyDescent="0.25">
      <c r="A1539" s="5" t="s">
        <v>29</v>
      </c>
      <c r="B1539" s="19">
        <v>43957</v>
      </c>
      <c r="C1539" s="4">
        <v>0</v>
      </c>
      <c r="D1539" s="21">
        <v>0</v>
      </c>
      <c r="F1539" s="57">
        <f t="shared" ref="F1539:F1544" si="69">E1539+F1515</f>
        <v>0</v>
      </c>
    </row>
    <row r="1540" spans="1:6" x14ac:dyDescent="0.25">
      <c r="A1540" s="5" t="s">
        <v>16</v>
      </c>
      <c r="B1540" s="19">
        <v>43957</v>
      </c>
      <c r="C1540" s="4">
        <v>8</v>
      </c>
      <c r="D1540" s="21">
        <v>366</v>
      </c>
      <c r="F1540" s="57">
        <f t="shared" si="69"/>
        <v>19</v>
      </c>
    </row>
    <row r="1541" spans="1:6" x14ac:dyDescent="0.25">
      <c r="A1541" s="5" t="s">
        <v>30</v>
      </c>
      <c r="B1541" s="19">
        <v>43957</v>
      </c>
      <c r="C1541" s="4">
        <v>0</v>
      </c>
      <c r="D1541" s="21">
        <v>4</v>
      </c>
      <c r="F1541" s="57">
        <f t="shared" si="69"/>
        <v>1</v>
      </c>
    </row>
    <row r="1542" spans="1:6" x14ac:dyDescent="0.25">
      <c r="A1542" s="5" t="s">
        <v>44</v>
      </c>
      <c r="B1542" s="19">
        <v>43957</v>
      </c>
      <c r="C1542" s="4">
        <v>102</v>
      </c>
      <c r="D1542" s="21">
        <v>1506</v>
      </c>
      <c r="E1542" s="4">
        <v>2</v>
      </c>
      <c r="F1542" s="57">
        <f t="shared" si="69"/>
        <v>85</v>
      </c>
    </row>
    <row r="1543" spans="1:6" x14ac:dyDescent="0.25">
      <c r="A1543" s="5" t="s">
        <v>21</v>
      </c>
      <c r="B1543" s="19">
        <v>43957</v>
      </c>
      <c r="C1543" s="4">
        <v>5</v>
      </c>
      <c r="D1543" s="21">
        <v>316</v>
      </c>
      <c r="F1543" s="57">
        <f t="shared" si="69"/>
        <v>19</v>
      </c>
    </row>
    <row r="1544" spans="1:6" x14ac:dyDescent="0.25">
      <c r="A1544" s="5" t="s">
        <v>31</v>
      </c>
      <c r="B1544" s="19">
        <v>43957</v>
      </c>
      <c r="C1544" s="4">
        <v>3</v>
      </c>
      <c r="D1544" s="21">
        <v>51</v>
      </c>
      <c r="F1544" s="57">
        <f t="shared" si="69"/>
        <v>0</v>
      </c>
    </row>
    <row r="1545" spans="1:6" x14ac:dyDescent="0.25">
      <c r="A1545" s="5" t="s">
        <v>32</v>
      </c>
      <c r="B1545" s="19">
        <v>43957</v>
      </c>
      <c r="C1545" s="4">
        <v>0</v>
      </c>
      <c r="D1545" s="21">
        <v>28</v>
      </c>
      <c r="F1545" s="57">
        <f>E1545+F1521</f>
        <v>0</v>
      </c>
    </row>
    <row r="1546" spans="1:6" x14ac:dyDescent="0.25">
      <c r="A1546" s="5" t="s">
        <v>42</v>
      </c>
      <c r="B1546" s="19">
        <v>43957</v>
      </c>
      <c r="C1546" s="4">
        <v>0</v>
      </c>
      <c r="D1546" s="21">
        <v>0</v>
      </c>
      <c r="F1546" s="57">
        <f t="shared" ref="F1546:F1560" si="70">E1546+F1521</f>
        <v>0</v>
      </c>
    </row>
    <row r="1547" spans="1:6" x14ac:dyDescent="0.25">
      <c r="A1547" s="5" t="s">
        <v>33</v>
      </c>
      <c r="B1547" s="19">
        <v>43957</v>
      </c>
      <c r="C1547" s="4">
        <v>0</v>
      </c>
      <c r="D1547" s="21">
        <v>5</v>
      </c>
      <c r="F1547" s="57">
        <f t="shared" si="70"/>
        <v>0</v>
      </c>
    </row>
    <row r="1548" spans="1:6" x14ac:dyDescent="0.25">
      <c r="A1548" s="5" t="s">
        <v>34</v>
      </c>
      <c r="B1548" s="19">
        <v>43957</v>
      </c>
      <c r="C1548" s="4">
        <v>0</v>
      </c>
      <c r="D1548" s="21">
        <v>5</v>
      </c>
      <c r="F1548" s="57">
        <f t="shared" si="70"/>
        <v>0</v>
      </c>
    </row>
    <row r="1549" spans="1:6" x14ac:dyDescent="0.25">
      <c r="A1549" s="5" t="s">
        <v>22</v>
      </c>
      <c r="B1549" s="19">
        <v>43957</v>
      </c>
      <c r="C1549" s="4">
        <v>1</v>
      </c>
      <c r="D1549" s="21">
        <v>57</v>
      </c>
      <c r="F1549" s="57">
        <f t="shared" si="70"/>
        <v>0</v>
      </c>
    </row>
    <row r="1550" spans="1:6" x14ac:dyDescent="0.25">
      <c r="A1550" s="5" t="s">
        <v>18</v>
      </c>
      <c r="B1550" s="19">
        <v>43957</v>
      </c>
      <c r="C1550" s="4">
        <v>0</v>
      </c>
      <c r="D1550" s="21">
        <v>85</v>
      </c>
      <c r="F1550" s="57">
        <f t="shared" si="70"/>
        <v>0</v>
      </c>
    </row>
    <row r="1551" spans="1:6" x14ac:dyDescent="0.25">
      <c r="A1551" s="5" t="s">
        <v>24</v>
      </c>
      <c r="B1551" s="19">
        <v>43957</v>
      </c>
      <c r="C1551" s="4">
        <v>0</v>
      </c>
      <c r="D1551" s="21">
        <v>25</v>
      </c>
      <c r="F1551" s="57">
        <f t="shared" si="70"/>
        <v>0</v>
      </c>
    </row>
    <row r="1552" spans="1:6" x14ac:dyDescent="0.25">
      <c r="A1552" s="5" t="s">
        <v>20</v>
      </c>
      <c r="B1552" s="19">
        <v>43957</v>
      </c>
      <c r="C1552" s="4">
        <v>0</v>
      </c>
      <c r="D1552" s="21">
        <v>110</v>
      </c>
      <c r="F1552" s="57">
        <f t="shared" si="70"/>
        <v>0</v>
      </c>
    </row>
    <row r="1553" spans="1:6" x14ac:dyDescent="0.25">
      <c r="A1553" s="5" t="s">
        <v>19</v>
      </c>
      <c r="B1553" s="19">
        <v>43957</v>
      </c>
      <c r="C1553" s="4">
        <v>6</v>
      </c>
      <c r="D1553" s="21">
        <v>265</v>
      </c>
      <c r="E1553" s="4">
        <v>1</v>
      </c>
      <c r="F1553" s="57">
        <f t="shared" si="70"/>
        <v>1</v>
      </c>
    </row>
    <row r="1554" spans="1:6" x14ac:dyDescent="0.25">
      <c r="A1554" s="5" t="s">
        <v>35</v>
      </c>
      <c r="B1554" s="19">
        <v>43957</v>
      </c>
      <c r="C1554" s="4">
        <v>0</v>
      </c>
      <c r="D1554" s="21">
        <v>4</v>
      </c>
      <c r="F1554" s="57">
        <f t="shared" si="70"/>
        <v>0</v>
      </c>
    </row>
    <row r="1555" spans="1:6" x14ac:dyDescent="0.25">
      <c r="A1555" s="5" t="s">
        <v>36</v>
      </c>
      <c r="B1555" s="19">
        <v>43957</v>
      </c>
      <c r="C1555" s="4">
        <v>0</v>
      </c>
      <c r="D1555" s="21">
        <v>2</v>
      </c>
      <c r="F1555" s="57">
        <f>E1555+F1531</f>
        <v>0</v>
      </c>
    </row>
    <row r="1556" spans="1:6" x14ac:dyDescent="0.25">
      <c r="A1556" s="5" t="s">
        <v>37</v>
      </c>
      <c r="B1556" s="19">
        <v>43957</v>
      </c>
      <c r="C1556" s="4">
        <v>0</v>
      </c>
      <c r="D1556" s="21">
        <v>11</v>
      </c>
      <c r="F1556" s="57">
        <f t="shared" si="70"/>
        <v>0</v>
      </c>
    </row>
    <row r="1557" spans="1:6" x14ac:dyDescent="0.25">
      <c r="A1557" s="5" t="s">
        <v>38</v>
      </c>
      <c r="B1557" s="19">
        <v>43957</v>
      </c>
      <c r="C1557" s="4">
        <v>0</v>
      </c>
      <c r="D1557" s="21">
        <v>49</v>
      </c>
      <c r="F1557" s="57">
        <f t="shared" si="70"/>
        <v>0</v>
      </c>
    </row>
    <row r="1558" spans="1:6" x14ac:dyDescent="0.25">
      <c r="A1558" s="5" t="s">
        <v>23</v>
      </c>
      <c r="B1558" s="19">
        <v>43957</v>
      </c>
      <c r="C1558" s="4">
        <v>0</v>
      </c>
      <c r="D1558" s="21">
        <v>244</v>
      </c>
      <c r="F1558" s="57">
        <f>E1558+F1534</f>
        <v>2</v>
      </c>
    </row>
    <row r="1559" spans="1:6" x14ac:dyDescent="0.25">
      <c r="A1559" s="5" t="s">
        <v>39</v>
      </c>
      <c r="B1559" s="19">
        <v>43957</v>
      </c>
      <c r="C1559" s="4">
        <v>0</v>
      </c>
      <c r="D1559" s="21">
        <v>15</v>
      </c>
      <c r="F1559" s="57">
        <f>E1559+F1535</f>
        <v>0</v>
      </c>
    </row>
    <row r="1560" spans="1:6" x14ac:dyDescent="0.25">
      <c r="A1560" s="5" t="s">
        <v>40</v>
      </c>
      <c r="B1560" s="19">
        <v>43957</v>
      </c>
      <c r="C1560" s="4">
        <v>0</v>
      </c>
      <c r="D1560" s="21">
        <v>145</v>
      </c>
      <c r="F1560" s="57">
        <f t="shared" si="70"/>
        <v>0</v>
      </c>
    </row>
    <row r="1561" spans="1:6" x14ac:dyDescent="0.25">
      <c r="A1561" s="5" t="s">
        <v>41</v>
      </c>
      <c r="B1561" s="19">
        <v>43957</v>
      </c>
      <c r="C1561" s="4">
        <v>0</v>
      </c>
      <c r="D1561" s="21">
        <v>41</v>
      </c>
      <c r="E1561" s="4">
        <v>1</v>
      </c>
      <c r="F1561" s="57">
        <f>E1561+F1537</f>
        <v>3</v>
      </c>
    </row>
    <row r="1562" spans="1:6" x14ac:dyDescent="0.25">
      <c r="A1562" s="42" t="s">
        <v>17</v>
      </c>
      <c r="B1562" s="19">
        <v>43958</v>
      </c>
      <c r="C1562" s="4">
        <v>50</v>
      </c>
      <c r="D1562" s="21">
        <v>1924</v>
      </c>
      <c r="E1562" s="4">
        <v>6</v>
      </c>
      <c r="F1562" s="57">
        <f>E1562+F1538</f>
        <v>113</v>
      </c>
    </row>
    <row r="1563" spans="1:6" x14ac:dyDescent="0.25">
      <c r="A1563" s="5" t="s">
        <v>29</v>
      </c>
      <c r="B1563" s="19">
        <v>43958</v>
      </c>
      <c r="C1563" s="4">
        <v>0</v>
      </c>
      <c r="D1563" s="21">
        <v>0</v>
      </c>
      <c r="F1563" s="57">
        <f t="shared" ref="F1563:F1569" si="71">E1563+F1539</f>
        <v>0</v>
      </c>
    </row>
    <row r="1564" spans="1:6" x14ac:dyDescent="0.25">
      <c r="A1564" s="5" t="s">
        <v>16</v>
      </c>
      <c r="B1564" s="19">
        <v>43958</v>
      </c>
      <c r="C1564" s="4">
        <v>26</v>
      </c>
      <c r="D1564" s="21">
        <v>392</v>
      </c>
      <c r="F1564" s="57">
        <f t="shared" si="71"/>
        <v>19</v>
      </c>
    </row>
    <row r="1565" spans="1:6" x14ac:dyDescent="0.25">
      <c r="A1565" s="5" t="s">
        <v>30</v>
      </c>
      <c r="B1565" s="19">
        <v>43958</v>
      </c>
      <c r="C1565" s="4">
        <v>0</v>
      </c>
      <c r="D1565" s="21">
        <v>4</v>
      </c>
      <c r="F1565" s="57">
        <f t="shared" si="71"/>
        <v>1</v>
      </c>
    </row>
    <row r="1566" spans="1:6" x14ac:dyDescent="0.25">
      <c r="A1566" s="5" t="s">
        <v>44</v>
      </c>
      <c r="B1566" s="19">
        <v>43958</v>
      </c>
      <c r="C1566" s="4">
        <v>77</v>
      </c>
      <c r="D1566" s="21">
        <v>1583</v>
      </c>
      <c r="E1566" s="4">
        <v>2</v>
      </c>
      <c r="F1566" s="57">
        <f t="shared" si="71"/>
        <v>87</v>
      </c>
    </row>
    <row r="1567" spans="1:6" x14ac:dyDescent="0.25">
      <c r="A1567" s="5" t="s">
        <v>21</v>
      </c>
      <c r="B1567" s="19">
        <v>43958</v>
      </c>
      <c r="C1567" s="4">
        <v>4</v>
      </c>
      <c r="D1567" s="21">
        <v>320</v>
      </c>
      <c r="F1567" s="57">
        <f t="shared" si="71"/>
        <v>19</v>
      </c>
    </row>
    <row r="1568" spans="1:6" x14ac:dyDescent="0.25">
      <c r="A1568" s="5" t="s">
        <v>31</v>
      </c>
      <c r="B1568" s="19">
        <v>43958</v>
      </c>
      <c r="C1568" s="4">
        <v>1</v>
      </c>
      <c r="D1568" s="21">
        <v>52</v>
      </c>
      <c r="F1568" s="57">
        <f t="shared" si="71"/>
        <v>0</v>
      </c>
    </row>
    <row r="1569" spans="1:6" x14ac:dyDescent="0.25">
      <c r="A1569" s="5" t="s">
        <v>32</v>
      </c>
      <c r="B1569" s="19">
        <v>43958</v>
      </c>
      <c r="C1569" s="4">
        <v>0</v>
      </c>
      <c r="D1569" s="21">
        <v>28</v>
      </c>
      <c r="F1569" s="57">
        <f t="shared" si="71"/>
        <v>0</v>
      </c>
    </row>
    <row r="1570" spans="1:6" x14ac:dyDescent="0.25">
      <c r="A1570" s="5" t="s">
        <v>42</v>
      </c>
      <c r="B1570" s="19">
        <v>43958</v>
      </c>
      <c r="C1570" s="4">
        <v>0</v>
      </c>
      <c r="D1570" s="21">
        <v>0</v>
      </c>
      <c r="F1570" s="57">
        <f t="shared" ref="F1570:F1584" si="72">E1570+F1545</f>
        <v>0</v>
      </c>
    </row>
    <row r="1571" spans="1:6" x14ac:dyDescent="0.25">
      <c r="A1571" s="5" t="s">
        <v>33</v>
      </c>
      <c r="B1571" s="19">
        <v>43958</v>
      </c>
      <c r="C1571" s="4">
        <v>0</v>
      </c>
      <c r="D1571" s="21">
        <v>5</v>
      </c>
      <c r="F1571" s="57">
        <f t="shared" si="72"/>
        <v>0</v>
      </c>
    </row>
    <row r="1572" spans="1:6" x14ac:dyDescent="0.25">
      <c r="A1572" s="5" t="s">
        <v>34</v>
      </c>
      <c r="B1572" s="19">
        <v>43958</v>
      </c>
      <c r="C1572" s="4">
        <v>0</v>
      </c>
      <c r="D1572" s="21">
        <v>5</v>
      </c>
      <c r="F1572" s="57">
        <f t="shared" si="72"/>
        <v>0</v>
      </c>
    </row>
    <row r="1573" spans="1:6" x14ac:dyDescent="0.25">
      <c r="A1573" s="5" t="s">
        <v>22</v>
      </c>
      <c r="B1573" s="19">
        <v>43958</v>
      </c>
      <c r="C1573" s="4">
        <v>1</v>
      </c>
      <c r="D1573" s="21">
        <v>58</v>
      </c>
      <c r="F1573" s="57">
        <f t="shared" si="72"/>
        <v>0</v>
      </c>
    </row>
    <row r="1574" spans="1:6" x14ac:dyDescent="0.25">
      <c r="A1574" s="5" t="s">
        <v>18</v>
      </c>
      <c r="B1574" s="19">
        <v>43958</v>
      </c>
      <c r="C1574" s="4">
        <v>0</v>
      </c>
      <c r="D1574" s="21">
        <v>85</v>
      </c>
      <c r="F1574" s="57">
        <f t="shared" si="72"/>
        <v>0</v>
      </c>
    </row>
    <row r="1575" spans="1:6" x14ac:dyDescent="0.25">
      <c r="A1575" s="5" t="s">
        <v>24</v>
      </c>
      <c r="B1575" s="19">
        <v>43958</v>
      </c>
      <c r="C1575" s="4">
        <v>0</v>
      </c>
      <c r="D1575" s="21">
        <v>25</v>
      </c>
      <c r="F1575" s="57">
        <f t="shared" si="72"/>
        <v>0</v>
      </c>
    </row>
    <row r="1576" spans="1:6" x14ac:dyDescent="0.25">
      <c r="A1576" s="5" t="s">
        <v>20</v>
      </c>
      <c r="B1576" s="19">
        <v>43958</v>
      </c>
      <c r="C1576" s="4">
        <v>0</v>
      </c>
      <c r="D1576" s="21">
        <v>110</v>
      </c>
      <c r="F1576" s="57">
        <f t="shared" si="72"/>
        <v>0</v>
      </c>
    </row>
    <row r="1577" spans="1:6" x14ac:dyDescent="0.25">
      <c r="A1577" s="5" t="s">
        <v>19</v>
      </c>
      <c r="B1577" s="19">
        <v>43958</v>
      </c>
      <c r="C1577" s="4">
        <v>3</v>
      </c>
      <c r="D1577" s="21">
        <v>268</v>
      </c>
      <c r="F1577" s="57">
        <f t="shared" si="72"/>
        <v>0</v>
      </c>
    </row>
    <row r="1578" spans="1:6" x14ac:dyDescent="0.25">
      <c r="A1578" s="5" t="s">
        <v>35</v>
      </c>
      <c r="B1578" s="19">
        <v>43958</v>
      </c>
      <c r="C1578" s="4">
        <v>0</v>
      </c>
      <c r="D1578" s="21">
        <v>4</v>
      </c>
      <c r="F1578" s="57">
        <f t="shared" si="72"/>
        <v>1</v>
      </c>
    </row>
    <row r="1579" spans="1:6" x14ac:dyDescent="0.25">
      <c r="A1579" s="5" t="s">
        <v>36</v>
      </c>
      <c r="B1579" s="19">
        <v>43958</v>
      </c>
      <c r="C1579" s="4">
        <v>1</v>
      </c>
      <c r="D1579" s="21">
        <v>3</v>
      </c>
      <c r="F1579" s="57">
        <f>E1579+F1555</f>
        <v>0</v>
      </c>
    </row>
    <row r="1580" spans="1:6" x14ac:dyDescent="0.25">
      <c r="A1580" s="5" t="s">
        <v>37</v>
      </c>
      <c r="B1580" s="19">
        <v>43958</v>
      </c>
      <c r="C1580" s="4">
        <v>0</v>
      </c>
      <c r="D1580" s="21">
        <v>11</v>
      </c>
      <c r="F1580" s="57">
        <f t="shared" si="72"/>
        <v>0</v>
      </c>
    </row>
    <row r="1581" spans="1:6" x14ac:dyDescent="0.25">
      <c r="A1581" s="5" t="s">
        <v>38</v>
      </c>
      <c r="B1581" s="19">
        <v>43958</v>
      </c>
      <c r="C1581" s="4">
        <v>0</v>
      </c>
      <c r="D1581" s="21">
        <v>49</v>
      </c>
      <c r="F1581" s="57">
        <f t="shared" si="72"/>
        <v>0</v>
      </c>
    </row>
    <row r="1582" spans="1:6" x14ac:dyDescent="0.25">
      <c r="A1582" s="5" t="s">
        <v>23</v>
      </c>
      <c r="B1582" s="19">
        <v>43958</v>
      </c>
      <c r="C1582" s="4">
        <v>0</v>
      </c>
      <c r="D1582" s="21">
        <v>244</v>
      </c>
      <c r="E1582" s="4">
        <v>1</v>
      </c>
      <c r="F1582" s="57">
        <f>E1582+F1558</f>
        <v>3</v>
      </c>
    </row>
    <row r="1583" spans="1:6" x14ac:dyDescent="0.25">
      <c r="A1583" s="5" t="s">
        <v>39</v>
      </c>
      <c r="B1583" s="19">
        <v>43958</v>
      </c>
      <c r="C1583" s="4">
        <v>0</v>
      </c>
      <c r="D1583" s="21">
        <v>15</v>
      </c>
      <c r="F1583" s="57">
        <f>E1583+F1559</f>
        <v>0</v>
      </c>
    </row>
    <row r="1584" spans="1:6" x14ac:dyDescent="0.25">
      <c r="A1584" s="5" t="s">
        <v>40</v>
      </c>
      <c r="B1584" s="19">
        <v>43958</v>
      </c>
      <c r="C1584" s="4">
        <v>0</v>
      </c>
      <c r="D1584" s="21">
        <v>145</v>
      </c>
      <c r="F1584" s="57">
        <f t="shared" si="72"/>
        <v>0</v>
      </c>
    </row>
    <row r="1585" spans="1:6" x14ac:dyDescent="0.25">
      <c r="A1585" s="5" t="s">
        <v>41</v>
      </c>
      <c r="B1585" s="19">
        <v>43958</v>
      </c>
      <c r="C1585" s="4">
        <v>0</v>
      </c>
      <c r="D1585" s="21">
        <v>41</v>
      </c>
      <c r="F1585" s="57">
        <f>E1585+F1561</f>
        <v>3</v>
      </c>
    </row>
    <row r="1586" spans="1:6" x14ac:dyDescent="0.25">
      <c r="A1586" s="42" t="s">
        <v>17</v>
      </c>
      <c r="B1586" s="19">
        <v>43959</v>
      </c>
      <c r="C1586" s="4">
        <v>77</v>
      </c>
      <c r="D1586" s="21">
        <v>2001</v>
      </c>
      <c r="E1586" s="4">
        <v>5</v>
      </c>
      <c r="F1586" s="57">
        <f>E1586+F1562</f>
        <v>118</v>
      </c>
    </row>
    <row r="1587" spans="1:6" x14ac:dyDescent="0.25">
      <c r="A1587" s="5" t="s">
        <v>29</v>
      </c>
      <c r="B1587" s="19">
        <v>43959</v>
      </c>
      <c r="C1587" s="4">
        <v>0</v>
      </c>
      <c r="D1587" s="21">
        <v>0</v>
      </c>
      <c r="F1587" s="57">
        <f t="shared" ref="F1587:F1593" si="73">E1587+F1563</f>
        <v>0</v>
      </c>
    </row>
    <row r="1588" spans="1:6" x14ac:dyDescent="0.25">
      <c r="A1588" s="5" t="s">
        <v>16</v>
      </c>
      <c r="B1588" s="19">
        <v>43959</v>
      </c>
      <c r="C1588" s="4">
        <v>26</v>
      </c>
      <c r="D1588" s="21">
        <v>418</v>
      </c>
      <c r="F1588" s="57">
        <f t="shared" si="73"/>
        <v>19</v>
      </c>
    </row>
    <row r="1589" spans="1:6" x14ac:dyDescent="0.25">
      <c r="A1589" s="5" t="s">
        <v>30</v>
      </c>
      <c r="B1589" s="19">
        <v>43959</v>
      </c>
      <c r="C1589" s="4">
        <v>0</v>
      </c>
      <c r="D1589" s="21">
        <v>4</v>
      </c>
      <c r="F1589" s="57">
        <f t="shared" si="73"/>
        <v>1</v>
      </c>
    </row>
    <row r="1590" spans="1:6" x14ac:dyDescent="0.25">
      <c r="A1590" s="5" t="s">
        <v>44</v>
      </c>
      <c r="B1590" s="19">
        <v>43959</v>
      </c>
      <c r="C1590" s="4">
        <v>130</v>
      </c>
      <c r="D1590" s="21">
        <v>1713</v>
      </c>
      <c r="E1590" s="4">
        <v>6</v>
      </c>
      <c r="F1590" s="57">
        <f t="shared" si="73"/>
        <v>93</v>
      </c>
    </row>
    <row r="1591" spans="1:6" x14ac:dyDescent="0.25">
      <c r="A1591" s="5" t="s">
        <v>21</v>
      </c>
      <c r="B1591" s="19">
        <v>43959</v>
      </c>
      <c r="C1591" s="4">
        <v>2</v>
      </c>
      <c r="D1591" s="21">
        <v>322</v>
      </c>
      <c r="F1591" s="57">
        <f t="shared" si="73"/>
        <v>19</v>
      </c>
    </row>
    <row r="1592" spans="1:6" x14ac:dyDescent="0.25">
      <c r="A1592" s="5" t="s">
        <v>31</v>
      </c>
      <c r="B1592" s="19">
        <v>43959</v>
      </c>
      <c r="C1592" s="4">
        <v>1</v>
      </c>
      <c r="D1592" s="21">
        <v>53</v>
      </c>
      <c r="F1592" s="57">
        <f t="shared" si="73"/>
        <v>0</v>
      </c>
    </row>
    <row r="1593" spans="1:6" x14ac:dyDescent="0.25">
      <c r="A1593" s="5" t="s">
        <v>32</v>
      </c>
      <c r="B1593" s="19">
        <v>43959</v>
      </c>
      <c r="C1593" s="4">
        <v>0</v>
      </c>
      <c r="D1593" s="21">
        <v>28</v>
      </c>
      <c r="F1593" s="57">
        <f t="shared" si="73"/>
        <v>0</v>
      </c>
    </row>
    <row r="1594" spans="1:6" x14ac:dyDescent="0.25">
      <c r="A1594" s="5" t="s">
        <v>42</v>
      </c>
      <c r="B1594" s="19">
        <v>43959</v>
      </c>
      <c r="C1594" s="4">
        <v>0</v>
      </c>
      <c r="D1594" s="21">
        <v>0</v>
      </c>
      <c r="F1594" s="57">
        <f t="shared" ref="F1594:F1608" si="74">E1594+F1569</f>
        <v>0</v>
      </c>
    </row>
    <row r="1595" spans="1:6" x14ac:dyDescent="0.25">
      <c r="A1595" s="5" t="s">
        <v>33</v>
      </c>
      <c r="B1595" s="19">
        <v>43959</v>
      </c>
      <c r="C1595" s="4">
        <v>0</v>
      </c>
      <c r="D1595" s="21">
        <v>5</v>
      </c>
      <c r="F1595" s="57">
        <f t="shared" si="74"/>
        <v>0</v>
      </c>
    </row>
    <row r="1596" spans="1:6" x14ac:dyDescent="0.25">
      <c r="A1596" s="5" t="s">
        <v>34</v>
      </c>
      <c r="B1596" s="19">
        <v>43959</v>
      </c>
      <c r="C1596" s="4">
        <v>0</v>
      </c>
      <c r="D1596" s="21">
        <v>5</v>
      </c>
      <c r="F1596" s="57">
        <f t="shared" si="74"/>
        <v>0</v>
      </c>
    </row>
    <row r="1597" spans="1:6" x14ac:dyDescent="0.25">
      <c r="A1597" s="5" t="s">
        <v>22</v>
      </c>
      <c r="B1597" s="19">
        <v>43959</v>
      </c>
      <c r="C1597" s="4">
        <v>1</v>
      </c>
      <c r="D1597" s="21">
        <v>59</v>
      </c>
      <c r="F1597" s="57">
        <f t="shared" si="74"/>
        <v>0</v>
      </c>
    </row>
    <row r="1598" spans="1:6" x14ac:dyDescent="0.25">
      <c r="A1598" s="5" t="s">
        <v>18</v>
      </c>
      <c r="B1598" s="19">
        <v>43959</v>
      </c>
      <c r="C1598" s="4">
        <v>1</v>
      </c>
      <c r="D1598" s="21">
        <v>86</v>
      </c>
      <c r="F1598" s="57">
        <f t="shared" si="74"/>
        <v>0</v>
      </c>
    </row>
    <row r="1599" spans="1:6" x14ac:dyDescent="0.25">
      <c r="A1599" s="5" t="s">
        <v>24</v>
      </c>
      <c r="B1599" s="19">
        <v>43959</v>
      </c>
      <c r="C1599" s="4">
        <v>0</v>
      </c>
      <c r="D1599" s="21">
        <v>25</v>
      </c>
      <c r="F1599" s="57">
        <f t="shared" si="74"/>
        <v>0</v>
      </c>
    </row>
    <row r="1600" spans="1:6" x14ac:dyDescent="0.25">
      <c r="A1600" s="5" t="s">
        <v>20</v>
      </c>
      <c r="B1600" s="19">
        <v>43959</v>
      </c>
      <c r="C1600" s="4">
        <v>0</v>
      </c>
      <c r="D1600" s="21">
        <v>110</v>
      </c>
      <c r="F1600" s="57">
        <f t="shared" si="74"/>
        <v>0</v>
      </c>
    </row>
    <row r="1601" spans="1:6" x14ac:dyDescent="0.25">
      <c r="A1601" s="5" t="s">
        <v>19</v>
      </c>
      <c r="B1601" s="19">
        <v>43959</v>
      </c>
      <c r="C1601" s="4">
        <v>2</v>
      </c>
      <c r="D1601" s="21">
        <v>270</v>
      </c>
      <c r="F1601" s="57">
        <f t="shared" si="74"/>
        <v>0</v>
      </c>
    </row>
    <row r="1602" spans="1:6" x14ac:dyDescent="0.25">
      <c r="A1602" s="5" t="s">
        <v>35</v>
      </c>
      <c r="B1602" s="19">
        <v>43959</v>
      </c>
      <c r="C1602" s="4">
        <v>0</v>
      </c>
      <c r="D1602" s="21">
        <v>4</v>
      </c>
      <c r="F1602" s="57">
        <f t="shared" si="74"/>
        <v>0</v>
      </c>
    </row>
    <row r="1603" spans="1:6" x14ac:dyDescent="0.25">
      <c r="A1603" s="5" t="s">
        <v>36</v>
      </c>
      <c r="B1603" s="19">
        <v>43959</v>
      </c>
      <c r="C1603" s="4">
        <v>0</v>
      </c>
      <c r="D1603" s="21">
        <v>3</v>
      </c>
      <c r="F1603" s="57">
        <f>E1603+F1579</f>
        <v>0</v>
      </c>
    </row>
    <row r="1604" spans="1:6" x14ac:dyDescent="0.25">
      <c r="A1604" s="5" t="s">
        <v>37</v>
      </c>
      <c r="B1604" s="19">
        <v>43959</v>
      </c>
      <c r="C1604" s="4">
        <v>0</v>
      </c>
      <c r="D1604" s="21">
        <v>11</v>
      </c>
      <c r="F1604" s="57">
        <f t="shared" si="74"/>
        <v>0</v>
      </c>
    </row>
    <row r="1605" spans="1:6" x14ac:dyDescent="0.25">
      <c r="A1605" s="5" t="s">
        <v>38</v>
      </c>
      <c r="B1605" s="19">
        <v>43959</v>
      </c>
      <c r="C1605" s="4">
        <v>0</v>
      </c>
      <c r="D1605" s="21">
        <v>49</v>
      </c>
      <c r="F1605" s="57">
        <f t="shared" si="74"/>
        <v>0</v>
      </c>
    </row>
    <row r="1606" spans="1:6" x14ac:dyDescent="0.25">
      <c r="A1606" s="5" t="s">
        <v>23</v>
      </c>
      <c r="B1606" s="19">
        <v>43959</v>
      </c>
      <c r="C1606" s="4">
        <v>0</v>
      </c>
      <c r="D1606" s="21">
        <v>244</v>
      </c>
      <c r="F1606" s="57">
        <f>E1606+F1582</f>
        <v>3</v>
      </c>
    </row>
    <row r="1607" spans="1:6" x14ac:dyDescent="0.25">
      <c r="A1607" s="5" t="s">
        <v>39</v>
      </c>
      <c r="B1607" s="19">
        <v>43959</v>
      </c>
      <c r="C1607" s="4">
        <v>0</v>
      </c>
      <c r="D1607" s="21">
        <v>15</v>
      </c>
      <c r="F1607" s="57">
        <f>E1607+F1583</f>
        <v>0</v>
      </c>
    </row>
    <row r="1608" spans="1:6" x14ac:dyDescent="0.25">
      <c r="A1608" s="5" t="s">
        <v>40</v>
      </c>
      <c r="B1608" s="19">
        <v>43959</v>
      </c>
      <c r="C1608" s="4">
        <v>0</v>
      </c>
      <c r="D1608" s="21">
        <v>145</v>
      </c>
      <c r="F1608" s="57">
        <f t="shared" si="74"/>
        <v>0</v>
      </c>
    </row>
    <row r="1609" spans="1:6" x14ac:dyDescent="0.25">
      <c r="A1609" s="5" t="s">
        <v>41</v>
      </c>
      <c r="B1609" s="19">
        <v>43959</v>
      </c>
      <c r="C1609" s="4">
        <v>0</v>
      </c>
      <c r="D1609" s="21">
        <v>41</v>
      </c>
      <c r="F1609" s="57">
        <f>E1609+F1585</f>
        <v>3</v>
      </c>
    </row>
    <row r="1610" spans="1:6" x14ac:dyDescent="0.25">
      <c r="A1610" s="42" t="s">
        <v>17</v>
      </c>
      <c r="B1610" s="19">
        <v>43960</v>
      </c>
      <c r="C1610" s="4">
        <v>60</v>
      </c>
      <c r="D1610" s="21">
        <v>2061</v>
      </c>
      <c r="E1610" s="4">
        <v>4</v>
      </c>
      <c r="F1610" s="57">
        <f>E1610+F1586</f>
        <v>122</v>
      </c>
    </row>
    <row r="1611" spans="1:6" x14ac:dyDescent="0.25">
      <c r="A1611" s="5" t="s">
        <v>29</v>
      </c>
      <c r="B1611" s="19">
        <v>43960</v>
      </c>
      <c r="C1611" s="4">
        <v>0</v>
      </c>
      <c r="D1611" s="21">
        <v>0</v>
      </c>
      <c r="F1611" s="57">
        <f t="shared" ref="F1611:F1617" si="75">E1611+F1587</f>
        <v>0</v>
      </c>
    </row>
    <row r="1612" spans="1:6" x14ac:dyDescent="0.25">
      <c r="A1612" s="5" t="s">
        <v>16</v>
      </c>
      <c r="B1612" s="19">
        <v>43960</v>
      </c>
      <c r="C1612" s="4">
        <v>9</v>
      </c>
      <c r="D1612" s="21">
        <v>427</v>
      </c>
      <c r="F1612" s="57">
        <f t="shared" si="75"/>
        <v>19</v>
      </c>
    </row>
    <row r="1613" spans="1:6" x14ac:dyDescent="0.25">
      <c r="A1613" s="5" t="s">
        <v>30</v>
      </c>
      <c r="B1613" s="19">
        <v>43960</v>
      </c>
      <c r="C1613" s="4">
        <v>0</v>
      </c>
      <c r="D1613" s="21">
        <v>4</v>
      </c>
      <c r="F1613" s="57">
        <f t="shared" si="75"/>
        <v>1</v>
      </c>
    </row>
    <row r="1614" spans="1:6" x14ac:dyDescent="0.25">
      <c r="A1614" s="5" t="s">
        <v>44</v>
      </c>
      <c r="B1614" s="19">
        <v>43960</v>
      </c>
      <c r="C1614" s="4">
        <v>83</v>
      </c>
      <c r="D1614" s="21">
        <v>1796</v>
      </c>
      <c r="E1614" s="4">
        <v>2</v>
      </c>
      <c r="F1614" s="57">
        <f t="shared" si="75"/>
        <v>95</v>
      </c>
    </row>
    <row r="1615" spans="1:6" x14ac:dyDescent="0.25">
      <c r="A1615" s="5" t="s">
        <v>21</v>
      </c>
      <c r="B1615" s="19">
        <v>43960</v>
      </c>
      <c r="C1615" s="4">
        <v>6</v>
      </c>
      <c r="D1615" s="21">
        <v>328</v>
      </c>
      <c r="F1615" s="57">
        <f t="shared" si="75"/>
        <v>19</v>
      </c>
    </row>
    <row r="1616" spans="1:6" x14ac:dyDescent="0.25">
      <c r="A1616" s="5" t="s">
        <v>31</v>
      </c>
      <c r="B1616" s="19">
        <v>43960</v>
      </c>
      <c r="C1616" s="4">
        <v>1</v>
      </c>
      <c r="D1616" s="21">
        <v>54</v>
      </c>
      <c r="F1616" s="57">
        <f t="shared" si="75"/>
        <v>0</v>
      </c>
    </row>
    <row r="1617" spans="1:6" x14ac:dyDescent="0.25">
      <c r="A1617" s="5" t="s">
        <v>32</v>
      </c>
      <c r="B1617" s="19">
        <v>43960</v>
      </c>
      <c r="C1617" s="4">
        <v>0</v>
      </c>
      <c r="D1617" s="21">
        <v>28</v>
      </c>
      <c r="F1617" s="57">
        <f t="shared" si="75"/>
        <v>0</v>
      </c>
    </row>
    <row r="1618" spans="1:6" x14ac:dyDescent="0.25">
      <c r="A1618" s="5" t="s">
        <v>42</v>
      </c>
      <c r="B1618" s="19">
        <v>43960</v>
      </c>
      <c r="C1618" s="4">
        <v>0</v>
      </c>
      <c r="D1618" s="21">
        <v>0</v>
      </c>
      <c r="F1618" s="57">
        <f t="shared" ref="F1618:F1632" si="76">E1618+F1593</f>
        <v>0</v>
      </c>
    </row>
    <row r="1619" spans="1:6" x14ac:dyDescent="0.25">
      <c r="A1619" s="5" t="s">
        <v>33</v>
      </c>
      <c r="B1619" s="19">
        <v>43960</v>
      </c>
      <c r="C1619" s="4">
        <v>0</v>
      </c>
      <c r="D1619" s="21">
        <v>5</v>
      </c>
      <c r="F1619" s="57">
        <f t="shared" si="76"/>
        <v>0</v>
      </c>
    </row>
    <row r="1620" spans="1:6" x14ac:dyDescent="0.25">
      <c r="A1620" s="5" t="s">
        <v>34</v>
      </c>
      <c r="B1620" s="19">
        <v>43960</v>
      </c>
      <c r="C1620" s="4">
        <v>0</v>
      </c>
      <c r="D1620" s="21">
        <v>5</v>
      </c>
      <c r="F1620" s="57">
        <f t="shared" si="76"/>
        <v>0</v>
      </c>
    </row>
    <row r="1621" spans="1:6" x14ac:dyDescent="0.25">
      <c r="A1621" s="5" t="s">
        <v>22</v>
      </c>
      <c r="B1621" s="19">
        <v>43960</v>
      </c>
      <c r="C1621" s="4">
        <v>0</v>
      </c>
      <c r="D1621" s="21">
        <v>59</v>
      </c>
      <c r="E1621" s="4">
        <v>1</v>
      </c>
      <c r="F1621" s="57">
        <f t="shared" si="76"/>
        <v>1</v>
      </c>
    </row>
    <row r="1622" spans="1:6" x14ac:dyDescent="0.25">
      <c r="A1622" s="5" t="s">
        <v>18</v>
      </c>
      <c r="B1622" s="19">
        <v>43960</v>
      </c>
      <c r="C1622" s="4">
        <v>0</v>
      </c>
      <c r="D1622" s="21">
        <v>86</v>
      </c>
      <c r="F1622" s="57">
        <f t="shared" si="76"/>
        <v>0</v>
      </c>
    </row>
    <row r="1623" spans="1:6" x14ac:dyDescent="0.25">
      <c r="A1623" s="5" t="s">
        <v>24</v>
      </c>
      <c r="B1623" s="19">
        <v>43960</v>
      </c>
      <c r="C1623" s="4">
        <v>0</v>
      </c>
      <c r="D1623" s="21">
        <v>25</v>
      </c>
      <c r="F1623" s="57">
        <f t="shared" si="76"/>
        <v>0</v>
      </c>
    </row>
    <row r="1624" spans="1:6" x14ac:dyDescent="0.25">
      <c r="A1624" s="5" t="s">
        <v>20</v>
      </c>
      <c r="B1624" s="19">
        <v>43960</v>
      </c>
      <c r="C1624" s="4">
        <v>1</v>
      </c>
      <c r="D1624" s="21">
        <v>111</v>
      </c>
      <c r="F1624" s="57">
        <f t="shared" si="76"/>
        <v>0</v>
      </c>
    </row>
    <row r="1625" spans="1:6" x14ac:dyDescent="0.25">
      <c r="A1625" s="5" t="s">
        <v>19</v>
      </c>
      <c r="B1625" s="19">
        <v>43960</v>
      </c>
      <c r="C1625" s="4">
        <v>4</v>
      </c>
      <c r="D1625" s="21">
        <v>274</v>
      </c>
      <c r="F1625" s="57">
        <f t="shared" si="76"/>
        <v>0</v>
      </c>
    </row>
    <row r="1626" spans="1:6" x14ac:dyDescent="0.25">
      <c r="A1626" s="5" t="s">
        <v>35</v>
      </c>
      <c r="B1626" s="19">
        <v>43960</v>
      </c>
      <c r="C1626" s="4">
        <v>0</v>
      </c>
      <c r="D1626" s="21">
        <v>4</v>
      </c>
      <c r="F1626" s="57">
        <f t="shared" si="76"/>
        <v>0</v>
      </c>
    </row>
    <row r="1627" spans="1:6" x14ac:dyDescent="0.25">
      <c r="A1627" s="5" t="s">
        <v>36</v>
      </c>
      <c r="B1627" s="19">
        <v>43960</v>
      </c>
      <c r="C1627" s="4">
        <v>0</v>
      </c>
      <c r="D1627" s="21">
        <v>3</v>
      </c>
      <c r="F1627" s="57">
        <f>E1627+F1603</f>
        <v>0</v>
      </c>
    </row>
    <row r="1628" spans="1:6" x14ac:dyDescent="0.25">
      <c r="A1628" s="5" t="s">
        <v>37</v>
      </c>
      <c r="B1628" s="19">
        <v>43960</v>
      </c>
      <c r="C1628" s="4">
        <v>0</v>
      </c>
      <c r="D1628" s="21">
        <v>11</v>
      </c>
      <c r="F1628" s="57">
        <f t="shared" si="76"/>
        <v>0</v>
      </c>
    </row>
    <row r="1629" spans="1:6" x14ac:dyDescent="0.25">
      <c r="A1629" s="5" t="s">
        <v>38</v>
      </c>
      <c r="B1629" s="19">
        <v>43960</v>
      </c>
      <c r="C1629" s="4">
        <v>0</v>
      </c>
      <c r="D1629" s="21">
        <v>49</v>
      </c>
      <c r="F1629" s="57">
        <f t="shared" si="76"/>
        <v>0</v>
      </c>
    </row>
    <row r="1630" spans="1:6" x14ac:dyDescent="0.25">
      <c r="A1630" s="5" t="s">
        <v>23</v>
      </c>
      <c r="B1630" s="19">
        <v>43960</v>
      </c>
      <c r="C1630" s="4">
        <v>0</v>
      </c>
      <c r="D1630" s="21">
        <v>244</v>
      </c>
      <c r="F1630" s="57">
        <f>E1630+F1606</f>
        <v>3</v>
      </c>
    </row>
    <row r="1631" spans="1:6" x14ac:dyDescent="0.25">
      <c r="A1631" s="5" t="s">
        <v>39</v>
      </c>
      <c r="B1631" s="19">
        <v>43960</v>
      </c>
      <c r="C1631" s="4">
        <v>0</v>
      </c>
      <c r="D1631" s="21">
        <v>15</v>
      </c>
      <c r="F1631" s="57">
        <f>E1631+F1607</f>
        <v>0</v>
      </c>
    </row>
    <row r="1632" spans="1:6" x14ac:dyDescent="0.25">
      <c r="A1632" s="5" t="s">
        <v>40</v>
      </c>
      <c r="B1632" s="19">
        <v>43960</v>
      </c>
      <c r="C1632" s="4">
        <v>1</v>
      </c>
      <c r="D1632" s="21">
        <v>146</v>
      </c>
      <c r="F1632" s="57">
        <f t="shared" si="76"/>
        <v>0</v>
      </c>
    </row>
    <row r="1633" spans="1:6" x14ac:dyDescent="0.25">
      <c r="A1633" s="5" t="s">
        <v>41</v>
      </c>
      <c r="B1633" s="19">
        <v>43960</v>
      </c>
      <c r="C1633" s="4">
        <v>0</v>
      </c>
      <c r="D1633" s="21">
        <v>41</v>
      </c>
      <c r="F1633" s="57">
        <f>E1633+F1609</f>
        <v>3</v>
      </c>
    </row>
    <row r="1634" spans="1:6" x14ac:dyDescent="0.25">
      <c r="A1634" s="42" t="s">
        <v>17</v>
      </c>
      <c r="B1634" s="19">
        <v>43961</v>
      </c>
      <c r="C1634" s="4">
        <v>51</v>
      </c>
      <c r="D1634" s="21">
        <v>2112</v>
      </c>
      <c r="E1634" s="4">
        <v>3</v>
      </c>
      <c r="F1634" s="57">
        <f>E1634+F1610</f>
        <v>125</v>
      </c>
    </row>
    <row r="1635" spans="1:6" x14ac:dyDescent="0.25">
      <c r="A1635" s="5" t="s">
        <v>29</v>
      </c>
      <c r="B1635" s="19">
        <v>43961</v>
      </c>
      <c r="C1635" s="4">
        <v>0</v>
      </c>
      <c r="D1635" s="21">
        <v>0</v>
      </c>
      <c r="F1635" s="57">
        <f t="shared" ref="F1635:F1641" si="77">E1635+F1611</f>
        <v>0</v>
      </c>
    </row>
    <row r="1636" spans="1:6" x14ac:dyDescent="0.25">
      <c r="A1636" s="5" t="s">
        <v>16</v>
      </c>
      <c r="B1636" s="19">
        <v>43961</v>
      </c>
      <c r="C1636" s="4">
        <v>32</v>
      </c>
      <c r="D1636" s="21">
        <v>459</v>
      </c>
      <c r="F1636" s="57">
        <f t="shared" si="77"/>
        <v>19</v>
      </c>
    </row>
    <row r="1637" spans="1:6" x14ac:dyDescent="0.25">
      <c r="A1637" s="5" t="s">
        <v>30</v>
      </c>
      <c r="B1637" s="19">
        <v>43961</v>
      </c>
      <c r="C1637" s="4">
        <v>0</v>
      </c>
      <c r="D1637" s="21">
        <v>4</v>
      </c>
      <c r="F1637" s="57">
        <f t="shared" si="77"/>
        <v>1</v>
      </c>
    </row>
    <row r="1638" spans="1:6" x14ac:dyDescent="0.25">
      <c r="A1638" s="5" t="s">
        <v>44</v>
      </c>
      <c r="B1638" s="19">
        <v>43961</v>
      </c>
      <c r="C1638" s="4">
        <v>165</v>
      </c>
      <c r="D1638" s="21">
        <v>1961</v>
      </c>
      <c r="E1638" s="4">
        <v>2</v>
      </c>
      <c r="F1638" s="57">
        <f t="shared" si="77"/>
        <v>97</v>
      </c>
    </row>
    <row r="1639" spans="1:6" x14ac:dyDescent="0.25">
      <c r="A1639" s="5" t="s">
        <v>21</v>
      </c>
      <c r="B1639" s="19">
        <v>43961</v>
      </c>
      <c r="C1639" s="4">
        <v>5</v>
      </c>
      <c r="D1639" s="21">
        <v>333</v>
      </c>
      <c r="F1639" s="57">
        <f t="shared" si="77"/>
        <v>19</v>
      </c>
    </row>
    <row r="1640" spans="1:6" x14ac:dyDescent="0.25">
      <c r="A1640" s="5" t="s">
        <v>31</v>
      </c>
      <c r="B1640" s="19">
        <v>43961</v>
      </c>
      <c r="C1640" s="4">
        <v>0</v>
      </c>
      <c r="D1640" s="21">
        <v>54</v>
      </c>
      <c r="F1640" s="57">
        <f t="shared" si="77"/>
        <v>0</v>
      </c>
    </row>
    <row r="1641" spans="1:6" x14ac:dyDescent="0.25">
      <c r="A1641" s="5" t="s">
        <v>32</v>
      </c>
      <c r="B1641" s="19">
        <v>43961</v>
      </c>
      <c r="C1641" s="4">
        <v>0</v>
      </c>
      <c r="D1641" s="21">
        <v>28</v>
      </c>
      <c r="F1641" s="57">
        <f t="shared" si="77"/>
        <v>0</v>
      </c>
    </row>
    <row r="1642" spans="1:6" x14ac:dyDescent="0.25">
      <c r="A1642" s="5" t="s">
        <v>42</v>
      </c>
      <c r="B1642" s="19">
        <v>43961</v>
      </c>
      <c r="C1642" s="4">
        <v>0</v>
      </c>
      <c r="D1642" s="21">
        <v>0</v>
      </c>
      <c r="F1642" s="57">
        <f t="shared" ref="F1642:F1656" si="78">E1642+F1617</f>
        <v>0</v>
      </c>
    </row>
    <row r="1643" spans="1:6" x14ac:dyDescent="0.25">
      <c r="A1643" s="5" t="s">
        <v>33</v>
      </c>
      <c r="B1643" s="19">
        <v>43961</v>
      </c>
      <c r="C1643" s="4">
        <v>0</v>
      </c>
      <c r="D1643" s="21">
        <v>5</v>
      </c>
      <c r="F1643" s="57">
        <f t="shared" si="78"/>
        <v>0</v>
      </c>
    </row>
    <row r="1644" spans="1:6" x14ac:dyDescent="0.25">
      <c r="A1644" s="5" t="s">
        <v>34</v>
      </c>
      <c r="B1644" s="19">
        <v>43961</v>
      </c>
      <c r="C1644" s="4">
        <v>0</v>
      </c>
      <c r="D1644" s="21">
        <v>5</v>
      </c>
      <c r="F1644" s="57">
        <f t="shared" si="78"/>
        <v>0</v>
      </c>
    </row>
    <row r="1645" spans="1:6" x14ac:dyDescent="0.25">
      <c r="A1645" s="5" t="s">
        <v>22</v>
      </c>
      <c r="B1645" s="19">
        <v>43961</v>
      </c>
      <c r="C1645" s="4">
        <v>0</v>
      </c>
      <c r="D1645" s="21">
        <v>59</v>
      </c>
      <c r="F1645" s="57">
        <f t="shared" si="78"/>
        <v>0</v>
      </c>
    </row>
    <row r="1646" spans="1:6" x14ac:dyDescent="0.25">
      <c r="A1646" s="5" t="s">
        <v>18</v>
      </c>
      <c r="B1646" s="19">
        <v>43961</v>
      </c>
      <c r="C1646" s="4">
        <v>0</v>
      </c>
      <c r="D1646" s="21">
        <v>86</v>
      </c>
      <c r="F1646" s="57">
        <f t="shared" si="78"/>
        <v>1</v>
      </c>
    </row>
    <row r="1647" spans="1:6" x14ac:dyDescent="0.25">
      <c r="A1647" s="5" t="s">
        <v>24</v>
      </c>
      <c r="B1647" s="19">
        <v>43961</v>
      </c>
      <c r="C1647" s="4">
        <v>0</v>
      </c>
      <c r="D1647" s="21">
        <v>25</v>
      </c>
      <c r="F1647" s="57">
        <f t="shared" si="78"/>
        <v>0</v>
      </c>
    </row>
    <row r="1648" spans="1:6" x14ac:dyDescent="0.25">
      <c r="A1648" s="5" t="s">
        <v>20</v>
      </c>
      <c r="B1648" s="19">
        <v>43961</v>
      </c>
      <c r="C1648" s="4">
        <v>0</v>
      </c>
      <c r="D1648" s="21">
        <v>111</v>
      </c>
      <c r="F1648" s="57">
        <f t="shared" si="78"/>
        <v>0</v>
      </c>
    </row>
    <row r="1649" spans="1:6" x14ac:dyDescent="0.25">
      <c r="A1649" s="5" t="s">
        <v>19</v>
      </c>
      <c r="B1649" s="19">
        <v>43961</v>
      </c>
      <c r="C1649" s="4">
        <v>2</v>
      </c>
      <c r="D1649" s="21">
        <v>276</v>
      </c>
      <c r="F1649" s="57">
        <f t="shared" si="78"/>
        <v>0</v>
      </c>
    </row>
    <row r="1650" spans="1:6" x14ac:dyDescent="0.25">
      <c r="A1650" s="5" t="s">
        <v>35</v>
      </c>
      <c r="B1650" s="19">
        <v>43961</v>
      </c>
      <c r="C1650" s="4">
        <v>0</v>
      </c>
      <c r="D1650" s="21">
        <v>4</v>
      </c>
      <c r="F1650" s="57">
        <f t="shared" si="78"/>
        <v>0</v>
      </c>
    </row>
    <row r="1651" spans="1:6" x14ac:dyDescent="0.25">
      <c r="A1651" s="5" t="s">
        <v>36</v>
      </c>
      <c r="B1651" s="19">
        <v>43961</v>
      </c>
      <c r="C1651" s="4">
        <v>0</v>
      </c>
      <c r="D1651" s="21">
        <v>3</v>
      </c>
      <c r="F1651" s="57">
        <f>E1651+F1627</f>
        <v>0</v>
      </c>
    </row>
    <row r="1652" spans="1:6" x14ac:dyDescent="0.25">
      <c r="A1652" s="5" t="s">
        <v>37</v>
      </c>
      <c r="B1652" s="19">
        <v>43961</v>
      </c>
      <c r="C1652" s="4">
        <v>0</v>
      </c>
      <c r="D1652" s="21">
        <v>11</v>
      </c>
      <c r="F1652" s="57">
        <f t="shared" si="78"/>
        <v>0</v>
      </c>
    </row>
    <row r="1653" spans="1:6" x14ac:dyDescent="0.25">
      <c r="A1653" s="5" t="s">
        <v>38</v>
      </c>
      <c r="B1653" s="19">
        <v>43961</v>
      </c>
      <c r="C1653" s="4">
        <v>0</v>
      </c>
      <c r="D1653" s="21">
        <v>49</v>
      </c>
      <c r="F1653" s="57">
        <f t="shared" si="78"/>
        <v>0</v>
      </c>
    </row>
    <row r="1654" spans="1:6" x14ac:dyDescent="0.25">
      <c r="A1654" s="5" t="s">
        <v>23</v>
      </c>
      <c r="B1654" s="19">
        <v>43961</v>
      </c>
      <c r="C1654" s="4">
        <v>0</v>
      </c>
      <c r="D1654" s="21">
        <v>244</v>
      </c>
      <c r="F1654" s="57">
        <f>E1654+F1630</f>
        <v>3</v>
      </c>
    </row>
    <row r="1655" spans="1:6" x14ac:dyDescent="0.25">
      <c r="A1655" s="5" t="s">
        <v>39</v>
      </c>
      <c r="B1655" s="19">
        <v>43961</v>
      </c>
      <c r="C1655" s="4">
        <v>1</v>
      </c>
      <c r="D1655" s="21">
        <v>16</v>
      </c>
      <c r="F1655" s="57">
        <f>E1655+F1631</f>
        <v>0</v>
      </c>
    </row>
    <row r="1656" spans="1:6" x14ac:dyDescent="0.25">
      <c r="A1656" s="5" t="s">
        <v>40</v>
      </c>
      <c r="B1656" s="19">
        <v>43961</v>
      </c>
      <c r="C1656" s="4">
        <v>2</v>
      </c>
      <c r="D1656" s="21">
        <v>148</v>
      </c>
      <c r="F1656" s="57">
        <f t="shared" si="78"/>
        <v>0</v>
      </c>
    </row>
    <row r="1657" spans="1:6" x14ac:dyDescent="0.25">
      <c r="A1657" s="5" t="s">
        <v>41</v>
      </c>
      <c r="B1657" s="19">
        <v>43961</v>
      </c>
      <c r="C1657" s="4">
        <v>0</v>
      </c>
      <c r="D1657" s="21">
        <v>41</v>
      </c>
      <c r="F1657" s="57">
        <f>E1657+F1633</f>
        <v>3</v>
      </c>
    </row>
    <row r="1658" spans="1:6" x14ac:dyDescent="0.25">
      <c r="A1658" s="42" t="s">
        <v>17</v>
      </c>
      <c r="B1658" s="19">
        <v>43962</v>
      </c>
      <c r="C1658" s="4">
        <v>44</v>
      </c>
      <c r="D1658" s="21">
        <v>2156</v>
      </c>
      <c r="E1658" s="4">
        <v>4</v>
      </c>
      <c r="F1658" s="57">
        <f>E1658+F1634</f>
        <v>129</v>
      </c>
    </row>
    <row r="1659" spans="1:6" x14ac:dyDescent="0.25">
      <c r="A1659" s="5" t="s">
        <v>29</v>
      </c>
      <c r="B1659" s="19">
        <v>43962</v>
      </c>
      <c r="C1659" s="4">
        <v>0</v>
      </c>
      <c r="D1659" s="21">
        <v>0</v>
      </c>
      <c r="F1659" s="57">
        <f t="shared" ref="F1659:F1665" si="79">E1659+F1635</f>
        <v>0</v>
      </c>
    </row>
    <row r="1660" spans="1:6" x14ac:dyDescent="0.25">
      <c r="A1660" s="5" t="s">
        <v>16</v>
      </c>
      <c r="B1660" s="19">
        <v>43962</v>
      </c>
      <c r="C1660" s="4">
        <v>17</v>
      </c>
      <c r="D1660" s="21">
        <v>476</v>
      </c>
      <c r="E1660" s="4">
        <v>1</v>
      </c>
      <c r="F1660" s="57">
        <f t="shared" si="79"/>
        <v>20</v>
      </c>
    </row>
    <row r="1661" spans="1:6" x14ac:dyDescent="0.25">
      <c r="A1661" s="5" t="s">
        <v>30</v>
      </c>
      <c r="B1661" s="19">
        <v>43962</v>
      </c>
      <c r="C1661" s="4">
        <v>0</v>
      </c>
      <c r="D1661" s="21">
        <v>4</v>
      </c>
      <c r="F1661" s="57">
        <f t="shared" si="79"/>
        <v>1</v>
      </c>
    </row>
    <row r="1662" spans="1:6" x14ac:dyDescent="0.25">
      <c r="A1662" s="5" t="s">
        <v>44</v>
      </c>
      <c r="B1662" s="19">
        <v>43962</v>
      </c>
      <c r="C1662" s="4">
        <v>137</v>
      </c>
      <c r="D1662" s="21">
        <v>2098</v>
      </c>
      <c r="E1662" s="4">
        <v>3</v>
      </c>
      <c r="F1662" s="57">
        <f t="shared" si="79"/>
        <v>100</v>
      </c>
    </row>
    <row r="1663" spans="1:6" x14ac:dyDescent="0.25">
      <c r="A1663" s="5" t="s">
        <v>21</v>
      </c>
      <c r="B1663" s="19">
        <v>43962</v>
      </c>
      <c r="C1663" s="4">
        <v>14</v>
      </c>
      <c r="D1663" s="21">
        <v>347</v>
      </c>
      <c r="F1663" s="57">
        <f t="shared" si="79"/>
        <v>19</v>
      </c>
    </row>
    <row r="1664" spans="1:6" x14ac:dyDescent="0.25">
      <c r="A1664" s="5" t="s">
        <v>31</v>
      </c>
      <c r="B1664" s="19">
        <v>43962</v>
      </c>
      <c r="C1664" s="4">
        <v>16</v>
      </c>
      <c r="D1664" s="21">
        <v>70</v>
      </c>
      <c r="F1664" s="57">
        <f t="shared" si="79"/>
        <v>0</v>
      </c>
    </row>
    <row r="1665" spans="1:6" x14ac:dyDescent="0.25">
      <c r="A1665" s="5" t="s">
        <v>32</v>
      </c>
      <c r="B1665" s="19">
        <v>43962</v>
      </c>
      <c r="C1665" s="4">
        <v>0</v>
      </c>
      <c r="D1665" s="21">
        <v>28</v>
      </c>
      <c r="F1665" s="57">
        <f t="shared" si="79"/>
        <v>0</v>
      </c>
    </row>
    <row r="1666" spans="1:6" x14ac:dyDescent="0.25">
      <c r="A1666" s="5" t="s">
        <v>42</v>
      </c>
      <c r="B1666" s="19">
        <v>43962</v>
      </c>
      <c r="C1666" s="4">
        <v>0</v>
      </c>
      <c r="D1666" s="21">
        <v>0</v>
      </c>
      <c r="F1666" s="57">
        <f t="shared" ref="F1666:F1680" si="80">E1666+F1641</f>
        <v>0</v>
      </c>
    </row>
    <row r="1667" spans="1:6" x14ac:dyDescent="0.25">
      <c r="A1667" s="5" t="s">
        <v>33</v>
      </c>
      <c r="B1667" s="19">
        <v>43962</v>
      </c>
      <c r="C1667" s="4">
        <v>0</v>
      </c>
      <c r="D1667" s="21">
        <v>5</v>
      </c>
      <c r="F1667" s="57">
        <f t="shared" si="80"/>
        <v>0</v>
      </c>
    </row>
    <row r="1668" spans="1:6" x14ac:dyDescent="0.25">
      <c r="A1668" s="5" t="s">
        <v>34</v>
      </c>
      <c r="B1668" s="19">
        <v>43962</v>
      </c>
      <c r="C1668" s="4">
        <v>0</v>
      </c>
      <c r="D1668" s="21">
        <v>5</v>
      </c>
      <c r="F1668" s="57">
        <f t="shared" si="80"/>
        <v>0</v>
      </c>
    </row>
    <row r="1669" spans="1:6" x14ac:dyDescent="0.25">
      <c r="A1669" s="5" t="s">
        <v>22</v>
      </c>
      <c r="B1669" s="19">
        <v>43962</v>
      </c>
      <c r="C1669" s="4">
        <v>1</v>
      </c>
      <c r="D1669" s="21">
        <v>60</v>
      </c>
      <c r="F1669" s="57">
        <f t="shared" si="80"/>
        <v>0</v>
      </c>
    </row>
    <row r="1670" spans="1:6" x14ac:dyDescent="0.25">
      <c r="A1670" s="5" t="s">
        <v>18</v>
      </c>
      <c r="B1670" s="19">
        <v>43962</v>
      </c>
      <c r="C1670" s="4">
        <v>0</v>
      </c>
      <c r="D1670" s="21">
        <v>86</v>
      </c>
      <c r="F1670" s="57">
        <f t="shared" si="80"/>
        <v>0</v>
      </c>
    </row>
    <row r="1671" spans="1:6" x14ac:dyDescent="0.25">
      <c r="A1671" s="5" t="s">
        <v>24</v>
      </c>
      <c r="B1671" s="19">
        <v>43962</v>
      </c>
      <c r="C1671" s="4">
        <v>1</v>
      </c>
      <c r="D1671" s="21">
        <v>26</v>
      </c>
      <c r="F1671" s="57">
        <f t="shared" si="80"/>
        <v>1</v>
      </c>
    </row>
    <row r="1672" spans="1:6" x14ac:dyDescent="0.25">
      <c r="A1672" s="5" t="s">
        <v>20</v>
      </c>
      <c r="B1672" s="19">
        <v>43962</v>
      </c>
      <c r="C1672" s="4">
        <v>0</v>
      </c>
      <c r="D1672" s="21">
        <v>111</v>
      </c>
      <c r="F1672" s="57">
        <f t="shared" si="80"/>
        <v>0</v>
      </c>
    </row>
    <row r="1673" spans="1:6" x14ac:dyDescent="0.25">
      <c r="A1673" s="5" t="s">
        <v>19</v>
      </c>
      <c r="B1673" s="19">
        <v>43962</v>
      </c>
      <c r="C1673" s="4">
        <v>13</v>
      </c>
      <c r="D1673" s="21">
        <v>289</v>
      </c>
      <c r="E1673" s="4">
        <v>1</v>
      </c>
      <c r="F1673" s="57">
        <f t="shared" si="80"/>
        <v>1</v>
      </c>
    </row>
    <row r="1674" spans="1:6" x14ac:dyDescent="0.25">
      <c r="A1674" s="5" t="s">
        <v>35</v>
      </c>
      <c r="B1674" s="19">
        <v>43962</v>
      </c>
      <c r="C1674" s="4">
        <v>0</v>
      </c>
      <c r="D1674" s="21">
        <v>4</v>
      </c>
      <c r="F1674" s="57">
        <f t="shared" si="80"/>
        <v>0</v>
      </c>
    </row>
    <row r="1675" spans="1:6" x14ac:dyDescent="0.25">
      <c r="A1675" s="5" t="s">
        <v>36</v>
      </c>
      <c r="B1675" s="19">
        <v>43962</v>
      </c>
      <c r="C1675" s="4">
        <v>0</v>
      </c>
      <c r="D1675" s="21">
        <v>3</v>
      </c>
      <c r="F1675" s="57">
        <f>E1675+F1651</f>
        <v>0</v>
      </c>
    </row>
    <row r="1676" spans="1:6" x14ac:dyDescent="0.25">
      <c r="A1676" s="5" t="s">
        <v>37</v>
      </c>
      <c r="B1676" s="19">
        <v>43962</v>
      </c>
      <c r="C1676" s="4">
        <v>0</v>
      </c>
      <c r="D1676" s="21">
        <v>11</v>
      </c>
      <c r="F1676" s="57">
        <f t="shared" si="80"/>
        <v>0</v>
      </c>
    </row>
    <row r="1677" spans="1:6" x14ac:dyDescent="0.25">
      <c r="A1677" s="5" t="s">
        <v>38</v>
      </c>
      <c r="B1677" s="19">
        <v>43962</v>
      </c>
      <c r="C1677" s="4">
        <v>0</v>
      </c>
      <c r="D1677" s="21">
        <v>49</v>
      </c>
      <c r="F1677" s="57">
        <f t="shared" si="80"/>
        <v>0</v>
      </c>
    </row>
    <row r="1678" spans="1:6" x14ac:dyDescent="0.25">
      <c r="A1678" s="5" t="s">
        <v>23</v>
      </c>
      <c r="B1678" s="19">
        <v>43962</v>
      </c>
      <c r="C1678" s="4">
        <v>0</v>
      </c>
      <c r="D1678" s="21">
        <v>244</v>
      </c>
      <c r="F1678" s="57">
        <f>E1678+F1654</f>
        <v>3</v>
      </c>
    </row>
    <row r="1679" spans="1:6" x14ac:dyDescent="0.25">
      <c r="A1679" s="5" t="s">
        <v>39</v>
      </c>
      <c r="B1679" s="19">
        <v>43962</v>
      </c>
      <c r="C1679" s="4">
        <v>0</v>
      </c>
      <c r="D1679" s="21">
        <v>16</v>
      </c>
      <c r="F1679" s="57">
        <f>E1679+F1655</f>
        <v>0</v>
      </c>
    </row>
    <row r="1680" spans="1:6" x14ac:dyDescent="0.25">
      <c r="A1680" s="5" t="s">
        <v>40</v>
      </c>
      <c r="B1680" s="19">
        <v>43962</v>
      </c>
      <c r="C1680" s="4">
        <v>0</v>
      </c>
      <c r="D1680" s="21">
        <v>148</v>
      </c>
      <c r="F1680" s="57">
        <f t="shared" si="80"/>
        <v>0</v>
      </c>
    </row>
    <row r="1681" spans="1:6" x14ac:dyDescent="0.25">
      <c r="A1681" s="5" t="s">
        <v>41</v>
      </c>
      <c r="B1681" s="19">
        <v>43962</v>
      </c>
      <c r="C1681" s="4">
        <v>1</v>
      </c>
      <c r="D1681" s="21">
        <v>42</v>
      </c>
      <c r="F1681" s="57">
        <f>E1681+F1657</f>
        <v>3</v>
      </c>
    </row>
    <row r="1682" spans="1:6" x14ac:dyDescent="0.25">
      <c r="A1682" s="42" t="s">
        <v>17</v>
      </c>
      <c r="B1682" s="19">
        <v>43963</v>
      </c>
      <c r="C1682" s="4">
        <v>80</v>
      </c>
      <c r="D1682" s="21">
        <v>2236</v>
      </c>
      <c r="E1682" s="4">
        <v>2</v>
      </c>
      <c r="F1682" s="57">
        <f>E1682+F1658</f>
        <v>131</v>
      </c>
    </row>
    <row r="1683" spans="1:6" x14ac:dyDescent="0.25">
      <c r="A1683" s="5" t="s">
        <v>29</v>
      </c>
      <c r="B1683" s="19">
        <v>43963</v>
      </c>
      <c r="C1683" s="4">
        <v>0</v>
      </c>
      <c r="D1683" s="21">
        <v>0</v>
      </c>
      <c r="F1683" s="57">
        <f t="shared" ref="F1683:F1689" si="81">E1683+F1659</f>
        <v>0</v>
      </c>
    </row>
    <row r="1684" spans="1:6" x14ac:dyDescent="0.25">
      <c r="A1684" s="5" t="s">
        <v>16</v>
      </c>
      <c r="B1684" s="19">
        <v>43963</v>
      </c>
      <c r="C1684" s="4">
        <v>10</v>
      </c>
      <c r="D1684" s="21">
        <v>486</v>
      </c>
      <c r="E1684" s="4">
        <v>1</v>
      </c>
      <c r="F1684" s="57">
        <f t="shared" si="81"/>
        <v>21</v>
      </c>
    </row>
    <row r="1685" spans="1:6" x14ac:dyDescent="0.25">
      <c r="A1685" s="5" t="s">
        <v>30</v>
      </c>
      <c r="B1685" s="19">
        <v>43963</v>
      </c>
      <c r="C1685" s="4">
        <v>0</v>
      </c>
      <c r="D1685" s="21">
        <v>4</v>
      </c>
      <c r="F1685" s="57">
        <f t="shared" si="81"/>
        <v>1</v>
      </c>
    </row>
    <row r="1686" spans="1:6" x14ac:dyDescent="0.25">
      <c r="A1686" s="5" t="s">
        <v>44</v>
      </c>
      <c r="B1686" s="19">
        <v>43963</v>
      </c>
      <c r="C1686" s="4">
        <v>188</v>
      </c>
      <c r="D1686" s="21">
        <v>2286</v>
      </c>
      <c r="E1686" s="4">
        <v>1</v>
      </c>
      <c r="F1686" s="57">
        <f t="shared" si="81"/>
        <v>101</v>
      </c>
    </row>
    <row r="1687" spans="1:6" x14ac:dyDescent="0.25">
      <c r="A1687" s="5" t="s">
        <v>21</v>
      </c>
      <c r="B1687" s="19">
        <v>43963</v>
      </c>
      <c r="C1687" s="4">
        <v>3</v>
      </c>
      <c r="D1687" s="21">
        <v>350</v>
      </c>
      <c r="E1687" s="4">
        <v>1</v>
      </c>
      <c r="F1687" s="57">
        <f t="shared" si="81"/>
        <v>20</v>
      </c>
    </row>
    <row r="1688" spans="1:6" x14ac:dyDescent="0.25">
      <c r="A1688" s="5" t="s">
        <v>31</v>
      </c>
      <c r="B1688" s="19">
        <v>43963</v>
      </c>
      <c r="C1688" s="4">
        <v>1</v>
      </c>
      <c r="D1688" s="21">
        <v>71</v>
      </c>
      <c r="F1688" s="57">
        <f t="shared" si="81"/>
        <v>0</v>
      </c>
    </row>
    <row r="1689" spans="1:6" x14ac:dyDescent="0.25">
      <c r="A1689" s="5" t="s">
        <v>32</v>
      </c>
      <c r="B1689" s="19">
        <v>43963</v>
      </c>
      <c r="C1689" s="4">
        <v>0</v>
      </c>
      <c r="D1689" s="21">
        <v>28</v>
      </c>
      <c r="F1689" s="57">
        <f t="shared" si="81"/>
        <v>0</v>
      </c>
    </row>
    <row r="1690" spans="1:6" x14ac:dyDescent="0.25">
      <c r="A1690" s="5" t="s">
        <v>42</v>
      </c>
      <c r="B1690" s="19">
        <v>43963</v>
      </c>
      <c r="C1690" s="4">
        <v>0</v>
      </c>
      <c r="D1690" s="21">
        <v>0</v>
      </c>
      <c r="F1690" s="57">
        <f t="shared" ref="F1690:F1704" si="82">E1690+F1665</f>
        <v>0</v>
      </c>
    </row>
    <row r="1691" spans="1:6" x14ac:dyDescent="0.25">
      <c r="A1691" s="5" t="s">
        <v>33</v>
      </c>
      <c r="B1691" s="19">
        <v>43963</v>
      </c>
      <c r="C1691" s="4">
        <v>0</v>
      </c>
      <c r="D1691" s="21">
        <v>5</v>
      </c>
      <c r="F1691" s="57">
        <f t="shared" si="82"/>
        <v>0</v>
      </c>
    </row>
    <row r="1692" spans="1:6" x14ac:dyDescent="0.25">
      <c r="A1692" s="5" t="s">
        <v>34</v>
      </c>
      <c r="B1692" s="19">
        <v>43963</v>
      </c>
      <c r="C1692" s="4">
        <v>0</v>
      </c>
      <c r="D1692" s="21">
        <v>5</v>
      </c>
      <c r="F1692" s="57">
        <f t="shared" si="82"/>
        <v>0</v>
      </c>
    </row>
    <row r="1693" spans="1:6" x14ac:dyDescent="0.25">
      <c r="A1693" s="5" t="s">
        <v>22</v>
      </c>
      <c r="B1693" s="19">
        <v>43963</v>
      </c>
      <c r="C1693" s="4">
        <v>0</v>
      </c>
      <c r="D1693" s="21">
        <v>60</v>
      </c>
      <c r="F1693" s="57">
        <f t="shared" si="82"/>
        <v>0</v>
      </c>
    </row>
    <row r="1694" spans="1:6" x14ac:dyDescent="0.25">
      <c r="A1694" s="5" t="s">
        <v>18</v>
      </c>
      <c r="B1694" s="19">
        <v>43963</v>
      </c>
      <c r="C1694" s="4">
        <v>1</v>
      </c>
      <c r="D1694" s="21">
        <v>87</v>
      </c>
      <c r="F1694" s="57">
        <f t="shared" si="82"/>
        <v>0</v>
      </c>
    </row>
    <row r="1695" spans="1:6" x14ac:dyDescent="0.25">
      <c r="A1695" s="5" t="s">
        <v>24</v>
      </c>
      <c r="B1695" s="19">
        <v>43963</v>
      </c>
      <c r="C1695" s="4">
        <v>0</v>
      </c>
      <c r="D1695" s="21">
        <v>26</v>
      </c>
      <c r="F1695" s="57">
        <f t="shared" si="82"/>
        <v>0</v>
      </c>
    </row>
    <row r="1696" spans="1:6" x14ac:dyDescent="0.25">
      <c r="A1696" s="5" t="s">
        <v>20</v>
      </c>
      <c r="B1696" s="19">
        <v>43963</v>
      </c>
      <c r="C1696" s="4">
        <v>0</v>
      </c>
      <c r="D1696" s="21">
        <v>111</v>
      </c>
      <c r="F1696" s="57">
        <f t="shared" si="82"/>
        <v>1</v>
      </c>
    </row>
    <row r="1697" spans="1:6" x14ac:dyDescent="0.25">
      <c r="A1697" s="5" t="s">
        <v>19</v>
      </c>
      <c r="B1697" s="19">
        <v>43963</v>
      </c>
      <c r="C1697" s="4">
        <v>1</v>
      </c>
      <c r="D1697" s="21">
        <v>290</v>
      </c>
      <c r="F1697" s="57">
        <f t="shared" si="82"/>
        <v>0</v>
      </c>
    </row>
    <row r="1698" spans="1:6" x14ac:dyDescent="0.25">
      <c r="A1698" s="5" t="s">
        <v>35</v>
      </c>
      <c r="B1698" s="19">
        <v>43963</v>
      </c>
      <c r="C1698" s="4">
        <v>1</v>
      </c>
      <c r="D1698" s="21">
        <v>5</v>
      </c>
      <c r="F1698" s="57">
        <f t="shared" si="82"/>
        <v>1</v>
      </c>
    </row>
    <row r="1699" spans="1:6" x14ac:dyDescent="0.25">
      <c r="A1699" s="5" t="s">
        <v>36</v>
      </c>
      <c r="B1699" s="19">
        <v>43963</v>
      </c>
      <c r="C1699" s="4">
        <v>0</v>
      </c>
      <c r="D1699" s="21">
        <v>3</v>
      </c>
      <c r="F1699" s="57">
        <f>E1699+F1675</f>
        <v>0</v>
      </c>
    </row>
    <row r="1700" spans="1:6" x14ac:dyDescent="0.25">
      <c r="A1700" s="5" t="s">
        <v>37</v>
      </c>
      <c r="B1700" s="19">
        <v>43963</v>
      </c>
      <c r="C1700" s="4">
        <v>0</v>
      </c>
      <c r="D1700" s="21">
        <v>11</v>
      </c>
      <c r="F1700" s="57">
        <f t="shared" si="82"/>
        <v>0</v>
      </c>
    </row>
    <row r="1701" spans="1:6" x14ac:dyDescent="0.25">
      <c r="A1701" s="5" t="s">
        <v>38</v>
      </c>
      <c r="B1701" s="19">
        <v>43963</v>
      </c>
      <c r="C1701" s="4">
        <v>0</v>
      </c>
      <c r="D1701" s="21">
        <v>49</v>
      </c>
      <c r="F1701" s="57">
        <f t="shared" si="82"/>
        <v>0</v>
      </c>
    </row>
    <row r="1702" spans="1:6" x14ac:dyDescent="0.25">
      <c r="A1702" s="5" t="s">
        <v>23</v>
      </c>
      <c r="B1702" s="19">
        <v>43963</v>
      </c>
      <c r="C1702" s="4">
        <v>0</v>
      </c>
      <c r="D1702" s="21">
        <v>244</v>
      </c>
      <c r="F1702" s="57">
        <f>E1702+F1678</f>
        <v>3</v>
      </c>
    </row>
    <row r="1703" spans="1:6" x14ac:dyDescent="0.25">
      <c r="A1703" s="5" t="s">
        <v>39</v>
      </c>
      <c r="B1703" s="19">
        <v>43963</v>
      </c>
      <c r="C1703" s="4">
        <v>0</v>
      </c>
      <c r="D1703" s="21">
        <v>16</v>
      </c>
      <c r="F1703" s="57">
        <f>E1703+F1679</f>
        <v>0</v>
      </c>
    </row>
    <row r="1704" spans="1:6" x14ac:dyDescent="0.25">
      <c r="A1704" s="5" t="s">
        <v>40</v>
      </c>
      <c r="B1704" s="19">
        <v>43963</v>
      </c>
      <c r="C1704" s="4">
        <v>0</v>
      </c>
      <c r="D1704" s="21">
        <v>148</v>
      </c>
      <c r="F1704" s="57">
        <f t="shared" si="82"/>
        <v>0</v>
      </c>
    </row>
    <row r="1705" spans="1:6" x14ac:dyDescent="0.25">
      <c r="A1705" s="5" t="s">
        <v>41</v>
      </c>
      <c r="B1705" s="19">
        <v>43963</v>
      </c>
      <c r="C1705" s="4">
        <v>0</v>
      </c>
      <c r="D1705" s="21">
        <v>42</v>
      </c>
      <c r="F1705" s="57">
        <f>E1705+F1681</f>
        <v>3</v>
      </c>
    </row>
    <row r="1706" spans="1:6" x14ac:dyDescent="0.25">
      <c r="A1706" s="42" t="s">
        <v>17</v>
      </c>
      <c r="B1706" s="19">
        <v>43964</v>
      </c>
      <c r="C1706" s="4">
        <v>96</v>
      </c>
      <c r="D1706" s="21">
        <v>2332</v>
      </c>
      <c r="E1706" s="4">
        <v>4</v>
      </c>
      <c r="F1706" s="57">
        <f>E1706+F1682</f>
        <v>135</v>
      </c>
    </row>
    <row r="1707" spans="1:6" x14ac:dyDescent="0.25">
      <c r="A1707" s="5" t="s">
        <v>29</v>
      </c>
      <c r="B1707" s="19">
        <v>43964</v>
      </c>
      <c r="C1707" s="4">
        <v>0</v>
      </c>
      <c r="D1707" s="21">
        <v>0</v>
      </c>
      <c r="F1707" s="57">
        <f t="shared" ref="F1707:F1713" si="83">E1707+F1683</f>
        <v>0</v>
      </c>
    </row>
    <row r="1708" spans="1:6" x14ac:dyDescent="0.25">
      <c r="A1708" s="5" t="s">
        <v>16</v>
      </c>
      <c r="B1708" s="19">
        <v>43964</v>
      </c>
      <c r="C1708" s="4">
        <v>18</v>
      </c>
      <c r="D1708" s="21">
        <v>504</v>
      </c>
      <c r="E1708" s="4">
        <v>1</v>
      </c>
      <c r="F1708" s="57">
        <f t="shared" si="83"/>
        <v>22</v>
      </c>
    </row>
    <row r="1709" spans="1:6" x14ac:dyDescent="0.25">
      <c r="A1709" s="5" t="s">
        <v>30</v>
      </c>
      <c r="B1709" s="19">
        <v>43964</v>
      </c>
      <c r="C1709" s="4">
        <v>0</v>
      </c>
      <c r="D1709" s="21">
        <v>4</v>
      </c>
      <c r="F1709" s="57">
        <f t="shared" si="83"/>
        <v>1</v>
      </c>
    </row>
    <row r="1710" spans="1:6" x14ac:dyDescent="0.25">
      <c r="A1710" s="5" t="s">
        <v>44</v>
      </c>
      <c r="B1710" s="19">
        <v>43964</v>
      </c>
      <c r="C1710" s="4">
        <v>179</v>
      </c>
      <c r="D1710" s="21">
        <v>2465</v>
      </c>
      <c r="E1710" s="4">
        <v>5</v>
      </c>
      <c r="F1710" s="57">
        <f t="shared" si="83"/>
        <v>106</v>
      </c>
    </row>
    <row r="1711" spans="1:6" x14ac:dyDescent="0.25">
      <c r="A1711" s="5" t="s">
        <v>21</v>
      </c>
      <c r="B1711" s="19">
        <v>43964</v>
      </c>
      <c r="C1711" s="4">
        <v>11</v>
      </c>
      <c r="D1711" s="21">
        <v>361</v>
      </c>
      <c r="F1711" s="57">
        <f t="shared" si="83"/>
        <v>20</v>
      </c>
    </row>
    <row r="1712" spans="1:6" x14ac:dyDescent="0.25">
      <c r="A1712" s="5" t="s">
        <v>31</v>
      </c>
      <c r="B1712" s="19">
        <v>43964</v>
      </c>
      <c r="C1712" s="4">
        <v>5</v>
      </c>
      <c r="D1712" s="21">
        <v>76</v>
      </c>
      <c r="F1712" s="57">
        <f t="shared" si="83"/>
        <v>0</v>
      </c>
    </row>
    <row r="1713" spans="1:6" x14ac:dyDescent="0.25">
      <c r="A1713" s="5" t="s">
        <v>32</v>
      </c>
      <c r="B1713" s="19">
        <v>43964</v>
      </c>
      <c r="C1713" s="4">
        <v>1</v>
      </c>
      <c r="D1713" s="21">
        <v>29</v>
      </c>
      <c r="F1713" s="57">
        <f t="shared" si="83"/>
        <v>0</v>
      </c>
    </row>
    <row r="1714" spans="1:6" x14ac:dyDescent="0.25">
      <c r="A1714" s="5" t="s">
        <v>42</v>
      </c>
      <c r="B1714" s="19">
        <v>43964</v>
      </c>
      <c r="C1714" s="4">
        <v>0</v>
      </c>
      <c r="D1714" s="21">
        <v>0</v>
      </c>
      <c r="F1714" s="57">
        <f t="shared" ref="F1714:F1728" si="84">E1714+F1689</f>
        <v>0</v>
      </c>
    </row>
    <row r="1715" spans="1:6" x14ac:dyDescent="0.25">
      <c r="A1715" s="5" t="s">
        <v>33</v>
      </c>
      <c r="B1715" s="19">
        <v>43964</v>
      </c>
      <c r="C1715" s="4">
        <v>0</v>
      </c>
      <c r="D1715" s="21">
        <v>5</v>
      </c>
      <c r="F1715" s="57">
        <f t="shared" si="84"/>
        <v>0</v>
      </c>
    </row>
    <row r="1716" spans="1:6" x14ac:dyDescent="0.25">
      <c r="A1716" s="5" t="s">
        <v>34</v>
      </c>
      <c r="B1716" s="19">
        <v>43964</v>
      </c>
      <c r="C1716" s="4">
        <v>0</v>
      </c>
      <c r="D1716" s="21">
        <v>5</v>
      </c>
      <c r="F1716" s="57">
        <f t="shared" si="84"/>
        <v>0</v>
      </c>
    </row>
    <row r="1717" spans="1:6" x14ac:dyDescent="0.25">
      <c r="A1717" s="5" t="s">
        <v>22</v>
      </c>
      <c r="B1717" s="19">
        <v>43964</v>
      </c>
      <c r="C1717" s="4">
        <v>0</v>
      </c>
      <c r="D1717" s="21">
        <v>60</v>
      </c>
      <c r="F1717" s="57">
        <f t="shared" si="84"/>
        <v>0</v>
      </c>
    </row>
    <row r="1718" spans="1:6" x14ac:dyDescent="0.25">
      <c r="A1718" s="5" t="s">
        <v>18</v>
      </c>
      <c r="B1718" s="19">
        <v>43964</v>
      </c>
      <c r="C1718" s="4">
        <v>1</v>
      </c>
      <c r="D1718" s="21">
        <v>88</v>
      </c>
      <c r="F1718" s="57">
        <f t="shared" si="84"/>
        <v>0</v>
      </c>
    </row>
    <row r="1719" spans="1:6" x14ac:dyDescent="0.25">
      <c r="A1719" s="5" t="s">
        <v>24</v>
      </c>
      <c r="B1719" s="19">
        <v>43964</v>
      </c>
      <c r="C1719" s="4">
        <v>-1</v>
      </c>
      <c r="D1719" s="21">
        <v>25</v>
      </c>
      <c r="F1719" s="57">
        <f t="shared" si="84"/>
        <v>0</v>
      </c>
    </row>
    <row r="1720" spans="1:6" x14ac:dyDescent="0.25">
      <c r="A1720" s="5" t="s">
        <v>20</v>
      </c>
      <c r="B1720" s="19">
        <v>43964</v>
      </c>
      <c r="C1720" s="4">
        <v>2</v>
      </c>
      <c r="D1720" s="21">
        <v>113</v>
      </c>
      <c r="F1720" s="57">
        <f t="shared" si="84"/>
        <v>0</v>
      </c>
    </row>
    <row r="1721" spans="1:6" x14ac:dyDescent="0.25">
      <c r="A1721" s="5" t="s">
        <v>19</v>
      </c>
      <c r="B1721" s="19">
        <v>43964</v>
      </c>
      <c r="C1721" s="4">
        <v>4</v>
      </c>
      <c r="D1721" s="21">
        <v>294</v>
      </c>
      <c r="F1721" s="57">
        <f t="shared" si="84"/>
        <v>1</v>
      </c>
    </row>
    <row r="1722" spans="1:6" x14ac:dyDescent="0.25">
      <c r="A1722" s="5" t="s">
        <v>35</v>
      </c>
      <c r="B1722" s="19">
        <v>43964</v>
      </c>
      <c r="C1722" s="4">
        <v>0</v>
      </c>
      <c r="D1722" s="21">
        <v>5</v>
      </c>
      <c r="F1722" s="57">
        <f t="shared" si="84"/>
        <v>0</v>
      </c>
    </row>
    <row r="1723" spans="1:6" x14ac:dyDescent="0.25">
      <c r="A1723" s="5" t="s">
        <v>36</v>
      </c>
      <c r="B1723" s="19">
        <v>43964</v>
      </c>
      <c r="C1723" s="4">
        <v>0</v>
      </c>
      <c r="D1723" s="21">
        <v>3</v>
      </c>
      <c r="F1723" s="57">
        <f>E1723+F1699</f>
        <v>0</v>
      </c>
    </row>
    <row r="1724" spans="1:6" x14ac:dyDescent="0.25">
      <c r="A1724" s="5" t="s">
        <v>37</v>
      </c>
      <c r="B1724" s="19">
        <v>43964</v>
      </c>
      <c r="C1724" s="4">
        <v>0</v>
      </c>
      <c r="D1724" s="21">
        <v>11</v>
      </c>
      <c r="F1724" s="57">
        <f t="shared" si="84"/>
        <v>0</v>
      </c>
    </row>
    <row r="1725" spans="1:6" x14ac:dyDescent="0.25">
      <c r="A1725" s="5" t="s">
        <v>38</v>
      </c>
      <c r="B1725" s="19">
        <v>43964</v>
      </c>
      <c r="C1725" s="4">
        <v>0</v>
      </c>
      <c r="D1725" s="21">
        <v>49</v>
      </c>
      <c r="F1725" s="57">
        <f t="shared" si="84"/>
        <v>0</v>
      </c>
    </row>
    <row r="1726" spans="1:6" x14ac:dyDescent="0.25">
      <c r="A1726" s="5" t="s">
        <v>23</v>
      </c>
      <c r="B1726" s="19">
        <v>43964</v>
      </c>
      <c r="C1726" s="4">
        <v>0</v>
      </c>
      <c r="D1726" s="21">
        <v>244</v>
      </c>
      <c r="F1726" s="57">
        <f>E1726+F1702</f>
        <v>3</v>
      </c>
    </row>
    <row r="1727" spans="1:6" x14ac:dyDescent="0.25">
      <c r="A1727" s="5" t="s">
        <v>39</v>
      </c>
      <c r="B1727" s="19">
        <v>43964</v>
      </c>
      <c r="C1727" s="4">
        <v>0</v>
      </c>
      <c r="D1727" s="21">
        <v>16</v>
      </c>
      <c r="F1727" s="57">
        <f>E1727+F1703</f>
        <v>0</v>
      </c>
    </row>
    <row r="1728" spans="1:6" x14ac:dyDescent="0.25">
      <c r="A1728" s="5" t="s">
        <v>40</v>
      </c>
      <c r="B1728" s="19">
        <v>43964</v>
      </c>
      <c r="C1728" s="4">
        <v>0</v>
      </c>
      <c r="D1728" s="21">
        <v>148</v>
      </c>
      <c r="F1728" s="57">
        <f t="shared" si="84"/>
        <v>0</v>
      </c>
    </row>
    <row r="1729" spans="1:6" x14ac:dyDescent="0.25">
      <c r="A1729" s="5" t="s">
        <v>41</v>
      </c>
      <c r="B1729" s="19">
        <v>43964</v>
      </c>
      <c r="C1729" s="4">
        <v>0</v>
      </c>
      <c r="D1729" s="21">
        <v>42</v>
      </c>
      <c r="F1729" s="57">
        <f>E1729+F1705</f>
        <v>3</v>
      </c>
    </row>
    <row r="1730" spans="1:6" x14ac:dyDescent="0.25">
      <c r="A1730" s="42" t="s">
        <v>17</v>
      </c>
      <c r="B1730" s="19">
        <v>43965</v>
      </c>
      <c r="C1730" s="4">
        <v>79</v>
      </c>
      <c r="D1730" s="21">
        <v>2411</v>
      </c>
      <c r="E1730" s="4">
        <v>11</v>
      </c>
      <c r="F1730" s="57">
        <f>E1730+F1706</f>
        <v>146</v>
      </c>
    </row>
    <row r="1731" spans="1:6" x14ac:dyDescent="0.25">
      <c r="A1731" s="5" t="s">
        <v>29</v>
      </c>
      <c r="B1731" s="19">
        <v>43965</v>
      </c>
      <c r="C1731" s="4">
        <v>0</v>
      </c>
      <c r="D1731" s="21">
        <v>0</v>
      </c>
      <c r="F1731" s="57">
        <f t="shared" ref="F1731:F1737" si="85">E1731+F1707</f>
        <v>0</v>
      </c>
    </row>
    <row r="1732" spans="1:6" x14ac:dyDescent="0.25">
      <c r="A1732" s="5" t="s">
        <v>16</v>
      </c>
      <c r="B1732" s="19">
        <v>43965</v>
      </c>
      <c r="C1732" s="4">
        <v>9</v>
      </c>
      <c r="D1732" s="21">
        <v>513</v>
      </c>
      <c r="E1732" s="4">
        <v>1</v>
      </c>
      <c r="F1732" s="57">
        <f t="shared" si="85"/>
        <v>23</v>
      </c>
    </row>
    <row r="1733" spans="1:6" x14ac:dyDescent="0.25">
      <c r="A1733" s="5" t="s">
        <v>30</v>
      </c>
      <c r="B1733" s="19">
        <v>43965</v>
      </c>
      <c r="C1733" s="4">
        <v>0</v>
      </c>
      <c r="D1733" s="21">
        <v>4</v>
      </c>
      <c r="F1733" s="57">
        <f t="shared" si="85"/>
        <v>1</v>
      </c>
    </row>
    <row r="1734" spans="1:6" x14ac:dyDescent="0.25">
      <c r="A1734" s="5" t="s">
        <v>44</v>
      </c>
      <c r="B1734" s="19">
        <v>43965</v>
      </c>
      <c r="C1734" s="4">
        <v>153</v>
      </c>
      <c r="D1734" s="21">
        <v>2618</v>
      </c>
      <c r="E1734" s="4">
        <v>10</v>
      </c>
      <c r="F1734" s="57">
        <f t="shared" si="85"/>
        <v>116</v>
      </c>
    </row>
    <row r="1735" spans="1:6" x14ac:dyDescent="0.25">
      <c r="A1735" s="5" t="s">
        <v>21</v>
      </c>
      <c r="B1735" s="19">
        <v>43965</v>
      </c>
      <c r="C1735" s="4">
        <v>5</v>
      </c>
      <c r="D1735" s="21">
        <v>366</v>
      </c>
      <c r="E1735" s="4">
        <v>1</v>
      </c>
      <c r="F1735" s="57">
        <f t="shared" si="85"/>
        <v>21</v>
      </c>
    </row>
    <row r="1736" spans="1:6" x14ac:dyDescent="0.25">
      <c r="A1736" s="5" t="s">
        <v>31</v>
      </c>
      <c r="B1736" s="19">
        <v>43965</v>
      </c>
      <c r="C1736" s="4">
        <v>3</v>
      </c>
      <c r="D1736" s="21">
        <v>79</v>
      </c>
      <c r="F1736" s="57">
        <f t="shared" si="85"/>
        <v>0</v>
      </c>
    </row>
    <row r="1737" spans="1:6" x14ac:dyDescent="0.25">
      <c r="A1737" s="5" t="s">
        <v>32</v>
      </c>
      <c r="B1737" s="19">
        <v>43965</v>
      </c>
      <c r="C1737" s="4">
        <v>0</v>
      </c>
      <c r="D1737" s="21">
        <v>29</v>
      </c>
      <c r="F1737" s="57">
        <f t="shared" si="85"/>
        <v>0</v>
      </c>
    </row>
    <row r="1738" spans="1:6" x14ac:dyDescent="0.25">
      <c r="A1738" s="5" t="s">
        <v>42</v>
      </c>
      <c r="B1738" s="19">
        <v>43965</v>
      </c>
      <c r="C1738" s="4">
        <v>0</v>
      </c>
      <c r="D1738" s="21">
        <v>0</v>
      </c>
      <c r="F1738" s="57">
        <f t="shared" ref="F1738:F1752" si="86">E1738+F1713</f>
        <v>0</v>
      </c>
    </row>
    <row r="1739" spans="1:6" x14ac:dyDescent="0.25">
      <c r="A1739" s="5" t="s">
        <v>33</v>
      </c>
      <c r="B1739" s="19">
        <v>43965</v>
      </c>
      <c r="C1739" s="4">
        <v>0</v>
      </c>
      <c r="D1739" s="21">
        <v>5</v>
      </c>
      <c r="F1739" s="57">
        <f t="shared" si="86"/>
        <v>0</v>
      </c>
    </row>
    <row r="1740" spans="1:6" x14ac:dyDescent="0.25">
      <c r="A1740" s="5" t="s">
        <v>34</v>
      </c>
      <c r="B1740" s="19">
        <v>43965</v>
      </c>
      <c r="C1740" s="4">
        <v>0</v>
      </c>
      <c r="D1740" s="21">
        <v>5</v>
      </c>
      <c r="F1740" s="57">
        <f t="shared" si="86"/>
        <v>0</v>
      </c>
    </row>
    <row r="1741" spans="1:6" x14ac:dyDescent="0.25">
      <c r="A1741" s="5" t="s">
        <v>22</v>
      </c>
      <c r="B1741" s="19">
        <v>43965</v>
      </c>
      <c r="C1741" s="4">
        <v>0</v>
      </c>
      <c r="D1741" s="21">
        <v>60</v>
      </c>
      <c r="F1741" s="57">
        <f t="shared" si="86"/>
        <v>0</v>
      </c>
    </row>
    <row r="1742" spans="1:6" x14ac:dyDescent="0.25">
      <c r="A1742" s="5" t="s">
        <v>18</v>
      </c>
      <c r="B1742" s="19">
        <v>43965</v>
      </c>
      <c r="C1742" s="4">
        <v>0</v>
      </c>
      <c r="D1742" s="21">
        <v>88</v>
      </c>
      <c r="F1742" s="57">
        <f t="shared" si="86"/>
        <v>0</v>
      </c>
    </row>
    <row r="1743" spans="1:6" x14ac:dyDescent="0.25">
      <c r="A1743" s="5" t="s">
        <v>24</v>
      </c>
      <c r="B1743" s="19">
        <v>43965</v>
      </c>
      <c r="C1743" s="4">
        <v>0</v>
      </c>
      <c r="D1743" s="21">
        <v>25</v>
      </c>
      <c r="F1743" s="57">
        <f t="shared" si="86"/>
        <v>0</v>
      </c>
    </row>
    <row r="1744" spans="1:6" x14ac:dyDescent="0.25">
      <c r="A1744" s="5" t="s">
        <v>20</v>
      </c>
      <c r="B1744" s="19">
        <v>43965</v>
      </c>
      <c r="C1744" s="4">
        <v>1</v>
      </c>
      <c r="D1744" s="21">
        <v>114</v>
      </c>
      <c r="F1744" s="57">
        <f t="shared" si="86"/>
        <v>0</v>
      </c>
    </row>
    <row r="1745" spans="1:6" x14ac:dyDescent="0.25">
      <c r="A1745" s="5" t="s">
        <v>19</v>
      </c>
      <c r="B1745" s="19">
        <v>43965</v>
      </c>
      <c r="C1745" s="4">
        <v>4</v>
      </c>
      <c r="D1745" s="21">
        <v>298</v>
      </c>
      <c r="E1745" s="4">
        <v>1</v>
      </c>
      <c r="F1745" s="57">
        <f t="shared" si="86"/>
        <v>1</v>
      </c>
    </row>
    <row r="1746" spans="1:6" x14ac:dyDescent="0.25">
      <c r="A1746" s="5" t="s">
        <v>35</v>
      </c>
      <c r="B1746" s="19">
        <v>43965</v>
      </c>
      <c r="C1746" s="4">
        <v>0</v>
      </c>
      <c r="D1746" s="21">
        <v>5</v>
      </c>
      <c r="F1746" s="57">
        <f t="shared" si="86"/>
        <v>1</v>
      </c>
    </row>
    <row r="1747" spans="1:6" x14ac:dyDescent="0.25">
      <c r="A1747" s="5" t="s">
        <v>36</v>
      </c>
      <c r="B1747" s="19">
        <v>43965</v>
      </c>
      <c r="C1747" s="4">
        <v>0</v>
      </c>
      <c r="D1747" s="21">
        <v>3</v>
      </c>
      <c r="F1747" s="57">
        <f>E1747+F1723</f>
        <v>0</v>
      </c>
    </row>
    <row r="1748" spans="1:6" x14ac:dyDescent="0.25">
      <c r="A1748" s="5" t="s">
        <v>37</v>
      </c>
      <c r="B1748" s="19">
        <v>43965</v>
      </c>
      <c r="C1748" s="4">
        <v>0</v>
      </c>
      <c r="D1748" s="21">
        <v>11</v>
      </c>
      <c r="F1748" s="57">
        <f t="shared" si="86"/>
        <v>0</v>
      </c>
    </row>
    <row r="1749" spans="1:6" x14ac:dyDescent="0.25">
      <c r="A1749" s="5" t="s">
        <v>38</v>
      </c>
      <c r="B1749" s="19">
        <v>43965</v>
      </c>
      <c r="C1749" s="4">
        <v>0</v>
      </c>
      <c r="D1749" s="21">
        <v>49</v>
      </c>
      <c r="F1749" s="57">
        <f t="shared" si="86"/>
        <v>0</v>
      </c>
    </row>
    <row r="1750" spans="1:6" x14ac:dyDescent="0.25">
      <c r="A1750" s="5" t="s">
        <v>23</v>
      </c>
      <c r="B1750" s="19">
        <v>43965</v>
      </c>
      <c r="C1750" s="4">
        <v>0</v>
      </c>
      <c r="D1750" s="21">
        <v>244</v>
      </c>
      <c r="F1750" s="57">
        <f>E1750+F1726</f>
        <v>3</v>
      </c>
    </row>
    <row r="1751" spans="1:6" x14ac:dyDescent="0.25">
      <c r="A1751" s="5" t="s">
        <v>39</v>
      </c>
      <c r="B1751" s="19">
        <v>43965</v>
      </c>
      <c r="C1751" s="4">
        <v>0</v>
      </c>
      <c r="D1751" s="21">
        <v>16</v>
      </c>
      <c r="F1751" s="57">
        <f>E1751+F1727</f>
        <v>0</v>
      </c>
    </row>
    <row r="1752" spans="1:6" x14ac:dyDescent="0.25">
      <c r="A1752" s="5" t="s">
        <v>40</v>
      </c>
      <c r="B1752" s="19">
        <v>43965</v>
      </c>
      <c r="C1752" s="4">
        <v>0</v>
      </c>
      <c r="D1752" s="21">
        <v>148</v>
      </c>
      <c r="F1752" s="57">
        <f t="shared" si="86"/>
        <v>0</v>
      </c>
    </row>
    <row r="1753" spans="1:6" x14ac:dyDescent="0.25">
      <c r="A1753" s="5" t="s">
        <v>41</v>
      </c>
      <c r="B1753" s="19">
        <v>43965</v>
      </c>
      <c r="C1753" s="4">
        <v>0</v>
      </c>
      <c r="D1753" s="21">
        <v>42</v>
      </c>
      <c r="F1753" s="57">
        <f>E1753+F1729</f>
        <v>3</v>
      </c>
    </row>
    <row r="1754" spans="1:6" x14ac:dyDescent="0.25">
      <c r="A1754" s="42" t="s">
        <v>17</v>
      </c>
      <c r="B1754" s="19">
        <v>43966</v>
      </c>
      <c r="C1754" s="4">
        <v>86</v>
      </c>
      <c r="D1754" s="21">
        <v>2497</v>
      </c>
      <c r="E1754" s="4">
        <v>2</v>
      </c>
      <c r="F1754" s="57">
        <f>E1754+F1730</f>
        <v>148</v>
      </c>
    </row>
    <row r="1755" spans="1:6" x14ac:dyDescent="0.25">
      <c r="A1755" s="5" t="s">
        <v>29</v>
      </c>
      <c r="B1755" s="19">
        <v>43966</v>
      </c>
      <c r="C1755" s="4">
        <v>0</v>
      </c>
      <c r="D1755" s="21">
        <v>0</v>
      </c>
      <c r="F1755" s="57">
        <f t="shared" ref="F1755:F1761" si="87">E1755+F1731</f>
        <v>0</v>
      </c>
    </row>
    <row r="1756" spans="1:6" x14ac:dyDescent="0.25">
      <c r="A1756" s="5" t="s">
        <v>16</v>
      </c>
      <c r="B1756" s="19">
        <v>43966</v>
      </c>
      <c r="C1756" s="4">
        <v>25</v>
      </c>
      <c r="D1756" s="21">
        <v>538</v>
      </c>
      <c r="E1756" s="4">
        <v>1</v>
      </c>
      <c r="F1756" s="57">
        <f t="shared" si="87"/>
        <v>24</v>
      </c>
    </row>
    <row r="1757" spans="1:6" x14ac:dyDescent="0.25">
      <c r="A1757" s="5" t="s">
        <v>30</v>
      </c>
      <c r="B1757" s="19">
        <v>43966</v>
      </c>
      <c r="C1757" s="4">
        <v>0</v>
      </c>
      <c r="D1757" s="21">
        <v>4</v>
      </c>
      <c r="F1757" s="57">
        <f t="shared" si="87"/>
        <v>1</v>
      </c>
    </row>
    <row r="1758" spans="1:6" x14ac:dyDescent="0.25">
      <c r="A1758" s="5" t="s">
        <v>44</v>
      </c>
      <c r="B1758" s="19">
        <v>43966</v>
      </c>
      <c r="C1758" s="4">
        <v>214</v>
      </c>
      <c r="D1758" s="21">
        <v>2832</v>
      </c>
      <c r="F1758" s="57">
        <f t="shared" si="87"/>
        <v>116</v>
      </c>
    </row>
    <row r="1759" spans="1:6" x14ac:dyDescent="0.25">
      <c r="A1759" s="5" t="s">
        <v>21</v>
      </c>
      <c r="B1759" s="19">
        <v>43966</v>
      </c>
      <c r="C1759" s="4">
        <v>3</v>
      </c>
      <c r="D1759" s="21">
        <v>369</v>
      </c>
      <c r="F1759" s="57">
        <f t="shared" si="87"/>
        <v>21</v>
      </c>
    </row>
    <row r="1760" spans="1:6" x14ac:dyDescent="0.25">
      <c r="A1760" s="5" t="s">
        <v>31</v>
      </c>
      <c r="B1760" s="19">
        <v>43966</v>
      </c>
      <c r="C1760" s="4">
        <v>0</v>
      </c>
      <c r="D1760" s="21">
        <v>79</v>
      </c>
      <c r="F1760" s="57">
        <f t="shared" si="87"/>
        <v>0</v>
      </c>
    </row>
    <row r="1761" spans="1:6" x14ac:dyDescent="0.25">
      <c r="A1761" s="5" t="s">
        <v>32</v>
      </c>
      <c r="B1761" s="19">
        <v>43966</v>
      </c>
      <c r="C1761" s="4">
        <v>0</v>
      </c>
      <c r="D1761" s="21">
        <v>29</v>
      </c>
      <c r="F1761" s="57">
        <f t="shared" si="87"/>
        <v>0</v>
      </c>
    </row>
    <row r="1762" spans="1:6" x14ac:dyDescent="0.25">
      <c r="A1762" s="5" t="s">
        <v>42</v>
      </c>
      <c r="B1762" s="19">
        <v>43966</v>
      </c>
      <c r="C1762" s="4">
        <v>0</v>
      </c>
      <c r="D1762" s="21">
        <v>0</v>
      </c>
      <c r="F1762" s="57">
        <f t="shared" ref="F1762:F1776" si="88">E1762+F1737</f>
        <v>0</v>
      </c>
    </row>
    <row r="1763" spans="1:6" x14ac:dyDescent="0.25">
      <c r="A1763" s="5" t="s">
        <v>33</v>
      </c>
      <c r="B1763" s="19">
        <v>43966</v>
      </c>
      <c r="C1763" s="4">
        <v>0</v>
      </c>
      <c r="D1763" s="21">
        <v>5</v>
      </c>
      <c r="F1763" s="57">
        <f t="shared" si="88"/>
        <v>0</v>
      </c>
    </row>
    <row r="1764" spans="1:6" x14ac:dyDescent="0.25">
      <c r="A1764" s="5" t="s">
        <v>34</v>
      </c>
      <c r="B1764" s="19">
        <v>43966</v>
      </c>
      <c r="C1764" s="4">
        <v>0</v>
      </c>
      <c r="D1764" s="21">
        <v>5</v>
      </c>
      <c r="F1764" s="57">
        <f t="shared" si="88"/>
        <v>0</v>
      </c>
    </row>
    <row r="1765" spans="1:6" x14ac:dyDescent="0.25">
      <c r="A1765" s="5" t="s">
        <v>22</v>
      </c>
      <c r="B1765" s="19">
        <v>43966</v>
      </c>
      <c r="C1765" s="4">
        <v>0</v>
      </c>
      <c r="D1765" s="21">
        <v>60</v>
      </c>
      <c r="F1765" s="57">
        <f t="shared" si="88"/>
        <v>0</v>
      </c>
    </row>
    <row r="1766" spans="1:6" x14ac:dyDescent="0.25">
      <c r="A1766" s="5" t="s">
        <v>18</v>
      </c>
      <c r="B1766" s="19">
        <v>43966</v>
      </c>
      <c r="C1766" s="4">
        <v>-1</v>
      </c>
      <c r="D1766" s="21">
        <v>87</v>
      </c>
      <c r="F1766" s="57">
        <f t="shared" si="88"/>
        <v>0</v>
      </c>
    </row>
    <row r="1767" spans="1:6" x14ac:dyDescent="0.25">
      <c r="A1767" s="5" t="s">
        <v>24</v>
      </c>
      <c r="B1767" s="19">
        <v>43966</v>
      </c>
      <c r="C1767" s="4">
        <v>0</v>
      </c>
      <c r="D1767" s="21">
        <v>25</v>
      </c>
      <c r="F1767" s="57">
        <f t="shared" si="88"/>
        <v>0</v>
      </c>
    </row>
    <row r="1768" spans="1:6" x14ac:dyDescent="0.25">
      <c r="A1768" s="5" t="s">
        <v>20</v>
      </c>
      <c r="B1768" s="19">
        <v>43966</v>
      </c>
      <c r="C1768" s="4">
        <v>0</v>
      </c>
      <c r="D1768" s="21">
        <v>114</v>
      </c>
      <c r="F1768" s="57">
        <f t="shared" si="88"/>
        <v>0</v>
      </c>
    </row>
    <row r="1769" spans="1:6" x14ac:dyDescent="0.25">
      <c r="A1769" s="5" t="s">
        <v>19</v>
      </c>
      <c r="B1769" s="19">
        <v>43966</v>
      </c>
      <c r="C1769" s="4">
        <v>17</v>
      </c>
      <c r="D1769" s="21">
        <v>315</v>
      </c>
      <c r="F1769" s="57">
        <f t="shared" si="88"/>
        <v>0</v>
      </c>
    </row>
    <row r="1770" spans="1:6" x14ac:dyDescent="0.25">
      <c r="A1770" s="5" t="s">
        <v>35</v>
      </c>
      <c r="B1770" s="19">
        <v>43966</v>
      </c>
      <c r="C1770" s="4">
        <v>0</v>
      </c>
      <c r="D1770" s="21">
        <v>5</v>
      </c>
      <c r="F1770" s="57">
        <f t="shared" si="88"/>
        <v>1</v>
      </c>
    </row>
    <row r="1771" spans="1:6" x14ac:dyDescent="0.25">
      <c r="A1771" s="5" t="s">
        <v>36</v>
      </c>
      <c r="B1771" s="19">
        <v>43966</v>
      </c>
      <c r="C1771" s="4">
        <v>0</v>
      </c>
      <c r="D1771" s="21">
        <v>3</v>
      </c>
      <c r="F1771" s="57">
        <f>E1771+F1747</f>
        <v>0</v>
      </c>
    </row>
    <row r="1772" spans="1:6" x14ac:dyDescent="0.25">
      <c r="A1772" s="5" t="s">
        <v>37</v>
      </c>
      <c r="B1772" s="19">
        <v>43966</v>
      </c>
      <c r="C1772" s="4">
        <v>0</v>
      </c>
      <c r="D1772" s="21">
        <v>11</v>
      </c>
      <c r="F1772" s="57">
        <f t="shared" si="88"/>
        <v>0</v>
      </c>
    </row>
    <row r="1773" spans="1:6" x14ac:dyDescent="0.25">
      <c r="A1773" s="5" t="s">
        <v>38</v>
      </c>
      <c r="B1773" s="19">
        <v>43966</v>
      </c>
      <c r="C1773" s="4">
        <v>0</v>
      </c>
      <c r="D1773" s="21">
        <v>49</v>
      </c>
      <c r="F1773" s="57">
        <f t="shared" si="88"/>
        <v>0</v>
      </c>
    </row>
    <row r="1774" spans="1:6" x14ac:dyDescent="0.25">
      <c r="A1774" s="5" t="s">
        <v>23</v>
      </c>
      <c r="B1774" s="19">
        <v>43966</v>
      </c>
      <c r="C1774" s="4">
        <v>0</v>
      </c>
      <c r="D1774" s="21">
        <v>244</v>
      </c>
      <c r="F1774" s="57">
        <f>E1774+F1750</f>
        <v>3</v>
      </c>
    </row>
    <row r="1775" spans="1:6" x14ac:dyDescent="0.25">
      <c r="A1775" s="5" t="s">
        <v>39</v>
      </c>
      <c r="B1775" s="19">
        <v>43966</v>
      </c>
      <c r="C1775" s="4">
        <v>0</v>
      </c>
      <c r="D1775" s="21">
        <v>16</v>
      </c>
      <c r="F1775" s="57">
        <f>E1775+F1751</f>
        <v>0</v>
      </c>
    </row>
    <row r="1776" spans="1:6" x14ac:dyDescent="0.25">
      <c r="A1776" s="5" t="s">
        <v>40</v>
      </c>
      <c r="B1776" s="19">
        <v>43966</v>
      </c>
      <c r="C1776" s="4">
        <v>0</v>
      </c>
      <c r="D1776" s="21">
        <v>148</v>
      </c>
      <c r="F1776" s="57">
        <f t="shared" si="88"/>
        <v>0</v>
      </c>
    </row>
    <row r="1777" spans="1:6" x14ac:dyDescent="0.25">
      <c r="A1777" s="5" t="s">
        <v>41</v>
      </c>
      <c r="B1777" s="19">
        <v>43966</v>
      </c>
      <c r="C1777" s="4">
        <v>0</v>
      </c>
      <c r="D1777" s="21">
        <v>42</v>
      </c>
      <c r="F1777" s="57">
        <f>E1777+F1753</f>
        <v>3</v>
      </c>
    </row>
    <row r="1778" spans="1:6" x14ac:dyDescent="0.25">
      <c r="A1778" s="42" t="s">
        <v>17</v>
      </c>
      <c r="B1778" s="19">
        <v>43967</v>
      </c>
      <c r="C1778" s="4">
        <v>97</v>
      </c>
      <c r="D1778" s="21">
        <v>2594</v>
      </c>
      <c r="E1778" s="4">
        <v>2</v>
      </c>
      <c r="F1778" s="57">
        <f>E1778+F1754</f>
        <v>150</v>
      </c>
    </row>
    <row r="1779" spans="1:6" x14ac:dyDescent="0.25">
      <c r="A1779" s="5" t="s">
        <v>29</v>
      </c>
      <c r="B1779" s="19">
        <v>43967</v>
      </c>
      <c r="C1779" s="4">
        <v>0</v>
      </c>
      <c r="D1779" s="21">
        <v>0</v>
      </c>
      <c r="F1779" s="57">
        <f t="shared" ref="F1779:F1785" si="89">E1779+F1755</f>
        <v>0</v>
      </c>
    </row>
    <row r="1780" spans="1:6" x14ac:dyDescent="0.25">
      <c r="A1780" s="5" t="s">
        <v>16</v>
      </c>
      <c r="B1780" s="19">
        <v>43967</v>
      </c>
      <c r="C1780" s="4">
        <v>21</v>
      </c>
      <c r="D1780" s="21">
        <v>559</v>
      </c>
      <c r="E1780" s="4">
        <v>1</v>
      </c>
      <c r="F1780" s="57">
        <f t="shared" si="89"/>
        <v>25</v>
      </c>
    </row>
    <row r="1781" spans="1:6" x14ac:dyDescent="0.25">
      <c r="A1781" s="5" t="s">
        <v>30</v>
      </c>
      <c r="B1781" s="19">
        <v>43967</v>
      </c>
      <c r="C1781" s="4">
        <v>0</v>
      </c>
      <c r="D1781" s="21">
        <v>4</v>
      </c>
      <c r="F1781" s="57">
        <f t="shared" si="89"/>
        <v>1</v>
      </c>
    </row>
    <row r="1782" spans="1:6" x14ac:dyDescent="0.25">
      <c r="A1782" s="5" t="s">
        <v>44</v>
      </c>
      <c r="B1782" s="19">
        <v>43967</v>
      </c>
      <c r="C1782" s="4">
        <v>193</v>
      </c>
      <c r="D1782" s="21">
        <v>3025</v>
      </c>
      <c r="E1782" s="4">
        <v>4</v>
      </c>
      <c r="F1782" s="57">
        <f t="shared" si="89"/>
        <v>120</v>
      </c>
    </row>
    <row r="1783" spans="1:6" x14ac:dyDescent="0.25">
      <c r="A1783" s="5" t="s">
        <v>21</v>
      </c>
      <c r="B1783" s="19">
        <v>43967</v>
      </c>
      <c r="C1783" s="4">
        <v>9</v>
      </c>
      <c r="D1783" s="21">
        <v>378</v>
      </c>
      <c r="F1783" s="57">
        <f t="shared" si="89"/>
        <v>21</v>
      </c>
    </row>
    <row r="1784" spans="1:6" x14ac:dyDescent="0.25">
      <c r="A1784" s="5" t="s">
        <v>31</v>
      </c>
      <c r="B1784" s="19">
        <v>43967</v>
      </c>
      <c r="C1784" s="4">
        <v>0</v>
      </c>
      <c r="D1784" s="21">
        <v>79</v>
      </c>
      <c r="F1784" s="57">
        <f t="shared" si="89"/>
        <v>0</v>
      </c>
    </row>
    <row r="1785" spans="1:6" x14ac:dyDescent="0.25">
      <c r="A1785" s="5" t="s">
        <v>32</v>
      </c>
      <c r="B1785" s="19">
        <v>43967</v>
      </c>
      <c r="C1785" s="4">
        <v>0</v>
      </c>
      <c r="D1785" s="21">
        <v>29</v>
      </c>
      <c r="F1785" s="57">
        <f t="shared" si="89"/>
        <v>0</v>
      </c>
    </row>
    <row r="1786" spans="1:6" x14ac:dyDescent="0.25">
      <c r="A1786" s="5" t="s">
        <v>42</v>
      </c>
      <c r="B1786" s="19">
        <v>43967</v>
      </c>
      <c r="C1786" s="4">
        <v>0</v>
      </c>
      <c r="D1786" s="21">
        <v>0</v>
      </c>
      <c r="F1786" s="57">
        <f t="shared" ref="F1786:F1800" si="90">E1786+F1761</f>
        <v>0</v>
      </c>
    </row>
    <row r="1787" spans="1:6" x14ac:dyDescent="0.25">
      <c r="A1787" s="5" t="s">
        <v>33</v>
      </c>
      <c r="B1787" s="19">
        <v>43967</v>
      </c>
      <c r="C1787" s="4">
        <v>0</v>
      </c>
      <c r="D1787" s="21">
        <v>5</v>
      </c>
      <c r="F1787" s="57">
        <f t="shared" si="90"/>
        <v>0</v>
      </c>
    </row>
    <row r="1788" spans="1:6" x14ac:dyDescent="0.25">
      <c r="A1788" s="5" t="s">
        <v>34</v>
      </c>
      <c r="B1788" s="19">
        <v>43967</v>
      </c>
      <c r="C1788" s="4">
        <v>0</v>
      </c>
      <c r="D1788" s="21">
        <v>5</v>
      </c>
      <c r="F1788" s="57">
        <f t="shared" si="90"/>
        <v>0</v>
      </c>
    </row>
    <row r="1789" spans="1:6" x14ac:dyDescent="0.25">
      <c r="A1789" s="5" t="s">
        <v>22</v>
      </c>
      <c r="B1789" s="19">
        <v>43967</v>
      </c>
      <c r="C1789" s="4">
        <v>0</v>
      </c>
      <c r="D1789" s="21">
        <v>60</v>
      </c>
      <c r="F1789" s="57">
        <f t="shared" si="90"/>
        <v>0</v>
      </c>
    </row>
    <row r="1790" spans="1:6" x14ac:dyDescent="0.25">
      <c r="A1790" s="5" t="s">
        <v>18</v>
      </c>
      <c r="B1790" s="19">
        <v>43967</v>
      </c>
      <c r="C1790" s="4">
        <v>0</v>
      </c>
      <c r="D1790" s="21">
        <v>87</v>
      </c>
      <c r="F1790" s="57">
        <f t="shared" si="90"/>
        <v>0</v>
      </c>
    </row>
    <row r="1791" spans="1:6" x14ac:dyDescent="0.25">
      <c r="A1791" s="5" t="s">
        <v>24</v>
      </c>
      <c r="B1791" s="19">
        <v>43967</v>
      </c>
      <c r="C1791" s="4">
        <v>0</v>
      </c>
      <c r="D1791" s="21">
        <v>25</v>
      </c>
      <c r="F1791" s="57">
        <f t="shared" si="90"/>
        <v>0</v>
      </c>
    </row>
    <row r="1792" spans="1:6" x14ac:dyDescent="0.25">
      <c r="A1792" s="5" t="s">
        <v>20</v>
      </c>
      <c r="B1792" s="19">
        <v>43967</v>
      </c>
      <c r="C1792" s="4">
        <v>0</v>
      </c>
      <c r="D1792" s="21">
        <v>114</v>
      </c>
      <c r="F1792" s="57">
        <f t="shared" si="90"/>
        <v>0</v>
      </c>
    </row>
    <row r="1793" spans="1:6" x14ac:dyDescent="0.25">
      <c r="A1793" s="5" t="s">
        <v>19</v>
      </c>
      <c r="B1793" s="19">
        <v>43967</v>
      </c>
      <c r="C1793" s="4">
        <v>6</v>
      </c>
      <c r="D1793" s="21">
        <v>321</v>
      </c>
      <c r="F1793" s="57">
        <f t="shared" si="90"/>
        <v>0</v>
      </c>
    </row>
    <row r="1794" spans="1:6" x14ac:dyDescent="0.25">
      <c r="A1794" s="5" t="s">
        <v>35</v>
      </c>
      <c r="B1794" s="19">
        <v>43967</v>
      </c>
      <c r="C1794" s="4">
        <v>0</v>
      </c>
      <c r="D1794" s="21">
        <v>5</v>
      </c>
      <c r="F1794" s="57">
        <f t="shared" si="90"/>
        <v>0</v>
      </c>
    </row>
    <row r="1795" spans="1:6" x14ac:dyDescent="0.25">
      <c r="A1795" s="5" t="s">
        <v>36</v>
      </c>
      <c r="B1795" s="19">
        <v>43967</v>
      </c>
      <c r="C1795" s="4">
        <v>0</v>
      </c>
      <c r="D1795" s="21">
        <v>3</v>
      </c>
      <c r="F1795" s="57">
        <f>E1795+F1771</f>
        <v>0</v>
      </c>
    </row>
    <row r="1796" spans="1:6" x14ac:dyDescent="0.25">
      <c r="A1796" s="5" t="s">
        <v>37</v>
      </c>
      <c r="B1796" s="19">
        <v>43967</v>
      </c>
      <c r="C1796" s="4">
        <v>0</v>
      </c>
      <c r="D1796" s="21">
        <v>11</v>
      </c>
      <c r="F1796" s="57">
        <f t="shared" si="90"/>
        <v>0</v>
      </c>
    </row>
    <row r="1797" spans="1:6" x14ac:dyDescent="0.25">
      <c r="A1797" s="5" t="s">
        <v>38</v>
      </c>
      <c r="B1797" s="19">
        <v>43967</v>
      </c>
      <c r="C1797" s="4">
        <v>0</v>
      </c>
      <c r="D1797" s="21">
        <v>49</v>
      </c>
      <c r="F1797" s="57">
        <f t="shared" si="90"/>
        <v>0</v>
      </c>
    </row>
    <row r="1798" spans="1:6" x14ac:dyDescent="0.25">
      <c r="A1798" s="5" t="s">
        <v>23</v>
      </c>
      <c r="B1798" s="19">
        <v>43967</v>
      </c>
      <c r="C1798" s="4">
        <v>1</v>
      </c>
      <c r="D1798" s="21">
        <v>245</v>
      </c>
      <c r="F1798" s="57">
        <f>E1798+F1774</f>
        <v>3</v>
      </c>
    </row>
    <row r="1799" spans="1:6" x14ac:dyDescent="0.25">
      <c r="A1799" s="5" t="s">
        <v>39</v>
      </c>
      <c r="B1799" s="19">
        <v>43967</v>
      </c>
      <c r="C1799" s="4">
        <v>0</v>
      </c>
      <c r="D1799" s="21">
        <v>16</v>
      </c>
      <c r="F1799" s="57">
        <f>E1799+F1775</f>
        <v>0</v>
      </c>
    </row>
    <row r="1800" spans="1:6" x14ac:dyDescent="0.25">
      <c r="A1800" s="5" t="s">
        <v>40</v>
      </c>
      <c r="B1800" s="19">
        <v>43967</v>
      </c>
      <c r="C1800" s="4">
        <v>0</v>
      </c>
      <c r="D1800" s="21">
        <v>148</v>
      </c>
      <c r="F1800" s="57">
        <f t="shared" si="90"/>
        <v>0</v>
      </c>
    </row>
    <row r="1801" spans="1:6" x14ac:dyDescent="0.25">
      <c r="A1801" s="5" t="s">
        <v>41</v>
      </c>
      <c r="B1801" s="19">
        <v>43967</v>
      </c>
      <c r="C1801" s="4">
        <v>0</v>
      </c>
      <c r="D1801" s="21">
        <v>42</v>
      </c>
      <c r="F1801" s="57">
        <f>E1801+F1777</f>
        <v>3</v>
      </c>
    </row>
    <row r="1802" spans="1:6" x14ac:dyDescent="0.25">
      <c r="A1802" s="42" t="s">
        <v>17</v>
      </c>
      <c r="B1802" s="19">
        <v>43968</v>
      </c>
      <c r="C1802" s="4">
        <v>74</v>
      </c>
      <c r="D1802" s="21">
        <v>2668</v>
      </c>
      <c r="E1802" s="4">
        <v>3</v>
      </c>
      <c r="F1802" s="57">
        <f>E1802+F1778</f>
        <v>153</v>
      </c>
    </row>
    <row r="1803" spans="1:6" x14ac:dyDescent="0.25">
      <c r="A1803" s="5" t="s">
        <v>29</v>
      </c>
      <c r="B1803" s="19">
        <v>43968</v>
      </c>
      <c r="C1803" s="4">
        <v>0</v>
      </c>
      <c r="D1803" s="21">
        <v>0</v>
      </c>
      <c r="F1803" s="57">
        <f t="shared" ref="F1803:F1809" si="91">E1803+F1779</f>
        <v>0</v>
      </c>
    </row>
    <row r="1804" spans="1:6" x14ac:dyDescent="0.25">
      <c r="A1804" s="5" t="s">
        <v>16</v>
      </c>
      <c r="B1804" s="19">
        <v>43968</v>
      </c>
      <c r="C1804" s="4">
        <v>19</v>
      </c>
      <c r="D1804" s="21">
        <v>578</v>
      </c>
      <c r="E1804" s="4">
        <v>2</v>
      </c>
      <c r="F1804" s="57">
        <f t="shared" si="91"/>
        <v>27</v>
      </c>
    </row>
    <row r="1805" spans="1:6" x14ac:dyDescent="0.25">
      <c r="A1805" s="5" t="s">
        <v>30</v>
      </c>
      <c r="B1805" s="19">
        <v>43968</v>
      </c>
      <c r="C1805" s="4">
        <v>0</v>
      </c>
      <c r="D1805" s="21">
        <v>4</v>
      </c>
      <c r="F1805" s="57">
        <f t="shared" si="91"/>
        <v>1</v>
      </c>
    </row>
    <row r="1806" spans="1:6" x14ac:dyDescent="0.25">
      <c r="A1806" s="5" t="s">
        <v>44</v>
      </c>
      <c r="B1806" s="19">
        <v>43968</v>
      </c>
      <c r="C1806" s="4">
        <v>147</v>
      </c>
      <c r="D1806" s="21">
        <v>3172</v>
      </c>
      <c r="E1806" s="4">
        <v>2</v>
      </c>
      <c r="F1806" s="57">
        <f t="shared" si="91"/>
        <v>122</v>
      </c>
    </row>
    <row r="1807" spans="1:6" x14ac:dyDescent="0.25">
      <c r="A1807" s="5" t="s">
        <v>21</v>
      </c>
      <c r="B1807" s="19">
        <v>43968</v>
      </c>
      <c r="C1807" s="4">
        <v>20</v>
      </c>
      <c r="D1807" s="21">
        <v>398</v>
      </c>
      <c r="E1807" s="4">
        <v>2</v>
      </c>
      <c r="F1807" s="57">
        <f t="shared" si="91"/>
        <v>23</v>
      </c>
    </row>
    <row r="1808" spans="1:6" x14ac:dyDescent="0.25">
      <c r="A1808" s="5" t="s">
        <v>31</v>
      </c>
      <c r="B1808" s="19">
        <v>43968</v>
      </c>
      <c r="C1808" s="4">
        <v>0</v>
      </c>
      <c r="D1808" s="21">
        <v>79</v>
      </c>
      <c r="F1808" s="57">
        <f t="shared" si="91"/>
        <v>0</v>
      </c>
    </row>
    <row r="1809" spans="1:6" x14ac:dyDescent="0.25">
      <c r="A1809" s="5" t="s">
        <v>32</v>
      </c>
      <c r="B1809" s="19">
        <v>43968</v>
      </c>
      <c r="C1809" s="4">
        <v>0</v>
      </c>
      <c r="D1809" s="21">
        <v>29</v>
      </c>
      <c r="F1809" s="57">
        <f t="shared" si="91"/>
        <v>0</v>
      </c>
    </row>
    <row r="1810" spans="1:6" x14ac:dyDescent="0.25">
      <c r="A1810" s="5" t="s">
        <v>42</v>
      </c>
      <c r="B1810" s="19">
        <v>43968</v>
      </c>
      <c r="C1810" s="4">
        <v>0</v>
      </c>
      <c r="D1810" s="21">
        <v>0</v>
      </c>
      <c r="F1810" s="57">
        <f t="shared" ref="F1810:F1824" si="92">E1810+F1785</f>
        <v>0</v>
      </c>
    </row>
    <row r="1811" spans="1:6" x14ac:dyDescent="0.25">
      <c r="A1811" s="5" t="s">
        <v>33</v>
      </c>
      <c r="B1811" s="19">
        <v>43968</v>
      </c>
      <c r="C1811" s="4">
        <v>0</v>
      </c>
      <c r="D1811" s="21">
        <v>5</v>
      </c>
      <c r="F1811" s="57">
        <f t="shared" si="92"/>
        <v>0</v>
      </c>
    </row>
    <row r="1812" spans="1:6" x14ac:dyDescent="0.25">
      <c r="A1812" s="5" t="s">
        <v>34</v>
      </c>
      <c r="B1812" s="19">
        <v>43968</v>
      </c>
      <c r="C1812" s="4">
        <v>0</v>
      </c>
      <c r="D1812" s="21">
        <v>5</v>
      </c>
      <c r="F1812" s="57">
        <f t="shared" si="92"/>
        <v>0</v>
      </c>
    </row>
    <row r="1813" spans="1:6" x14ac:dyDescent="0.25">
      <c r="A1813" s="5" t="s">
        <v>22</v>
      </c>
      <c r="B1813" s="19">
        <v>43968</v>
      </c>
      <c r="C1813" s="4">
        <v>1</v>
      </c>
      <c r="D1813" s="21">
        <v>61</v>
      </c>
      <c r="F1813" s="57">
        <f t="shared" si="92"/>
        <v>0</v>
      </c>
    </row>
    <row r="1814" spans="1:6" x14ac:dyDescent="0.25">
      <c r="A1814" s="5" t="s">
        <v>18</v>
      </c>
      <c r="B1814" s="19">
        <v>43968</v>
      </c>
      <c r="C1814" s="4">
        <v>0</v>
      </c>
      <c r="D1814" s="21">
        <v>87</v>
      </c>
      <c r="F1814" s="57">
        <f t="shared" si="92"/>
        <v>0</v>
      </c>
    </row>
    <row r="1815" spans="1:6" x14ac:dyDescent="0.25">
      <c r="A1815" s="5" t="s">
        <v>24</v>
      </c>
      <c r="B1815" s="19">
        <v>43968</v>
      </c>
      <c r="C1815" s="4">
        <v>0</v>
      </c>
      <c r="D1815" s="21">
        <v>25</v>
      </c>
      <c r="F1815" s="57">
        <f t="shared" si="92"/>
        <v>0</v>
      </c>
    </row>
    <row r="1816" spans="1:6" x14ac:dyDescent="0.25">
      <c r="A1816" s="5" t="s">
        <v>20</v>
      </c>
      <c r="B1816" s="19">
        <v>43968</v>
      </c>
      <c r="C1816" s="4">
        <v>0</v>
      </c>
      <c r="D1816" s="21">
        <v>114</v>
      </c>
      <c r="F1816" s="57">
        <f t="shared" si="92"/>
        <v>0</v>
      </c>
    </row>
    <row r="1817" spans="1:6" x14ac:dyDescent="0.25">
      <c r="A1817" s="5" t="s">
        <v>19</v>
      </c>
      <c r="B1817" s="19">
        <v>43968</v>
      </c>
      <c r="C1817" s="4">
        <v>2</v>
      </c>
      <c r="D1817" s="21">
        <v>323</v>
      </c>
      <c r="E1817" s="4">
        <v>1</v>
      </c>
      <c r="F1817" s="57">
        <f t="shared" si="92"/>
        <v>1</v>
      </c>
    </row>
    <row r="1818" spans="1:6" x14ac:dyDescent="0.25">
      <c r="A1818" s="5" t="s">
        <v>35</v>
      </c>
      <c r="B1818" s="19">
        <v>43968</v>
      </c>
      <c r="C1818" s="4">
        <v>0</v>
      </c>
      <c r="D1818" s="21">
        <v>5</v>
      </c>
      <c r="F1818" s="57">
        <f t="shared" si="92"/>
        <v>0</v>
      </c>
    </row>
    <row r="1819" spans="1:6" x14ac:dyDescent="0.25">
      <c r="A1819" s="5" t="s">
        <v>36</v>
      </c>
      <c r="B1819" s="19">
        <v>43968</v>
      </c>
      <c r="C1819" s="4">
        <v>0</v>
      </c>
      <c r="D1819" s="21">
        <v>3</v>
      </c>
      <c r="F1819" s="57">
        <f>E1819+F1795</f>
        <v>0</v>
      </c>
    </row>
    <row r="1820" spans="1:6" x14ac:dyDescent="0.25">
      <c r="A1820" s="5" t="s">
        <v>37</v>
      </c>
      <c r="B1820" s="19">
        <v>43968</v>
      </c>
      <c r="C1820" s="4">
        <v>0</v>
      </c>
      <c r="D1820" s="21">
        <v>11</v>
      </c>
      <c r="F1820" s="57">
        <f t="shared" si="92"/>
        <v>0</v>
      </c>
    </row>
    <row r="1821" spans="1:6" x14ac:dyDescent="0.25">
      <c r="A1821" s="5" t="s">
        <v>38</v>
      </c>
      <c r="B1821" s="19">
        <v>43968</v>
      </c>
      <c r="C1821" s="4">
        <v>0</v>
      </c>
      <c r="D1821" s="21">
        <v>49</v>
      </c>
      <c r="F1821" s="57">
        <f t="shared" si="92"/>
        <v>0</v>
      </c>
    </row>
    <row r="1822" spans="1:6" x14ac:dyDescent="0.25">
      <c r="A1822" s="5" t="s">
        <v>23</v>
      </c>
      <c r="B1822" s="19">
        <v>43968</v>
      </c>
      <c r="C1822" s="4">
        <v>0</v>
      </c>
      <c r="D1822" s="21">
        <v>245</v>
      </c>
      <c r="F1822" s="57">
        <f>E1822+F1798</f>
        <v>3</v>
      </c>
    </row>
    <row r="1823" spans="1:6" x14ac:dyDescent="0.25">
      <c r="A1823" s="5" t="s">
        <v>39</v>
      </c>
      <c r="B1823" s="19">
        <v>43968</v>
      </c>
      <c r="C1823" s="4">
        <v>0</v>
      </c>
      <c r="D1823" s="21">
        <v>16</v>
      </c>
      <c r="F1823" s="57">
        <f>E1823+F1799</f>
        <v>0</v>
      </c>
    </row>
    <row r="1824" spans="1:6" x14ac:dyDescent="0.25">
      <c r="A1824" s="5" t="s">
        <v>40</v>
      </c>
      <c r="B1824" s="19">
        <v>43968</v>
      </c>
      <c r="C1824" s="4">
        <v>0</v>
      </c>
      <c r="D1824" s="21">
        <v>148</v>
      </c>
      <c r="F1824" s="57">
        <f t="shared" si="92"/>
        <v>0</v>
      </c>
    </row>
    <row r="1825" spans="1:6" x14ac:dyDescent="0.25">
      <c r="A1825" s="5" t="s">
        <v>41</v>
      </c>
      <c r="B1825" s="19">
        <v>43968</v>
      </c>
      <c r="C1825" s="4">
        <v>0</v>
      </c>
      <c r="D1825" s="21">
        <v>42</v>
      </c>
      <c r="F1825" s="57">
        <f>E1825+F1801</f>
        <v>3</v>
      </c>
    </row>
    <row r="1826" spans="1:6" x14ac:dyDescent="0.25">
      <c r="A1826" s="42" t="s">
        <v>17</v>
      </c>
      <c r="B1826" s="19">
        <v>43969</v>
      </c>
      <c r="C1826" s="4">
        <v>93</v>
      </c>
      <c r="D1826" s="21">
        <v>2761</v>
      </c>
      <c r="E1826" s="4">
        <v>2</v>
      </c>
      <c r="F1826" s="57">
        <f>E1826+F1802</f>
        <v>155</v>
      </c>
    </row>
    <row r="1827" spans="1:6" x14ac:dyDescent="0.25">
      <c r="A1827" s="5" t="s">
        <v>29</v>
      </c>
      <c r="B1827" s="19">
        <v>43969</v>
      </c>
      <c r="C1827" s="4">
        <v>0</v>
      </c>
      <c r="D1827" s="21">
        <v>0</v>
      </c>
      <c r="F1827" s="57">
        <f t="shared" ref="F1827:F1833" si="93">E1827+F1803</f>
        <v>0</v>
      </c>
    </row>
    <row r="1828" spans="1:6" x14ac:dyDescent="0.25">
      <c r="A1828" s="5" t="s">
        <v>16</v>
      </c>
      <c r="B1828" s="19">
        <v>43969</v>
      </c>
      <c r="C1828" s="4">
        <v>13</v>
      </c>
      <c r="D1828" s="21">
        <v>591</v>
      </c>
      <c r="E1828" s="4">
        <v>2</v>
      </c>
      <c r="F1828" s="57">
        <f t="shared" si="93"/>
        <v>29</v>
      </c>
    </row>
    <row r="1829" spans="1:6" x14ac:dyDescent="0.25">
      <c r="A1829" s="5" t="s">
        <v>30</v>
      </c>
      <c r="B1829" s="19">
        <v>43969</v>
      </c>
      <c r="C1829" s="4">
        <v>0</v>
      </c>
      <c r="D1829" s="21">
        <v>4</v>
      </c>
      <c r="F1829" s="57">
        <f t="shared" si="93"/>
        <v>1</v>
      </c>
    </row>
    <row r="1830" spans="1:6" x14ac:dyDescent="0.25">
      <c r="A1830" s="5" t="s">
        <v>44</v>
      </c>
      <c r="B1830" s="19">
        <v>43969</v>
      </c>
      <c r="C1830" s="4">
        <v>169</v>
      </c>
      <c r="D1830" s="21">
        <v>3341</v>
      </c>
      <c r="E1830" s="4">
        <v>5</v>
      </c>
      <c r="F1830" s="57">
        <f t="shared" si="93"/>
        <v>127</v>
      </c>
    </row>
    <row r="1831" spans="1:6" x14ac:dyDescent="0.25">
      <c r="A1831" s="5" t="s">
        <v>21</v>
      </c>
      <c r="B1831" s="19">
        <v>43969</v>
      </c>
      <c r="C1831" s="4">
        <v>20</v>
      </c>
      <c r="D1831" s="21">
        <v>418</v>
      </c>
      <c r="F1831" s="57">
        <f t="shared" si="93"/>
        <v>23</v>
      </c>
    </row>
    <row r="1832" spans="1:6" x14ac:dyDescent="0.25">
      <c r="A1832" s="5" t="s">
        <v>31</v>
      </c>
      <c r="B1832" s="19">
        <v>43969</v>
      </c>
      <c r="C1832" s="4">
        <v>-1</v>
      </c>
      <c r="D1832" s="21">
        <v>78</v>
      </c>
      <c r="F1832" s="57">
        <f t="shared" si="93"/>
        <v>0</v>
      </c>
    </row>
    <row r="1833" spans="1:6" x14ac:dyDescent="0.25">
      <c r="A1833" s="5" t="s">
        <v>32</v>
      </c>
      <c r="B1833" s="19">
        <v>43969</v>
      </c>
      <c r="C1833" s="4">
        <v>0</v>
      </c>
      <c r="D1833" s="21">
        <v>29</v>
      </c>
      <c r="F1833" s="57">
        <f t="shared" si="93"/>
        <v>0</v>
      </c>
    </row>
    <row r="1834" spans="1:6" x14ac:dyDescent="0.25">
      <c r="A1834" s="5" t="s">
        <v>42</v>
      </c>
      <c r="B1834" s="19">
        <v>43969</v>
      </c>
      <c r="C1834" s="4">
        <v>0</v>
      </c>
      <c r="D1834" s="21">
        <v>0</v>
      </c>
      <c r="F1834" s="57">
        <f t="shared" ref="F1834:F1848" si="94">E1834+F1809</f>
        <v>0</v>
      </c>
    </row>
    <row r="1835" spans="1:6" x14ac:dyDescent="0.25">
      <c r="A1835" s="5" t="s">
        <v>33</v>
      </c>
      <c r="B1835" s="19">
        <v>43969</v>
      </c>
      <c r="C1835" s="4">
        <v>0</v>
      </c>
      <c r="D1835" s="21">
        <v>5</v>
      </c>
      <c r="F1835" s="57">
        <f t="shared" si="94"/>
        <v>0</v>
      </c>
    </row>
    <row r="1836" spans="1:6" x14ac:dyDescent="0.25">
      <c r="A1836" s="5" t="s">
        <v>34</v>
      </c>
      <c r="B1836" s="19">
        <v>43969</v>
      </c>
      <c r="C1836" s="4">
        <v>0</v>
      </c>
      <c r="D1836" s="21">
        <v>5</v>
      </c>
      <c r="F1836" s="57">
        <f t="shared" si="94"/>
        <v>0</v>
      </c>
    </row>
    <row r="1837" spans="1:6" x14ac:dyDescent="0.25">
      <c r="A1837" s="5" t="s">
        <v>22</v>
      </c>
      <c r="B1837" s="19">
        <v>43969</v>
      </c>
      <c r="C1837" s="4">
        <v>2</v>
      </c>
      <c r="D1837" s="21">
        <v>63</v>
      </c>
      <c r="F1837" s="57">
        <f t="shared" si="94"/>
        <v>0</v>
      </c>
    </row>
    <row r="1838" spans="1:6" x14ac:dyDescent="0.25">
      <c r="A1838" s="5" t="s">
        <v>18</v>
      </c>
      <c r="B1838" s="19">
        <v>43969</v>
      </c>
      <c r="C1838" s="4">
        <v>0</v>
      </c>
      <c r="D1838" s="21">
        <v>87</v>
      </c>
      <c r="F1838" s="57">
        <f t="shared" si="94"/>
        <v>0</v>
      </c>
    </row>
    <row r="1839" spans="1:6" x14ac:dyDescent="0.25">
      <c r="A1839" s="5" t="s">
        <v>24</v>
      </c>
      <c r="B1839" s="19">
        <v>43969</v>
      </c>
      <c r="C1839" s="4">
        <v>0</v>
      </c>
      <c r="D1839" s="21">
        <v>25</v>
      </c>
      <c r="F1839" s="57">
        <f t="shared" si="94"/>
        <v>0</v>
      </c>
    </row>
    <row r="1840" spans="1:6" x14ac:dyDescent="0.25">
      <c r="A1840" s="5" t="s">
        <v>20</v>
      </c>
      <c r="B1840" s="19">
        <v>43969</v>
      </c>
      <c r="C1840" s="4">
        <v>0</v>
      </c>
      <c r="D1840" s="21">
        <v>114</v>
      </c>
      <c r="F1840" s="57">
        <f t="shared" si="94"/>
        <v>0</v>
      </c>
    </row>
    <row r="1841" spans="1:6" x14ac:dyDescent="0.25">
      <c r="A1841" s="5" t="s">
        <v>19</v>
      </c>
      <c r="B1841" s="19">
        <v>43969</v>
      </c>
      <c r="C1841" s="4">
        <v>2</v>
      </c>
      <c r="D1841" s="21">
        <v>325</v>
      </c>
      <c r="F1841" s="57">
        <f t="shared" si="94"/>
        <v>0</v>
      </c>
    </row>
    <row r="1842" spans="1:6" x14ac:dyDescent="0.25">
      <c r="A1842" s="5" t="s">
        <v>35</v>
      </c>
      <c r="B1842" s="19">
        <v>43969</v>
      </c>
      <c r="C1842" s="4">
        <v>0</v>
      </c>
      <c r="D1842" s="21">
        <v>5</v>
      </c>
      <c r="F1842" s="57">
        <f t="shared" si="94"/>
        <v>1</v>
      </c>
    </row>
    <row r="1843" spans="1:6" x14ac:dyDescent="0.25">
      <c r="A1843" s="5" t="s">
        <v>36</v>
      </c>
      <c r="B1843" s="19">
        <v>43969</v>
      </c>
      <c r="C1843" s="4">
        <v>1</v>
      </c>
      <c r="D1843" s="21">
        <v>4</v>
      </c>
      <c r="F1843" s="57">
        <f>E1843+F1819</f>
        <v>0</v>
      </c>
    </row>
    <row r="1844" spans="1:6" x14ac:dyDescent="0.25">
      <c r="A1844" s="5" t="s">
        <v>37</v>
      </c>
      <c r="B1844" s="19">
        <v>43969</v>
      </c>
      <c r="C1844" s="4">
        <v>0</v>
      </c>
      <c r="D1844" s="21">
        <v>11</v>
      </c>
      <c r="F1844" s="57">
        <f t="shared" si="94"/>
        <v>0</v>
      </c>
    </row>
    <row r="1845" spans="1:6" x14ac:dyDescent="0.25">
      <c r="A1845" s="5" t="s">
        <v>38</v>
      </c>
      <c r="B1845" s="19">
        <v>43969</v>
      </c>
      <c r="C1845" s="4">
        <v>0</v>
      </c>
      <c r="D1845" s="21">
        <v>49</v>
      </c>
      <c r="F1845" s="57">
        <f t="shared" si="94"/>
        <v>0</v>
      </c>
    </row>
    <row r="1846" spans="1:6" x14ac:dyDescent="0.25">
      <c r="A1846" s="5" t="s">
        <v>23</v>
      </c>
      <c r="B1846" s="19">
        <v>43969</v>
      </c>
      <c r="C1846" s="4">
        <v>4</v>
      </c>
      <c r="D1846" s="21">
        <v>249</v>
      </c>
      <c r="F1846" s="57">
        <f>E1846+F1822</f>
        <v>3</v>
      </c>
    </row>
    <row r="1847" spans="1:6" x14ac:dyDescent="0.25">
      <c r="A1847" s="5" t="s">
        <v>39</v>
      </c>
      <c r="B1847" s="19">
        <v>43969</v>
      </c>
      <c r="C1847" s="4">
        <v>0</v>
      </c>
      <c r="D1847" s="21">
        <v>16</v>
      </c>
      <c r="F1847" s="57">
        <f>E1847+F1823</f>
        <v>0</v>
      </c>
    </row>
    <row r="1848" spans="1:6" x14ac:dyDescent="0.25">
      <c r="A1848" s="5" t="s">
        <v>40</v>
      </c>
      <c r="B1848" s="19">
        <v>43969</v>
      </c>
      <c r="C1848" s="4">
        <v>0</v>
      </c>
      <c r="D1848" s="21">
        <v>148</v>
      </c>
      <c r="F1848" s="57">
        <f t="shared" si="94"/>
        <v>0</v>
      </c>
    </row>
    <row r="1849" spans="1:6" x14ac:dyDescent="0.25">
      <c r="A1849" s="5" t="s">
        <v>41</v>
      </c>
      <c r="B1849" s="19">
        <v>43969</v>
      </c>
      <c r="C1849" s="4">
        <v>0</v>
      </c>
      <c r="D1849" s="21">
        <v>42</v>
      </c>
      <c r="F1849" s="57">
        <f>E1849+F1825</f>
        <v>3</v>
      </c>
    </row>
    <row r="1850" spans="1:6" x14ac:dyDescent="0.25">
      <c r="A1850" s="42" t="s">
        <v>17</v>
      </c>
      <c r="B1850" s="19">
        <v>43970</v>
      </c>
      <c r="C1850" s="4">
        <v>157</v>
      </c>
      <c r="D1850" s="21">
        <v>2918</v>
      </c>
      <c r="E1850" s="4">
        <v>2</v>
      </c>
      <c r="F1850" s="57">
        <f>E1850+F1826</f>
        <v>157</v>
      </c>
    </row>
    <row r="1851" spans="1:6" x14ac:dyDescent="0.25">
      <c r="A1851" s="5" t="s">
        <v>29</v>
      </c>
      <c r="B1851" s="19">
        <v>43970</v>
      </c>
      <c r="C1851" s="4">
        <v>0</v>
      </c>
      <c r="D1851" s="21">
        <v>0</v>
      </c>
      <c r="F1851" s="57">
        <f t="shared" ref="F1851:F1857" si="95">E1851+F1827</f>
        <v>0</v>
      </c>
    </row>
    <row r="1852" spans="1:6" x14ac:dyDescent="0.25">
      <c r="A1852" s="5" t="s">
        <v>16</v>
      </c>
      <c r="B1852" s="19">
        <v>43970</v>
      </c>
      <c r="C1852" s="4">
        <v>34</v>
      </c>
      <c r="D1852" s="21">
        <v>625</v>
      </c>
      <c r="E1852" s="4">
        <v>4</v>
      </c>
      <c r="F1852" s="57">
        <f t="shared" si="95"/>
        <v>33</v>
      </c>
    </row>
    <row r="1853" spans="1:6" x14ac:dyDescent="0.25">
      <c r="A1853" s="5" t="s">
        <v>30</v>
      </c>
      <c r="B1853" s="19">
        <v>43970</v>
      </c>
      <c r="C1853" s="4">
        <v>0</v>
      </c>
      <c r="D1853" s="21">
        <v>4</v>
      </c>
      <c r="F1853" s="57">
        <f t="shared" si="95"/>
        <v>1</v>
      </c>
    </row>
    <row r="1854" spans="1:6" x14ac:dyDescent="0.25">
      <c r="A1854" s="5" t="s">
        <v>44</v>
      </c>
      <c r="B1854" s="19">
        <v>43970</v>
      </c>
      <c r="C1854" s="4">
        <v>224</v>
      </c>
      <c r="D1854" s="21">
        <v>3565</v>
      </c>
      <c r="E1854" s="4">
        <v>5</v>
      </c>
      <c r="F1854" s="57">
        <f t="shared" si="95"/>
        <v>132</v>
      </c>
    </row>
    <row r="1855" spans="1:6" x14ac:dyDescent="0.25">
      <c r="A1855" s="5" t="s">
        <v>21</v>
      </c>
      <c r="B1855" s="19">
        <v>43970</v>
      </c>
      <c r="C1855" s="4">
        <v>9</v>
      </c>
      <c r="D1855" s="21">
        <v>427</v>
      </c>
      <c r="F1855" s="57">
        <f t="shared" si="95"/>
        <v>23</v>
      </c>
    </row>
    <row r="1856" spans="1:6" x14ac:dyDescent="0.25">
      <c r="A1856" s="5" t="s">
        <v>31</v>
      </c>
      <c r="B1856" s="19">
        <v>43970</v>
      </c>
      <c r="C1856" s="4">
        <v>0</v>
      </c>
      <c r="D1856" s="21">
        <v>78</v>
      </c>
      <c r="F1856" s="57">
        <f t="shared" si="95"/>
        <v>0</v>
      </c>
    </row>
    <row r="1857" spans="1:6" x14ac:dyDescent="0.25">
      <c r="A1857" s="5" t="s">
        <v>32</v>
      </c>
      <c r="B1857" s="19">
        <v>43970</v>
      </c>
      <c r="C1857" s="4">
        <v>0</v>
      </c>
      <c r="D1857" s="21">
        <v>29</v>
      </c>
      <c r="F1857" s="57">
        <f t="shared" si="95"/>
        <v>0</v>
      </c>
    </row>
    <row r="1858" spans="1:6" x14ac:dyDescent="0.25">
      <c r="A1858" s="5" t="s">
        <v>42</v>
      </c>
      <c r="B1858" s="19">
        <v>43970</v>
      </c>
      <c r="C1858" s="4">
        <v>0</v>
      </c>
      <c r="D1858" s="21">
        <v>0</v>
      </c>
      <c r="F1858" s="57">
        <f t="shared" ref="F1858:F1872" si="96">E1858+F1833</f>
        <v>0</v>
      </c>
    </row>
    <row r="1859" spans="1:6" x14ac:dyDescent="0.25">
      <c r="A1859" s="5" t="s">
        <v>33</v>
      </c>
      <c r="B1859" s="19">
        <v>43970</v>
      </c>
      <c r="C1859" s="4">
        <v>0</v>
      </c>
      <c r="D1859" s="21">
        <v>5</v>
      </c>
      <c r="F1859" s="57">
        <f t="shared" si="96"/>
        <v>0</v>
      </c>
    </row>
    <row r="1860" spans="1:6" x14ac:dyDescent="0.25">
      <c r="A1860" s="5" t="s">
        <v>34</v>
      </c>
      <c r="B1860" s="19">
        <v>43970</v>
      </c>
      <c r="C1860" s="4">
        <v>0</v>
      </c>
      <c r="D1860" s="21">
        <v>5</v>
      </c>
      <c r="F1860" s="57">
        <f t="shared" si="96"/>
        <v>0</v>
      </c>
    </row>
    <row r="1861" spans="1:6" x14ac:dyDescent="0.25">
      <c r="A1861" s="5" t="s">
        <v>22</v>
      </c>
      <c r="B1861" s="19">
        <v>43970</v>
      </c>
      <c r="C1861" s="4">
        <v>0</v>
      </c>
      <c r="D1861" s="21">
        <v>63</v>
      </c>
      <c r="F1861" s="57">
        <f t="shared" si="96"/>
        <v>0</v>
      </c>
    </row>
    <row r="1862" spans="1:6" x14ac:dyDescent="0.25">
      <c r="A1862" s="5" t="s">
        <v>18</v>
      </c>
      <c r="B1862" s="19">
        <v>43970</v>
      </c>
      <c r="C1862" s="4">
        <v>2</v>
      </c>
      <c r="D1862" s="21">
        <v>89</v>
      </c>
      <c r="F1862" s="57">
        <f t="shared" si="96"/>
        <v>0</v>
      </c>
    </row>
    <row r="1863" spans="1:6" x14ac:dyDescent="0.25">
      <c r="A1863" s="5" t="s">
        <v>24</v>
      </c>
      <c r="B1863" s="19">
        <v>43970</v>
      </c>
      <c r="C1863" s="4">
        <v>0</v>
      </c>
      <c r="D1863" s="21">
        <v>25</v>
      </c>
      <c r="F1863" s="57">
        <f t="shared" si="96"/>
        <v>0</v>
      </c>
    </row>
    <row r="1864" spans="1:6" x14ac:dyDescent="0.25">
      <c r="A1864" s="5" t="s">
        <v>20</v>
      </c>
      <c r="B1864" s="19">
        <v>43970</v>
      </c>
      <c r="C1864" s="4">
        <v>0</v>
      </c>
      <c r="D1864" s="21">
        <v>114</v>
      </c>
      <c r="F1864" s="57">
        <f t="shared" si="96"/>
        <v>0</v>
      </c>
    </row>
    <row r="1865" spans="1:6" x14ac:dyDescent="0.25">
      <c r="A1865" s="5" t="s">
        <v>19</v>
      </c>
      <c r="B1865" s="19">
        <v>43970</v>
      </c>
      <c r="C1865" s="4">
        <v>6</v>
      </c>
      <c r="D1865" s="21">
        <v>331</v>
      </c>
      <c r="F1865" s="57">
        <f t="shared" si="96"/>
        <v>0</v>
      </c>
    </row>
    <row r="1866" spans="1:6" x14ac:dyDescent="0.25">
      <c r="A1866" s="5" t="s">
        <v>35</v>
      </c>
      <c r="B1866" s="19">
        <v>43970</v>
      </c>
      <c r="C1866" s="4">
        <v>0</v>
      </c>
      <c r="D1866" s="21">
        <v>5</v>
      </c>
      <c r="F1866" s="57">
        <f t="shared" si="96"/>
        <v>0</v>
      </c>
    </row>
    <row r="1867" spans="1:6" x14ac:dyDescent="0.25">
      <c r="A1867" s="5" t="s">
        <v>36</v>
      </c>
      <c r="B1867" s="19">
        <v>43970</v>
      </c>
      <c r="C1867" s="4">
        <v>0</v>
      </c>
      <c r="D1867" s="21">
        <v>4</v>
      </c>
      <c r="F1867" s="57">
        <f>E1867+F1843</f>
        <v>0</v>
      </c>
    </row>
    <row r="1868" spans="1:6" x14ac:dyDescent="0.25">
      <c r="A1868" s="5" t="s">
        <v>37</v>
      </c>
      <c r="B1868" s="19">
        <v>43970</v>
      </c>
      <c r="C1868" s="4">
        <v>0</v>
      </c>
      <c r="D1868" s="21">
        <v>11</v>
      </c>
      <c r="F1868" s="57">
        <f t="shared" si="96"/>
        <v>0</v>
      </c>
    </row>
    <row r="1869" spans="1:6" x14ac:dyDescent="0.25">
      <c r="A1869" s="5" t="s">
        <v>38</v>
      </c>
      <c r="B1869" s="19">
        <v>43970</v>
      </c>
      <c r="C1869" s="4">
        <v>0</v>
      </c>
      <c r="D1869" s="21">
        <v>49</v>
      </c>
      <c r="F1869" s="57">
        <f t="shared" si="96"/>
        <v>0</v>
      </c>
    </row>
    <row r="1870" spans="1:6" x14ac:dyDescent="0.25">
      <c r="A1870" s="5" t="s">
        <v>23</v>
      </c>
      <c r="B1870" s="19">
        <v>43970</v>
      </c>
      <c r="C1870" s="4">
        <v>0</v>
      </c>
      <c r="D1870" s="21">
        <v>249</v>
      </c>
      <c r="F1870" s="57">
        <f>E1870+F1846</f>
        <v>3</v>
      </c>
    </row>
    <row r="1871" spans="1:6" x14ac:dyDescent="0.25">
      <c r="A1871" s="5" t="s">
        <v>39</v>
      </c>
      <c r="B1871" s="19">
        <v>43970</v>
      </c>
      <c r="C1871" s="4">
        <v>6</v>
      </c>
      <c r="D1871" s="21">
        <v>22</v>
      </c>
      <c r="F1871" s="57">
        <f>E1871+F1847</f>
        <v>0</v>
      </c>
    </row>
    <row r="1872" spans="1:6" x14ac:dyDescent="0.25">
      <c r="A1872" s="5" t="s">
        <v>40</v>
      </c>
      <c r="B1872" s="19">
        <v>43970</v>
      </c>
      <c r="C1872" s="4">
        <v>0</v>
      </c>
      <c r="D1872" s="21">
        <v>148</v>
      </c>
      <c r="F1872" s="57">
        <f t="shared" si="96"/>
        <v>0</v>
      </c>
    </row>
    <row r="1873" spans="1:6" x14ac:dyDescent="0.25">
      <c r="A1873" s="5" t="s">
        <v>41</v>
      </c>
      <c r="B1873" s="19">
        <v>43970</v>
      </c>
      <c r="C1873" s="4">
        <v>0</v>
      </c>
      <c r="D1873" s="21">
        <v>42</v>
      </c>
      <c r="F1873" s="57">
        <f>E1873+F1849</f>
        <v>3</v>
      </c>
    </row>
    <row r="1874" spans="1:6" x14ac:dyDescent="0.25">
      <c r="A1874" s="42" t="s">
        <v>17</v>
      </c>
      <c r="B1874" s="19">
        <v>43971</v>
      </c>
      <c r="C1874" s="4">
        <v>178</v>
      </c>
      <c r="D1874" s="21">
        <v>3096</v>
      </c>
      <c r="E1874" s="4">
        <v>5</v>
      </c>
      <c r="F1874" s="57">
        <f>E1874+F1850</f>
        <v>162</v>
      </c>
    </row>
    <row r="1875" spans="1:6" x14ac:dyDescent="0.25">
      <c r="A1875" s="5" t="s">
        <v>29</v>
      </c>
      <c r="B1875" s="19">
        <v>43971</v>
      </c>
      <c r="C1875" s="4">
        <v>0</v>
      </c>
      <c r="D1875" s="21">
        <v>0</v>
      </c>
      <c r="F1875" s="57">
        <f t="shared" ref="F1875:F1881" si="97">E1875+F1851</f>
        <v>0</v>
      </c>
    </row>
    <row r="1876" spans="1:6" x14ac:dyDescent="0.25">
      <c r="A1876" s="5" t="s">
        <v>16</v>
      </c>
      <c r="B1876" s="19">
        <v>43971</v>
      </c>
      <c r="C1876" s="4">
        <v>35</v>
      </c>
      <c r="D1876" s="21">
        <v>660</v>
      </c>
      <c r="E1876" s="4">
        <v>1</v>
      </c>
      <c r="F1876" s="57">
        <f t="shared" si="97"/>
        <v>34</v>
      </c>
    </row>
    <row r="1877" spans="1:6" x14ac:dyDescent="0.25">
      <c r="A1877" s="5" t="s">
        <v>30</v>
      </c>
      <c r="B1877" s="19">
        <v>43971</v>
      </c>
      <c r="C1877" s="4">
        <v>0</v>
      </c>
      <c r="D1877" s="21">
        <v>4</v>
      </c>
      <c r="F1877" s="57">
        <f t="shared" si="97"/>
        <v>1</v>
      </c>
    </row>
    <row r="1878" spans="1:6" x14ac:dyDescent="0.25">
      <c r="A1878" s="5" t="s">
        <v>44</v>
      </c>
      <c r="B1878" s="19">
        <v>43971</v>
      </c>
      <c r="C1878" s="4">
        <v>257</v>
      </c>
      <c r="D1878" s="21">
        <v>3822</v>
      </c>
      <c r="E1878" s="4">
        <v>2</v>
      </c>
      <c r="F1878" s="57">
        <f>E1878+F1854</f>
        <v>134</v>
      </c>
    </row>
    <row r="1879" spans="1:6" x14ac:dyDescent="0.25">
      <c r="A1879" s="5" t="s">
        <v>21</v>
      </c>
      <c r="B1879" s="19">
        <v>43971</v>
      </c>
      <c r="C1879" s="4">
        <v>2</v>
      </c>
      <c r="D1879" s="21">
        <v>429</v>
      </c>
      <c r="E1879" s="4">
        <v>1</v>
      </c>
      <c r="F1879" s="57">
        <f t="shared" si="97"/>
        <v>24</v>
      </c>
    </row>
    <row r="1880" spans="1:6" x14ac:dyDescent="0.25">
      <c r="A1880" s="5" t="s">
        <v>31</v>
      </c>
      <c r="B1880" s="19">
        <v>43971</v>
      </c>
      <c r="C1880" s="4">
        <v>0</v>
      </c>
      <c r="D1880" s="21">
        <v>78</v>
      </c>
      <c r="F1880" s="57">
        <f t="shared" si="97"/>
        <v>0</v>
      </c>
    </row>
    <row r="1881" spans="1:6" x14ac:dyDescent="0.25">
      <c r="A1881" s="5" t="s">
        <v>32</v>
      </c>
      <c r="B1881" s="19">
        <v>43971</v>
      </c>
      <c r="C1881" s="4">
        <v>0</v>
      </c>
      <c r="D1881" s="21">
        <v>29</v>
      </c>
      <c r="F1881" s="57">
        <f t="shared" si="97"/>
        <v>0</v>
      </c>
    </row>
    <row r="1882" spans="1:6" x14ac:dyDescent="0.25">
      <c r="A1882" s="5" t="s">
        <v>42</v>
      </c>
      <c r="B1882" s="19">
        <v>43971</v>
      </c>
      <c r="C1882" s="4">
        <v>0</v>
      </c>
      <c r="D1882" s="21">
        <v>0</v>
      </c>
      <c r="F1882" s="57">
        <f t="shared" ref="F1882:F1896" si="98">E1882+F1857</f>
        <v>0</v>
      </c>
    </row>
    <row r="1883" spans="1:6" x14ac:dyDescent="0.25">
      <c r="A1883" s="5" t="s">
        <v>33</v>
      </c>
      <c r="B1883" s="19">
        <v>43971</v>
      </c>
      <c r="C1883" s="4">
        <v>0</v>
      </c>
      <c r="D1883" s="21">
        <v>5</v>
      </c>
      <c r="F1883" s="57">
        <f t="shared" si="98"/>
        <v>0</v>
      </c>
    </row>
    <row r="1884" spans="1:6" x14ac:dyDescent="0.25">
      <c r="A1884" s="5" t="s">
        <v>34</v>
      </c>
      <c r="B1884" s="19">
        <v>43971</v>
      </c>
      <c r="C1884" s="4">
        <v>0</v>
      </c>
      <c r="D1884" s="21">
        <v>5</v>
      </c>
      <c r="F1884" s="57">
        <f t="shared" si="98"/>
        <v>0</v>
      </c>
    </row>
    <row r="1885" spans="1:6" x14ac:dyDescent="0.25">
      <c r="A1885" s="5" t="s">
        <v>22</v>
      </c>
      <c r="B1885" s="19">
        <v>43971</v>
      </c>
      <c r="C1885" s="4">
        <v>0</v>
      </c>
      <c r="D1885" s="21">
        <v>63</v>
      </c>
      <c r="F1885" s="57">
        <f t="shared" si="98"/>
        <v>0</v>
      </c>
    </row>
    <row r="1886" spans="1:6" x14ac:dyDescent="0.25">
      <c r="A1886" s="5" t="s">
        <v>18</v>
      </c>
      <c r="B1886" s="19">
        <v>43971</v>
      </c>
      <c r="C1886" s="4">
        <v>0</v>
      </c>
      <c r="D1886" s="21">
        <v>89</v>
      </c>
      <c r="F1886" s="57">
        <f t="shared" si="98"/>
        <v>0</v>
      </c>
    </row>
    <row r="1887" spans="1:6" x14ac:dyDescent="0.25">
      <c r="A1887" s="5" t="s">
        <v>24</v>
      </c>
      <c r="B1887" s="19">
        <v>43971</v>
      </c>
      <c r="C1887" s="4">
        <v>0</v>
      </c>
      <c r="D1887" s="21">
        <v>25</v>
      </c>
      <c r="F1887" s="57">
        <f t="shared" si="98"/>
        <v>0</v>
      </c>
    </row>
    <row r="1888" spans="1:6" x14ac:dyDescent="0.25">
      <c r="A1888" s="5" t="s">
        <v>20</v>
      </c>
      <c r="B1888" s="19">
        <v>43971</v>
      </c>
      <c r="C1888" s="4">
        <v>0</v>
      </c>
      <c r="D1888" s="21">
        <v>114</v>
      </c>
      <c r="F1888" s="57">
        <f t="shared" si="98"/>
        <v>0</v>
      </c>
    </row>
    <row r="1889" spans="1:6" x14ac:dyDescent="0.25">
      <c r="A1889" s="5" t="s">
        <v>19</v>
      </c>
      <c r="B1889" s="19">
        <v>43971</v>
      </c>
      <c r="C1889" s="4">
        <v>2</v>
      </c>
      <c r="D1889" s="21">
        <v>333</v>
      </c>
      <c r="E1889" s="4">
        <v>1</v>
      </c>
      <c r="F1889" s="57">
        <f t="shared" si="98"/>
        <v>1</v>
      </c>
    </row>
    <row r="1890" spans="1:6" x14ac:dyDescent="0.25">
      <c r="A1890" s="5" t="s">
        <v>35</v>
      </c>
      <c r="B1890" s="19">
        <v>43971</v>
      </c>
      <c r="C1890" s="4">
        <v>0</v>
      </c>
      <c r="D1890" s="21">
        <v>5</v>
      </c>
      <c r="F1890" s="57">
        <f t="shared" si="98"/>
        <v>0</v>
      </c>
    </row>
    <row r="1891" spans="1:6" x14ac:dyDescent="0.25">
      <c r="A1891" s="5" t="s">
        <v>36</v>
      </c>
      <c r="B1891" s="19">
        <v>43971</v>
      </c>
      <c r="C1891" s="4">
        <v>0</v>
      </c>
      <c r="D1891" s="21">
        <v>4</v>
      </c>
      <c r="F1891" s="57">
        <f>E1891+F1867</f>
        <v>0</v>
      </c>
    </row>
    <row r="1892" spans="1:6" x14ac:dyDescent="0.25">
      <c r="A1892" s="5" t="s">
        <v>37</v>
      </c>
      <c r="B1892" s="19">
        <v>43971</v>
      </c>
      <c r="C1892" s="4">
        <v>0</v>
      </c>
      <c r="D1892" s="21">
        <v>11</v>
      </c>
      <c r="F1892" s="57">
        <f t="shared" si="98"/>
        <v>0</v>
      </c>
    </row>
    <row r="1893" spans="1:6" x14ac:dyDescent="0.25">
      <c r="A1893" s="5" t="s">
        <v>38</v>
      </c>
      <c r="B1893" s="19">
        <v>43971</v>
      </c>
      <c r="C1893" s="4">
        <v>0</v>
      </c>
      <c r="D1893" s="21">
        <v>49</v>
      </c>
      <c r="F1893" s="57">
        <f t="shared" si="98"/>
        <v>0</v>
      </c>
    </row>
    <row r="1894" spans="1:6" x14ac:dyDescent="0.25">
      <c r="A1894" s="5" t="s">
        <v>23</v>
      </c>
      <c r="B1894" s="19">
        <v>43971</v>
      </c>
      <c r="C1894" s="4">
        <v>0</v>
      </c>
      <c r="D1894" s="21">
        <v>249</v>
      </c>
      <c r="F1894" s="57">
        <f>E1894+F1870</f>
        <v>3</v>
      </c>
    </row>
    <row r="1895" spans="1:6" x14ac:dyDescent="0.25">
      <c r="A1895" s="5" t="s">
        <v>39</v>
      </c>
      <c r="B1895" s="19">
        <v>43971</v>
      </c>
      <c r="C1895" s="4">
        <v>0</v>
      </c>
      <c r="D1895" s="21">
        <v>22</v>
      </c>
      <c r="F1895" s="57">
        <f>E1895+F1871</f>
        <v>0</v>
      </c>
    </row>
    <row r="1896" spans="1:6" x14ac:dyDescent="0.25">
      <c r="A1896" s="5" t="s">
        <v>40</v>
      </c>
      <c r="B1896" s="19">
        <v>43971</v>
      </c>
      <c r="C1896" s="4">
        <v>0</v>
      </c>
      <c r="D1896" s="21">
        <v>148</v>
      </c>
      <c r="F1896" s="57">
        <f t="shared" si="98"/>
        <v>0</v>
      </c>
    </row>
    <row r="1897" spans="1:6" x14ac:dyDescent="0.25">
      <c r="A1897" s="5" t="s">
        <v>41</v>
      </c>
      <c r="B1897" s="19">
        <v>43971</v>
      </c>
      <c r="C1897" s="4">
        <v>0</v>
      </c>
      <c r="D1897" s="21">
        <v>42</v>
      </c>
      <c r="F1897" s="57">
        <f>E1897+F1873</f>
        <v>3</v>
      </c>
    </row>
    <row r="1898" spans="1:6" x14ac:dyDescent="0.25">
      <c r="A1898" s="42" t="s">
        <v>17</v>
      </c>
      <c r="B1898" s="19">
        <v>43972</v>
      </c>
      <c r="C1898" s="4">
        <v>213</v>
      </c>
      <c r="D1898" s="21">
        <v>3309</v>
      </c>
      <c r="E1898" s="4">
        <v>9</v>
      </c>
      <c r="F1898" s="57">
        <f>E1898+F1874</f>
        <v>171</v>
      </c>
    </row>
    <row r="1899" spans="1:6" x14ac:dyDescent="0.25">
      <c r="A1899" s="5" t="s">
        <v>29</v>
      </c>
      <c r="B1899" s="19">
        <v>43972</v>
      </c>
      <c r="C1899" s="4">
        <v>0</v>
      </c>
      <c r="D1899" s="21">
        <v>0</v>
      </c>
      <c r="F1899" s="57">
        <f t="shared" ref="F1899:F1905" si="99">E1899+F1875</f>
        <v>0</v>
      </c>
    </row>
    <row r="1900" spans="1:6" x14ac:dyDescent="0.25">
      <c r="A1900" s="5" t="s">
        <v>16</v>
      </c>
      <c r="B1900" s="19">
        <v>43972</v>
      </c>
      <c r="C1900" s="4">
        <v>34</v>
      </c>
      <c r="D1900" s="21">
        <v>694</v>
      </c>
      <c r="E1900" s="4">
        <v>2</v>
      </c>
      <c r="F1900" s="57">
        <f t="shared" si="99"/>
        <v>36</v>
      </c>
    </row>
    <row r="1901" spans="1:6" x14ac:dyDescent="0.25">
      <c r="A1901" s="5" t="s">
        <v>30</v>
      </c>
      <c r="B1901" s="19">
        <v>43972</v>
      </c>
      <c r="C1901" s="4">
        <v>0</v>
      </c>
      <c r="D1901" s="21">
        <v>4</v>
      </c>
      <c r="F1901" s="57">
        <f t="shared" si="99"/>
        <v>1</v>
      </c>
    </row>
    <row r="1902" spans="1:6" x14ac:dyDescent="0.25">
      <c r="A1902" s="5" t="s">
        <v>44</v>
      </c>
      <c r="B1902" s="19">
        <v>43972</v>
      </c>
      <c r="C1902" s="4">
        <v>379</v>
      </c>
      <c r="D1902" s="21">
        <v>4201</v>
      </c>
      <c r="E1902" s="4">
        <v>2</v>
      </c>
      <c r="F1902" s="57">
        <f>E1902+F1878</f>
        <v>136</v>
      </c>
    </row>
    <row r="1903" spans="1:6" x14ac:dyDescent="0.25">
      <c r="A1903" s="5" t="s">
        <v>21</v>
      </c>
      <c r="B1903" s="19">
        <v>43972</v>
      </c>
      <c r="C1903" s="4">
        <v>12</v>
      </c>
      <c r="D1903" s="21">
        <v>441</v>
      </c>
      <c r="F1903" s="57">
        <f t="shared" si="99"/>
        <v>24</v>
      </c>
    </row>
    <row r="1904" spans="1:6" x14ac:dyDescent="0.25">
      <c r="A1904" s="5" t="s">
        <v>31</v>
      </c>
      <c r="B1904" s="19">
        <v>43972</v>
      </c>
      <c r="C1904" s="4">
        <v>0</v>
      </c>
      <c r="D1904" s="21">
        <v>78</v>
      </c>
      <c r="F1904" s="57">
        <f t="shared" si="99"/>
        <v>0</v>
      </c>
    </row>
    <row r="1905" spans="1:6" x14ac:dyDescent="0.25">
      <c r="A1905" s="5" t="s">
        <v>32</v>
      </c>
      <c r="B1905" s="19">
        <v>43972</v>
      </c>
      <c r="C1905" s="4">
        <v>0</v>
      </c>
      <c r="D1905" s="21">
        <v>29</v>
      </c>
      <c r="F1905" s="57">
        <f t="shared" si="99"/>
        <v>0</v>
      </c>
    </row>
    <row r="1906" spans="1:6" x14ac:dyDescent="0.25">
      <c r="A1906" s="5" t="s">
        <v>42</v>
      </c>
      <c r="B1906" s="19">
        <v>43972</v>
      </c>
      <c r="C1906" s="4">
        <v>0</v>
      </c>
      <c r="D1906" s="21">
        <v>0</v>
      </c>
      <c r="F1906" s="57">
        <f t="shared" ref="F1906:F1920" si="100">E1906+F1881</f>
        <v>0</v>
      </c>
    </row>
    <row r="1907" spans="1:6" x14ac:dyDescent="0.25">
      <c r="A1907" s="5" t="s">
        <v>33</v>
      </c>
      <c r="B1907" s="19">
        <v>43972</v>
      </c>
      <c r="C1907" s="4">
        <v>0</v>
      </c>
      <c r="D1907" s="21">
        <v>5</v>
      </c>
      <c r="F1907" s="57">
        <f t="shared" si="100"/>
        <v>0</v>
      </c>
    </row>
    <row r="1908" spans="1:6" x14ac:dyDescent="0.25">
      <c r="A1908" s="5" t="s">
        <v>34</v>
      </c>
      <c r="B1908" s="19">
        <v>43972</v>
      </c>
      <c r="C1908" s="4">
        <v>0</v>
      </c>
      <c r="D1908" s="21">
        <v>5</v>
      </c>
      <c r="F1908" s="57">
        <f t="shared" si="100"/>
        <v>0</v>
      </c>
    </row>
    <row r="1909" spans="1:6" x14ac:dyDescent="0.25">
      <c r="A1909" s="5" t="s">
        <v>22</v>
      </c>
      <c r="B1909" s="19">
        <v>43972</v>
      </c>
      <c r="C1909" s="4">
        <v>0</v>
      </c>
      <c r="D1909" s="21">
        <v>63</v>
      </c>
      <c r="F1909" s="57">
        <f t="shared" si="100"/>
        <v>0</v>
      </c>
    </row>
    <row r="1910" spans="1:6" x14ac:dyDescent="0.25">
      <c r="A1910" s="5" t="s">
        <v>18</v>
      </c>
      <c r="B1910" s="19">
        <v>43972</v>
      </c>
      <c r="C1910" s="4">
        <v>1</v>
      </c>
      <c r="D1910" s="21">
        <v>90</v>
      </c>
      <c r="F1910" s="57">
        <f t="shared" si="100"/>
        <v>0</v>
      </c>
    </row>
    <row r="1911" spans="1:6" x14ac:dyDescent="0.25">
      <c r="A1911" s="5" t="s">
        <v>24</v>
      </c>
      <c r="B1911" s="19">
        <v>43972</v>
      </c>
      <c r="C1911" s="4">
        <v>0</v>
      </c>
      <c r="D1911" s="21">
        <v>25</v>
      </c>
      <c r="F1911" s="57">
        <f t="shared" si="100"/>
        <v>0</v>
      </c>
    </row>
    <row r="1912" spans="1:6" x14ac:dyDescent="0.25">
      <c r="A1912" s="5" t="s">
        <v>20</v>
      </c>
      <c r="B1912" s="19">
        <v>43972</v>
      </c>
      <c r="C1912" s="4">
        <v>0</v>
      </c>
      <c r="D1912" s="21">
        <v>114</v>
      </c>
      <c r="F1912" s="57">
        <f t="shared" si="100"/>
        <v>0</v>
      </c>
    </row>
    <row r="1913" spans="1:6" x14ac:dyDescent="0.25">
      <c r="A1913" s="5" t="s">
        <v>19</v>
      </c>
      <c r="B1913" s="19">
        <v>43972</v>
      </c>
      <c r="C1913" s="4">
        <v>3</v>
      </c>
      <c r="D1913" s="21">
        <v>336</v>
      </c>
      <c r="F1913" s="57">
        <f t="shared" si="100"/>
        <v>0</v>
      </c>
    </row>
    <row r="1914" spans="1:6" x14ac:dyDescent="0.25">
      <c r="A1914" s="5" t="s">
        <v>35</v>
      </c>
      <c r="B1914" s="19">
        <v>43972</v>
      </c>
      <c r="C1914" s="4">
        <v>0</v>
      </c>
      <c r="D1914" s="21">
        <v>5</v>
      </c>
      <c r="F1914" s="57">
        <f t="shared" si="100"/>
        <v>1</v>
      </c>
    </row>
    <row r="1915" spans="1:6" x14ac:dyDescent="0.25">
      <c r="A1915" s="5" t="s">
        <v>36</v>
      </c>
      <c r="B1915" s="19">
        <v>43972</v>
      </c>
      <c r="C1915" s="4">
        <v>0</v>
      </c>
      <c r="D1915" s="21">
        <v>4</v>
      </c>
      <c r="F1915" s="57">
        <f>E1915+F1891</f>
        <v>0</v>
      </c>
    </row>
    <row r="1916" spans="1:6" x14ac:dyDescent="0.25">
      <c r="A1916" s="5" t="s">
        <v>37</v>
      </c>
      <c r="B1916" s="19">
        <v>43972</v>
      </c>
      <c r="C1916" s="4">
        <v>0</v>
      </c>
      <c r="D1916" s="21">
        <v>11</v>
      </c>
      <c r="F1916" s="57">
        <f t="shared" si="100"/>
        <v>0</v>
      </c>
    </row>
    <row r="1917" spans="1:6" x14ac:dyDescent="0.25">
      <c r="A1917" s="5" t="s">
        <v>38</v>
      </c>
      <c r="B1917" s="19">
        <v>43972</v>
      </c>
      <c r="C1917" s="4">
        <v>0</v>
      </c>
      <c r="D1917" s="21">
        <v>49</v>
      </c>
      <c r="F1917" s="57">
        <f t="shared" si="100"/>
        <v>0</v>
      </c>
    </row>
    <row r="1918" spans="1:6" x14ac:dyDescent="0.25">
      <c r="A1918" s="5" t="s">
        <v>23</v>
      </c>
      <c r="B1918" s="19">
        <v>43972</v>
      </c>
      <c r="C1918" s="4">
        <v>5</v>
      </c>
      <c r="D1918" s="21">
        <v>254</v>
      </c>
      <c r="F1918" s="57">
        <f>E1918+F1894</f>
        <v>3</v>
      </c>
    </row>
    <row r="1919" spans="1:6" x14ac:dyDescent="0.25">
      <c r="A1919" s="5" t="s">
        <v>39</v>
      </c>
      <c r="B1919" s="19">
        <v>43972</v>
      </c>
      <c r="C1919" s="4">
        <v>0</v>
      </c>
      <c r="D1919" s="21">
        <v>22</v>
      </c>
      <c r="F1919" s="57">
        <f>E1919+F1895</f>
        <v>0</v>
      </c>
    </row>
    <row r="1920" spans="1:6" x14ac:dyDescent="0.25">
      <c r="A1920" s="5" t="s">
        <v>40</v>
      </c>
      <c r="B1920" s="19">
        <v>43972</v>
      </c>
      <c r="C1920" s="4">
        <v>0</v>
      </c>
      <c r="D1920" s="21">
        <v>148</v>
      </c>
      <c r="F1920" s="57">
        <f t="shared" si="100"/>
        <v>0</v>
      </c>
    </row>
    <row r="1921" spans="1:6" x14ac:dyDescent="0.25">
      <c r="A1921" s="5" t="s">
        <v>41</v>
      </c>
      <c r="B1921" s="19">
        <v>43972</v>
      </c>
      <c r="C1921" s="4">
        <v>1</v>
      </c>
      <c r="D1921" s="21">
        <v>43</v>
      </c>
      <c r="F1921" s="57">
        <f>E1921+F1897</f>
        <v>3</v>
      </c>
    </row>
    <row r="1922" spans="1:6" x14ac:dyDescent="0.25">
      <c r="A1922" s="42" t="s">
        <v>17</v>
      </c>
      <c r="B1922" s="19">
        <v>43973</v>
      </c>
      <c r="C1922" s="4">
        <v>266</v>
      </c>
      <c r="D1922" s="21">
        <v>3575</v>
      </c>
      <c r="E1922" s="4">
        <v>5</v>
      </c>
      <c r="F1922" s="57">
        <f>E1922+F1898</f>
        <v>176</v>
      </c>
    </row>
    <row r="1923" spans="1:6" x14ac:dyDescent="0.25">
      <c r="A1923" s="5" t="s">
        <v>29</v>
      </c>
      <c r="B1923" s="19">
        <v>43973</v>
      </c>
      <c r="C1923" s="4">
        <v>0</v>
      </c>
      <c r="D1923" s="21">
        <v>0</v>
      </c>
      <c r="F1923" s="57">
        <f t="shared" ref="F1923:F1929" si="101">E1923+F1899</f>
        <v>0</v>
      </c>
    </row>
    <row r="1924" spans="1:6" x14ac:dyDescent="0.25">
      <c r="A1924" s="5" t="s">
        <v>16</v>
      </c>
      <c r="B1924" s="19">
        <v>43973</v>
      </c>
      <c r="C1924" s="4">
        <v>27</v>
      </c>
      <c r="D1924" s="21">
        <v>721</v>
      </c>
      <c r="E1924" s="4">
        <v>2</v>
      </c>
      <c r="F1924" s="57">
        <f t="shared" si="101"/>
        <v>38</v>
      </c>
    </row>
    <row r="1925" spans="1:6" x14ac:dyDescent="0.25">
      <c r="A1925" s="5" t="s">
        <v>30</v>
      </c>
      <c r="B1925" s="19">
        <v>43973</v>
      </c>
      <c r="C1925" s="4">
        <v>0</v>
      </c>
      <c r="D1925" s="21">
        <v>4</v>
      </c>
      <c r="F1925" s="57">
        <f t="shared" si="101"/>
        <v>1</v>
      </c>
    </row>
    <row r="1926" spans="1:6" x14ac:dyDescent="0.25">
      <c r="A1926" s="5" t="s">
        <v>44</v>
      </c>
      <c r="B1926" s="19">
        <v>43973</v>
      </c>
      <c r="C1926" s="4">
        <v>404</v>
      </c>
      <c r="D1926" s="21">
        <v>4605</v>
      </c>
      <c r="E1926" s="4">
        <v>7</v>
      </c>
      <c r="F1926" s="57">
        <f t="shared" si="101"/>
        <v>143</v>
      </c>
    </row>
    <row r="1927" spans="1:6" x14ac:dyDescent="0.25">
      <c r="A1927" s="5" t="s">
        <v>21</v>
      </c>
      <c r="B1927" s="19">
        <v>43973</v>
      </c>
      <c r="C1927" s="4">
        <v>9</v>
      </c>
      <c r="D1927" s="21">
        <v>450</v>
      </c>
      <c r="E1927" s="4">
        <v>1</v>
      </c>
      <c r="F1927" s="57">
        <f t="shared" si="101"/>
        <v>25</v>
      </c>
    </row>
    <row r="1928" spans="1:6" x14ac:dyDescent="0.25">
      <c r="A1928" s="5" t="s">
        <v>31</v>
      </c>
      <c r="B1928" s="19">
        <v>43973</v>
      </c>
      <c r="C1928" s="4">
        <v>0</v>
      </c>
      <c r="D1928" s="21">
        <v>78</v>
      </c>
      <c r="F1928" s="57">
        <f t="shared" si="101"/>
        <v>0</v>
      </c>
    </row>
    <row r="1929" spans="1:6" x14ac:dyDescent="0.25">
      <c r="A1929" s="5" t="s">
        <v>32</v>
      </c>
      <c r="B1929" s="19">
        <v>43973</v>
      </c>
      <c r="C1929" s="4">
        <v>0</v>
      </c>
      <c r="D1929" s="21">
        <v>29</v>
      </c>
      <c r="F1929" s="57">
        <f t="shared" si="101"/>
        <v>0</v>
      </c>
    </row>
    <row r="1930" spans="1:6" x14ac:dyDescent="0.25">
      <c r="A1930" s="5" t="s">
        <v>42</v>
      </c>
      <c r="B1930" s="19">
        <v>43973</v>
      </c>
      <c r="C1930" s="4">
        <v>0</v>
      </c>
      <c r="D1930" s="21">
        <v>0</v>
      </c>
      <c r="F1930" s="57">
        <f t="shared" ref="F1930:F1944" si="102">E1930+F1905</f>
        <v>0</v>
      </c>
    </row>
    <row r="1931" spans="1:6" x14ac:dyDescent="0.25">
      <c r="A1931" s="5" t="s">
        <v>33</v>
      </c>
      <c r="B1931" s="19">
        <v>43973</v>
      </c>
      <c r="C1931" s="4">
        <v>0</v>
      </c>
      <c r="D1931" s="21">
        <v>5</v>
      </c>
      <c r="F1931" s="57">
        <f t="shared" si="102"/>
        <v>0</v>
      </c>
    </row>
    <row r="1932" spans="1:6" x14ac:dyDescent="0.25">
      <c r="A1932" s="5" t="s">
        <v>34</v>
      </c>
      <c r="B1932" s="19">
        <v>43973</v>
      </c>
      <c r="C1932" s="4">
        <v>0</v>
      </c>
      <c r="D1932" s="21">
        <v>5</v>
      </c>
      <c r="F1932" s="57">
        <f t="shared" si="102"/>
        <v>0</v>
      </c>
    </row>
    <row r="1933" spans="1:6" x14ac:dyDescent="0.25">
      <c r="A1933" s="5" t="s">
        <v>22</v>
      </c>
      <c r="B1933" s="19">
        <v>43973</v>
      </c>
      <c r="C1933" s="4">
        <v>0</v>
      </c>
      <c r="D1933" s="21">
        <v>63</v>
      </c>
      <c r="F1933" s="57">
        <f t="shared" si="102"/>
        <v>0</v>
      </c>
    </row>
    <row r="1934" spans="1:6" x14ac:dyDescent="0.25">
      <c r="A1934" s="5" t="s">
        <v>18</v>
      </c>
      <c r="B1934" s="19">
        <v>43973</v>
      </c>
      <c r="C1934" s="4">
        <v>0</v>
      </c>
      <c r="D1934" s="21">
        <v>90</v>
      </c>
      <c r="F1934" s="57">
        <f t="shared" si="102"/>
        <v>0</v>
      </c>
    </row>
    <row r="1935" spans="1:6" x14ac:dyDescent="0.25">
      <c r="A1935" s="5" t="s">
        <v>24</v>
      </c>
      <c r="B1935" s="19">
        <v>43973</v>
      </c>
      <c r="C1935" s="4">
        <v>0</v>
      </c>
      <c r="D1935" s="21">
        <v>25</v>
      </c>
      <c r="F1935" s="57">
        <f t="shared" si="102"/>
        <v>0</v>
      </c>
    </row>
    <row r="1936" spans="1:6" x14ac:dyDescent="0.25">
      <c r="A1936" s="5" t="s">
        <v>20</v>
      </c>
      <c r="B1936" s="19">
        <v>43973</v>
      </c>
      <c r="C1936" s="4">
        <v>0</v>
      </c>
      <c r="D1936" s="21">
        <v>114</v>
      </c>
      <c r="F1936" s="57">
        <f t="shared" si="102"/>
        <v>0</v>
      </c>
    </row>
    <row r="1937" spans="1:6" x14ac:dyDescent="0.25">
      <c r="A1937" s="5" t="s">
        <v>19</v>
      </c>
      <c r="B1937" s="19">
        <v>43973</v>
      </c>
      <c r="C1937" s="4">
        <v>6</v>
      </c>
      <c r="D1937" s="21">
        <v>342</v>
      </c>
      <c r="E1937" s="4">
        <v>2</v>
      </c>
      <c r="F1937" s="57">
        <f t="shared" si="102"/>
        <v>2</v>
      </c>
    </row>
    <row r="1938" spans="1:6" x14ac:dyDescent="0.25">
      <c r="A1938" s="5" t="s">
        <v>35</v>
      </c>
      <c r="B1938" s="19">
        <v>43973</v>
      </c>
      <c r="C1938" s="4">
        <v>2</v>
      </c>
      <c r="D1938" s="21">
        <v>7</v>
      </c>
      <c r="F1938" s="57">
        <f t="shared" si="102"/>
        <v>0</v>
      </c>
    </row>
    <row r="1939" spans="1:6" x14ac:dyDescent="0.25">
      <c r="A1939" s="5" t="s">
        <v>36</v>
      </c>
      <c r="B1939" s="19">
        <v>43973</v>
      </c>
      <c r="C1939" s="4">
        <v>0</v>
      </c>
      <c r="D1939" s="21">
        <v>4</v>
      </c>
      <c r="F1939" s="57">
        <f>E1939+F1915</f>
        <v>0</v>
      </c>
    </row>
    <row r="1940" spans="1:6" x14ac:dyDescent="0.25">
      <c r="A1940" s="5" t="s">
        <v>37</v>
      </c>
      <c r="B1940" s="19">
        <v>43973</v>
      </c>
      <c r="C1940" s="4">
        <v>0</v>
      </c>
      <c r="D1940" s="21">
        <v>11</v>
      </c>
      <c r="F1940" s="57">
        <f t="shared" si="102"/>
        <v>0</v>
      </c>
    </row>
    <row r="1941" spans="1:6" x14ac:dyDescent="0.25">
      <c r="A1941" s="5" t="s">
        <v>38</v>
      </c>
      <c r="B1941" s="19">
        <v>43973</v>
      </c>
      <c r="C1941" s="4">
        <v>0</v>
      </c>
      <c r="D1941" s="21">
        <v>49</v>
      </c>
      <c r="F1941" s="57">
        <f t="shared" si="102"/>
        <v>0</v>
      </c>
    </row>
    <row r="1942" spans="1:6" x14ac:dyDescent="0.25">
      <c r="A1942" s="5" t="s">
        <v>23</v>
      </c>
      <c r="B1942" s="19">
        <v>43973</v>
      </c>
      <c r="C1942" s="4">
        <v>4</v>
      </c>
      <c r="D1942" s="21">
        <v>258</v>
      </c>
      <c r="F1942" s="57">
        <f>E1942+F1918</f>
        <v>3</v>
      </c>
    </row>
    <row r="1943" spans="1:6" x14ac:dyDescent="0.25">
      <c r="A1943" s="5" t="s">
        <v>39</v>
      </c>
      <c r="B1943" s="19">
        <v>43973</v>
      </c>
      <c r="C1943" s="4">
        <v>0</v>
      </c>
      <c r="D1943" s="21">
        <v>22</v>
      </c>
      <c r="F1943" s="57">
        <f>E1943+F1919</f>
        <v>0</v>
      </c>
    </row>
    <row r="1944" spans="1:6" x14ac:dyDescent="0.25">
      <c r="A1944" s="5" t="s">
        <v>40</v>
      </c>
      <c r="B1944" s="19">
        <v>43973</v>
      </c>
      <c r="C1944" s="4">
        <v>0</v>
      </c>
      <c r="D1944" s="21">
        <v>148</v>
      </c>
      <c r="F1944" s="57">
        <f t="shared" si="102"/>
        <v>0</v>
      </c>
    </row>
    <row r="1945" spans="1:6" x14ac:dyDescent="0.25">
      <c r="A1945" s="5" t="s">
        <v>41</v>
      </c>
      <c r="B1945" s="19">
        <v>43973</v>
      </c>
      <c r="C1945" s="4">
        <v>0</v>
      </c>
      <c r="D1945" s="21">
        <v>43</v>
      </c>
      <c r="F1945" s="57">
        <f>E1945+F1921</f>
        <v>3</v>
      </c>
    </row>
    <row r="1946" spans="1:6" x14ac:dyDescent="0.25">
      <c r="A1946" s="42" t="s">
        <v>17</v>
      </c>
      <c r="B1946" s="19">
        <v>43974</v>
      </c>
      <c r="C1946" s="4">
        <v>289</v>
      </c>
      <c r="D1946" s="21">
        <v>3864</v>
      </c>
      <c r="E1946" s="4">
        <v>4</v>
      </c>
      <c r="F1946" s="57">
        <f>E1946+F1922</f>
        <v>180</v>
      </c>
    </row>
    <row r="1947" spans="1:6" x14ac:dyDescent="0.25">
      <c r="A1947" s="5" t="s">
        <v>29</v>
      </c>
      <c r="B1947" s="19">
        <v>43974</v>
      </c>
      <c r="C1947" s="4">
        <v>0</v>
      </c>
      <c r="D1947" s="21">
        <v>0</v>
      </c>
      <c r="F1947" s="57">
        <f t="shared" ref="F1947:F1953" si="103">E1947+F1923</f>
        <v>0</v>
      </c>
    </row>
    <row r="1948" spans="1:6" x14ac:dyDescent="0.25">
      <c r="A1948" s="5" t="s">
        <v>16</v>
      </c>
      <c r="B1948" s="19">
        <v>43974</v>
      </c>
      <c r="C1948" s="4">
        <v>7</v>
      </c>
      <c r="D1948" s="21">
        <v>728</v>
      </c>
      <c r="E1948" s="4">
        <v>2</v>
      </c>
      <c r="F1948" s="57">
        <f t="shared" si="103"/>
        <v>40</v>
      </c>
    </row>
    <row r="1949" spans="1:6" x14ac:dyDescent="0.25">
      <c r="A1949" s="5" t="s">
        <v>30</v>
      </c>
      <c r="B1949" s="19">
        <v>43974</v>
      </c>
      <c r="C1949" s="4">
        <v>0</v>
      </c>
      <c r="D1949" s="21">
        <v>4</v>
      </c>
      <c r="F1949" s="57">
        <f t="shared" si="103"/>
        <v>1</v>
      </c>
    </row>
    <row r="1950" spans="1:6" x14ac:dyDescent="0.25">
      <c r="A1950" s="5" t="s">
        <v>44</v>
      </c>
      <c r="B1950" s="19">
        <v>43974</v>
      </c>
      <c r="C1950" s="4">
        <v>400</v>
      </c>
      <c r="D1950" s="21">
        <v>5005</v>
      </c>
      <c r="E1950" s="4">
        <v>6</v>
      </c>
      <c r="F1950" s="57">
        <f t="shared" si="103"/>
        <v>149</v>
      </c>
    </row>
    <row r="1951" spans="1:6" x14ac:dyDescent="0.25">
      <c r="A1951" s="5" t="s">
        <v>21</v>
      </c>
      <c r="B1951" s="19">
        <v>43974</v>
      </c>
      <c r="C1951" s="4">
        <v>0</v>
      </c>
      <c r="D1951" s="21">
        <v>450</v>
      </c>
      <c r="F1951" s="57">
        <f t="shared" si="103"/>
        <v>25</v>
      </c>
    </row>
    <row r="1952" spans="1:6" x14ac:dyDescent="0.25">
      <c r="A1952" s="5" t="s">
        <v>31</v>
      </c>
      <c r="B1952" s="19">
        <v>43974</v>
      </c>
      <c r="C1952" s="4">
        <v>0</v>
      </c>
      <c r="D1952" s="21">
        <v>78</v>
      </c>
      <c r="F1952" s="57">
        <f t="shared" si="103"/>
        <v>0</v>
      </c>
    </row>
    <row r="1953" spans="1:6" x14ac:dyDescent="0.25">
      <c r="A1953" s="5" t="s">
        <v>32</v>
      </c>
      <c r="B1953" s="19">
        <v>43974</v>
      </c>
      <c r="C1953" s="4">
        <v>0</v>
      </c>
      <c r="D1953" s="21">
        <v>29</v>
      </c>
      <c r="F1953" s="57">
        <f t="shared" si="103"/>
        <v>0</v>
      </c>
    </row>
    <row r="1954" spans="1:6" x14ac:dyDescent="0.25">
      <c r="A1954" s="5" t="s">
        <v>42</v>
      </c>
      <c r="B1954" s="19">
        <v>43974</v>
      </c>
      <c r="C1954" s="4">
        <v>0</v>
      </c>
      <c r="D1954" s="21">
        <v>0</v>
      </c>
      <c r="F1954" s="57">
        <f t="shared" ref="F1954:F1968" si="104">E1954+F1929</f>
        <v>0</v>
      </c>
    </row>
    <row r="1955" spans="1:6" x14ac:dyDescent="0.25">
      <c r="A1955" s="5" t="s">
        <v>33</v>
      </c>
      <c r="B1955" s="19">
        <v>43974</v>
      </c>
      <c r="C1955" s="4">
        <v>0</v>
      </c>
      <c r="D1955" s="21">
        <v>5</v>
      </c>
      <c r="F1955" s="57">
        <f t="shared" si="104"/>
        <v>0</v>
      </c>
    </row>
    <row r="1956" spans="1:6" x14ac:dyDescent="0.25">
      <c r="A1956" s="5" t="s">
        <v>34</v>
      </c>
      <c r="B1956" s="19">
        <v>43974</v>
      </c>
      <c r="C1956" s="4">
        <v>0</v>
      </c>
      <c r="D1956" s="21">
        <v>5</v>
      </c>
      <c r="F1956" s="57">
        <f t="shared" si="104"/>
        <v>0</v>
      </c>
    </row>
    <row r="1957" spans="1:6" x14ac:dyDescent="0.25">
      <c r="A1957" s="5" t="s">
        <v>22</v>
      </c>
      <c r="B1957" s="19">
        <v>43974</v>
      </c>
      <c r="C1957" s="4">
        <v>0</v>
      </c>
      <c r="D1957" s="21">
        <v>63</v>
      </c>
      <c r="F1957" s="57">
        <f t="shared" si="104"/>
        <v>0</v>
      </c>
    </row>
    <row r="1958" spans="1:6" x14ac:dyDescent="0.25">
      <c r="A1958" s="5" t="s">
        <v>18</v>
      </c>
      <c r="B1958" s="19">
        <v>43974</v>
      </c>
      <c r="C1958" s="4">
        <v>0</v>
      </c>
      <c r="D1958" s="21">
        <v>90</v>
      </c>
      <c r="F1958" s="57">
        <f t="shared" si="104"/>
        <v>0</v>
      </c>
    </row>
    <row r="1959" spans="1:6" x14ac:dyDescent="0.25">
      <c r="A1959" s="5" t="s">
        <v>24</v>
      </c>
      <c r="B1959" s="19">
        <v>43974</v>
      </c>
      <c r="C1959" s="4">
        <v>0</v>
      </c>
      <c r="D1959" s="21">
        <v>25</v>
      </c>
      <c r="F1959" s="57">
        <f t="shared" si="104"/>
        <v>0</v>
      </c>
    </row>
    <row r="1960" spans="1:6" x14ac:dyDescent="0.25">
      <c r="A1960" s="5" t="s">
        <v>20</v>
      </c>
      <c r="B1960" s="19">
        <v>43974</v>
      </c>
      <c r="C1960" s="4">
        <v>0</v>
      </c>
      <c r="D1960" s="21">
        <v>114</v>
      </c>
      <c r="F1960" s="57">
        <f t="shared" si="104"/>
        <v>0</v>
      </c>
    </row>
    <row r="1961" spans="1:6" x14ac:dyDescent="0.25">
      <c r="A1961" s="5" t="s">
        <v>19</v>
      </c>
      <c r="B1961" s="19">
        <v>43974</v>
      </c>
      <c r="C1961" s="4">
        <v>5</v>
      </c>
      <c r="D1961" s="21">
        <v>347</v>
      </c>
      <c r="F1961" s="57">
        <f t="shared" si="104"/>
        <v>0</v>
      </c>
    </row>
    <row r="1962" spans="1:6" x14ac:dyDescent="0.25">
      <c r="A1962" s="5" t="s">
        <v>35</v>
      </c>
      <c r="B1962" s="19">
        <v>43974</v>
      </c>
      <c r="C1962" s="4">
        <v>0</v>
      </c>
      <c r="D1962" s="21">
        <v>7</v>
      </c>
      <c r="F1962" s="57">
        <f t="shared" si="104"/>
        <v>2</v>
      </c>
    </row>
    <row r="1963" spans="1:6" x14ac:dyDescent="0.25">
      <c r="A1963" s="5" t="s">
        <v>36</v>
      </c>
      <c r="B1963" s="19">
        <v>43974</v>
      </c>
      <c r="C1963" s="4">
        <v>0</v>
      </c>
      <c r="D1963" s="21">
        <v>4</v>
      </c>
      <c r="F1963" s="57">
        <f>E1963+F1939</f>
        <v>0</v>
      </c>
    </row>
    <row r="1964" spans="1:6" x14ac:dyDescent="0.25">
      <c r="A1964" s="5" t="s">
        <v>37</v>
      </c>
      <c r="B1964" s="19">
        <v>43974</v>
      </c>
      <c r="C1964" s="4">
        <v>0</v>
      </c>
      <c r="D1964" s="21">
        <v>11</v>
      </c>
      <c r="F1964" s="57">
        <f t="shared" si="104"/>
        <v>0</v>
      </c>
    </row>
    <row r="1965" spans="1:6" x14ac:dyDescent="0.25">
      <c r="A1965" s="5" t="s">
        <v>38</v>
      </c>
      <c r="B1965" s="19">
        <v>43974</v>
      </c>
      <c r="C1965" s="4">
        <v>0</v>
      </c>
      <c r="D1965" s="21">
        <v>49</v>
      </c>
      <c r="F1965" s="57">
        <f t="shared" si="104"/>
        <v>0</v>
      </c>
    </row>
    <row r="1966" spans="1:6" x14ac:dyDescent="0.25">
      <c r="A1966" s="5" t="s">
        <v>23</v>
      </c>
      <c r="B1966" s="19">
        <v>43974</v>
      </c>
      <c r="C1966" s="4">
        <v>0</v>
      </c>
      <c r="D1966" s="21">
        <v>258</v>
      </c>
      <c r="F1966" s="57">
        <f>E1966+F1942</f>
        <v>3</v>
      </c>
    </row>
    <row r="1967" spans="1:6" x14ac:dyDescent="0.25">
      <c r="A1967" s="5" t="s">
        <v>39</v>
      </c>
      <c r="B1967" s="19">
        <v>43974</v>
      </c>
      <c r="C1967" s="4">
        <v>0</v>
      </c>
      <c r="D1967" s="21">
        <v>22</v>
      </c>
      <c r="F1967" s="57">
        <f>E1967+F1943</f>
        <v>0</v>
      </c>
    </row>
    <row r="1968" spans="1:6" x14ac:dyDescent="0.25">
      <c r="A1968" s="5" t="s">
        <v>40</v>
      </c>
      <c r="B1968" s="19">
        <v>43974</v>
      </c>
      <c r="C1968" s="4">
        <v>0</v>
      </c>
      <c r="D1968" s="21">
        <v>148</v>
      </c>
      <c r="F1968" s="57">
        <f t="shared" si="104"/>
        <v>0</v>
      </c>
    </row>
    <row r="1969" spans="1:6" x14ac:dyDescent="0.25">
      <c r="A1969" s="5" t="s">
        <v>41</v>
      </c>
      <c r="B1969" s="19">
        <v>43974</v>
      </c>
      <c r="C1969" s="4">
        <v>2</v>
      </c>
      <c r="D1969" s="21">
        <v>45</v>
      </c>
      <c r="F1969" s="57">
        <f>E1969+F1945</f>
        <v>3</v>
      </c>
    </row>
    <row r="1970" spans="1:6" x14ac:dyDescent="0.25">
      <c r="A1970" s="42" t="s">
        <v>17</v>
      </c>
      <c r="B1970" s="19">
        <v>43975</v>
      </c>
      <c r="C1970" s="4">
        <v>196</v>
      </c>
      <c r="D1970" s="21">
        <v>4060</v>
      </c>
      <c r="E1970" s="4">
        <v>2</v>
      </c>
      <c r="F1970" s="57">
        <f>E1970+F1946</f>
        <v>182</v>
      </c>
    </row>
    <row r="1971" spans="1:6" x14ac:dyDescent="0.25">
      <c r="A1971" s="5" t="s">
        <v>29</v>
      </c>
      <c r="B1971" s="19">
        <v>43975</v>
      </c>
      <c r="C1971" s="4">
        <v>0</v>
      </c>
      <c r="D1971" s="21">
        <v>0</v>
      </c>
      <c r="F1971" s="57">
        <f t="shared" ref="F1971:F1977" si="105">E1971+F1947</f>
        <v>0</v>
      </c>
    </row>
    <row r="1972" spans="1:6" x14ac:dyDescent="0.25">
      <c r="A1972" s="5" t="s">
        <v>16</v>
      </c>
      <c r="B1972" s="19">
        <v>43975</v>
      </c>
      <c r="C1972" s="4">
        <v>20</v>
      </c>
      <c r="D1972" s="21">
        <v>748</v>
      </c>
      <c r="E1972" s="4">
        <v>2</v>
      </c>
      <c r="F1972" s="57">
        <f t="shared" si="105"/>
        <v>42</v>
      </c>
    </row>
    <row r="1973" spans="1:6" x14ac:dyDescent="0.25">
      <c r="A1973" s="5" t="s">
        <v>30</v>
      </c>
      <c r="B1973" s="19">
        <v>43975</v>
      </c>
      <c r="C1973" s="4">
        <v>0</v>
      </c>
      <c r="D1973" s="21">
        <v>4</v>
      </c>
      <c r="F1973" s="57">
        <f t="shared" si="105"/>
        <v>1</v>
      </c>
    </row>
    <row r="1974" spans="1:6" x14ac:dyDescent="0.25">
      <c r="A1974" s="5" t="s">
        <v>44</v>
      </c>
      <c r="B1974" s="19">
        <v>43975</v>
      </c>
      <c r="C1974" s="4">
        <v>495</v>
      </c>
      <c r="D1974" s="21">
        <v>5500</v>
      </c>
      <c r="E1974" s="4">
        <v>3</v>
      </c>
      <c r="F1974" s="57">
        <f t="shared" si="105"/>
        <v>152</v>
      </c>
    </row>
    <row r="1975" spans="1:6" x14ac:dyDescent="0.25">
      <c r="A1975" s="5" t="s">
        <v>21</v>
      </c>
      <c r="B1975" s="19">
        <v>43975</v>
      </c>
      <c r="C1975" s="4">
        <v>6</v>
      </c>
      <c r="D1975" s="21">
        <v>456</v>
      </c>
      <c r="F1975" s="57">
        <f t="shared" si="105"/>
        <v>25</v>
      </c>
    </row>
    <row r="1976" spans="1:6" x14ac:dyDescent="0.25">
      <c r="A1976" s="5" t="s">
        <v>31</v>
      </c>
      <c r="B1976" s="19">
        <v>43975</v>
      </c>
      <c r="C1976" s="4">
        <v>0</v>
      </c>
      <c r="D1976" s="21">
        <v>78</v>
      </c>
      <c r="F1976" s="57">
        <f t="shared" si="105"/>
        <v>0</v>
      </c>
    </row>
    <row r="1977" spans="1:6" x14ac:dyDescent="0.25">
      <c r="A1977" s="5" t="s">
        <v>32</v>
      </c>
      <c r="B1977" s="19">
        <v>43975</v>
      </c>
      <c r="C1977" s="4">
        <v>0</v>
      </c>
      <c r="D1977" s="21">
        <v>29</v>
      </c>
      <c r="F1977" s="57">
        <f t="shared" si="105"/>
        <v>0</v>
      </c>
    </row>
    <row r="1978" spans="1:6" x14ac:dyDescent="0.25">
      <c r="A1978" s="5" t="s">
        <v>42</v>
      </c>
      <c r="B1978" s="19">
        <v>43975</v>
      </c>
      <c r="C1978" s="4">
        <v>0</v>
      </c>
      <c r="D1978" s="21">
        <v>0</v>
      </c>
      <c r="F1978" s="57">
        <f t="shared" ref="F1978:F1992" si="106">E1978+F1953</f>
        <v>0</v>
      </c>
    </row>
    <row r="1979" spans="1:6" x14ac:dyDescent="0.25">
      <c r="A1979" s="5" t="s">
        <v>33</v>
      </c>
      <c r="B1979" s="19">
        <v>43975</v>
      </c>
      <c r="C1979" s="4">
        <v>0</v>
      </c>
      <c r="D1979" s="21">
        <v>5</v>
      </c>
      <c r="F1979" s="57">
        <f t="shared" si="106"/>
        <v>0</v>
      </c>
    </row>
    <row r="1980" spans="1:6" x14ac:dyDescent="0.25">
      <c r="A1980" s="5" t="s">
        <v>34</v>
      </c>
      <c r="B1980" s="19">
        <v>43975</v>
      </c>
      <c r="C1980" s="4">
        <v>0</v>
      </c>
      <c r="D1980" s="21">
        <v>5</v>
      </c>
      <c r="F1980" s="57">
        <f t="shared" si="106"/>
        <v>0</v>
      </c>
    </row>
    <row r="1981" spans="1:6" x14ac:dyDescent="0.25">
      <c r="A1981" s="5" t="s">
        <v>22</v>
      </c>
      <c r="B1981" s="19">
        <v>43975</v>
      </c>
      <c r="C1981" s="4">
        <v>0</v>
      </c>
      <c r="D1981" s="21">
        <v>63</v>
      </c>
      <c r="F1981" s="57">
        <f t="shared" si="106"/>
        <v>0</v>
      </c>
    </row>
    <row r="1982" spans="1:6" x14ac:dyDescent="0.25">
      <c r="A1982" s="5" t="s">
        <v>18</v>
      </c>
      <c r="B1982" s="19">
        <v>43975</v>
      </c>
      <c r="C1982" s="4">
        <v>0</v>
      </c>
      <c r="D1982" s="21">
        <v>90</v>
      </c>
      <c r="F1982" s="57">
        <f t="shared" si="106"/>
        <v>0</v>
      </c>
    </row>
    <row r="1983" spans="1:6" x14ac:dyDescent="0.25">
      <c r="A1983" s="5" t="s">
        <v>24</v>
      </c>
      <c r="B1983" s="19">
        <v>43975</v>
      </c>
      <c r="C1983" s="4">
        <v>0</v>
      </c>
      <c r="D1983" s="21">
        <v>25</v>
      </c>
      <c r="F1983" s="57">
        <f t="shared" si="106"/>
        <v>0</v>
      </c>
    </row>
    <row r="1984" spans="1:6" x14ac:dyDescent="0.25">
      <c r="A1984" s="5" t="s">
        <v>20</v>
      </c>
      <c r="B1984" s="19">
        <v>43975</v>
      </c>
      <c r="C1984" s="4">
        <v>1</v>
      </c>
      <c r="D1984" s="21">
        <v>115</v>
      </c>
      <c r="F1984" s="57">
        <f t="shared" si="106"/>
        <v>0</v>
      </c>
    </row>
    <row r="1985" spans="1:6" x14ac:dyDescent="0.25">
      <c r="A1985" s="5" t="s">
        <v>19</v>
      </c>
      <c r="B1985" s="19">
        <v>43975</v>
      </c>
      <c r="C1985" s="4">
        <v>5</v>
      </c>
      <c r="D1985" s="21">
        <v>352</v>
      </c>
      <c r="F1985" s="57">
        <f t="shared" si="106"/>
        <v>0</v>
      </c>
    </row>
    <row r="1986" spans="1:6" x14ac:dyDescent="0.25">
      <c r="A1986" s="5" t="s">
        <v>35</v>
      </c>
      <c r="B1986" s="19">
        <v>43975</v>
      </c>
      <c r="C1986" s="4">
        <v>0</v>
      </c>
      <c r="D1986" s="21">
        <v>7</v>
      </c>
      <c r="F1986" s="57">
        <f t="shared" si="106"/>
        <v>0</v>
      </c>
    </row>
    <row r="1987" spans="1:6" x14ac:dyDescent="0.25">
      <c r="A1987" s="5" t="s">
        <v>36</v>
      </c>
      <c r="B1987" s="19">
        <v>43975</v>
      </c>
      <c r="C1987" s="4">
        <v>0</v>
      </c>
      <c r="D1987" s="21">
        <v>4</v>
      </c>
      <c r="F1987" s="57">
        <f>E1987+F1963</f>
        <v>0</v>
      </c>
    </row>
    <row r="1988" spans="1:6" x14ac:dyDescent="0.25">
      <c r="A1988" s="5" t="s">
        <v>37</v>
      </c>
      <c r="B1988" s="19">
        <v>43975</v>
      </c>
      <c r="C1988" s="4">
        <v>0</v>
      </c>
      <c r="D1988" s="21">
        <v>11</v>
      </c>
      <c r="F1988" s="57">
        <f t="shared" si="106"/>
        <v>0</v>
      </c>
    </row>
    <row r="1989" spans="1:6" x14ac:dyDescent="0.25">
      <c r="A1989" s="5" t="s">
        <v>38</v>
      </c>
      <c r="B1989" s="19">
        <v>43975</v>
      </c>
      <c r="C1989" s="4">
        <v>0</v>
      </c>
      <c r="D1989" s="21">
        <v>49</v>
      </c>
      <c r="F1989" s="57">
        <f t="shared" si="106"/>
        <v>0</v>
      </c>
    </row>
    <row r="1990" spans="1:6" x14ac:dyDescent="0.25">
      <c r="A1990" s="5" t="s">
        <v>23</v>
      </c>
      <c r="B1990" s="19">
        <v>43975</v>
      </c>
      <c r="C1990" s="4">
        <v>0</v>
      </c>
      <c r="D1990" s="21">
        <v>258</v>
      </c>
      <c r="F1990" s="57">
        <f>E1990+F1966</f>
        <v>3</v>
      </c>
    </row>
    <row r="1991" spans="1:6" x14ac:dyDescent="0.25">
      <c r="A1991" s="5" t="s">
        <v>39</v>
      </c>
      <c r="B1991" s="19">
        <v>43975</v>
      </c>
      <c r="C1991" s="4">
        <v>0</v>
      </c>
      <c r="D1991" s="21">
        <v>22</v>
      </c>
      <c r="F1991" s="57">
        <f>E1991+F1967</f>
        <v>0</v>
      </c>
    </row>
    <row r="1992" spans="1:6" x14ac:dyDescent="0.25">
      <c r="A1992" s="5" t="s">
        <v>40</v>
      </c>
      <c r="B1992" s="19">
        <v>43975</v>
      </c>
      <c r="C1992" s="4">
        <v>0</v>
      </c>
      <c r="D1992" s="21">
        <v>148</v>
      </c>
      <c r="F1992" s="57">
        <f t="shared" si="106"/>
        <v>0</v>
      </c>
    </row>
    <row r="1993" spans="1:6" x14ac:dyDescent="0.25">
      <c r="A1993" s="5" t="s">
        <v>41</v>
      </c>
      <c r="B1993" s="19">
        <v>43975</v>
      </c>
      <c r="C1993" s="4">
        <v>0</v>
      </c>
      <c r="D1993" s="21">
        <v>45</v>
      </c>
      <c r="F1993" s="57">
        <f>E1993+F1969</f>
        <v>3</v>
      </c>
    </row>
    <row r="1994" spans="1:6" x14ac:dyDescent="0.25">
      <c r="A1994" s="42" t="s">
        <v>17</v>
      </c>
      <c r="B1994" s="19">
        <v>43976</v>
      </c>
      <c r="C1994" s="4">
        <v>159</v>
      </c>
      <c r="D1994" s="21">
        <v>4219</v>
      </c>
      <c r="E1994" s="4">
        <v>5</v>
      </c>
      <c r="F1994" s="57">
        <f>E1994+F1970</f>
        <v>187</v>
      </c>
    </row>
    <row r="1995" spans="1:6" x14ac:dyDescent="0.25">
      <c r="A1995" s="5" t="s">
        <v>29</v>
      </c>
      <c r="B1995" s="19">
        <v>43976</v>
      </c>
      <c r="C1995" s="4">
        <v>0</v>
      </c>
      <c r="D1995" s="21">
        <v>0</v>
      </c>
      <c r="F1995" s="57">
        <f t="shared" ref="F1995:F2001" si="107">E1995+F1971</f>
        <v>0</v>
      </c>
    </row>
    <row r="1996" spans="1:6" x14ac:dyDescent="0.25">
      <c r="A1996" s="5" t="s">
        <v>16</v>
      </c>
      <c r="B1996" s="19">
        <v>43976</v>
      </c>
      <c r="C1996" s="4">
        <v>9</v>
      </c>
      <c r="D1996" s="21">
        <v>757</v>
      </c>
      <c r="F1996" s="57">
        <f t="shared" si="107"/>
        <v>42</v>
      </c>
    </row>
    <row r="1997" spans="1:6" x14ac:dyDescent="0.25">
      <c r="A1997" s="5" t="s">
        <v>30</v>
      </c>
      <c r="B1997" s="19">
        <v>43976</v>
      </c>
      <c r="C1997" s="4">
        <v>0</v>
      </c>
      <c r="D1997" s="21">
        <v>4</v>
      </c>
      <c r="F1997" s="57">
        <f t="shared" si="107"/>
        <v>1</v>
      </c>
    </row>
    <row r="1998" spans="1:6" x14ac:dyDescent="0.25">
      <c r="A1998" s="5" t="s">
        <v>44</v>
      </c>
      <c r="B1998" s="19">
        <v>43976</v>
      </c>
      <c r="C1998" s="4">
        <v>375</v>
      </c>
      <c r="D1998" s="21">
        <v>5875</v>
      </c>
      <c r="E1998" s="4">
        <v>8</v>
      </c>
      <c r="F1998" s="57">
        <f t="shared" si="107"/>
        <v>160</v>
      </c>
    </row>
    <row r="1999" spans="1:6" x14ac:dyDescent="0.25">
      <c r="A1999" s="5" t="s">
        <v>21</v>
      </c>
      <c r="B1999" s="19">
        <v>43976</v>
      </c>
      <c r="C1999" s="4">
        <v>3</v>
      </c>
      <c r="D1999" s="21">
        <v>459</v>
      </c>
      <c r="E1999" s="4">
        <v>1</v>
      </c>
      <c r="F1999" s="57">
        <f t="shared" si="107"/>
        <v>26</v>
      </c>
    </row>
    <row r="2000" spans="1:6" x14ac:dyDescent="0.25">
      <c r="A2000" s="5" t="s">
        <v>31</v>
      </c>
      <c r="B2000" s="19">
        <v>43976</v>
      </c>
      <c r="C2000" s="4">
        <v>0</v>
      </c>
      <c r="D2000" s="21">
        <v>78</v>
      </c>
      <c r="F2000" s="57">
        <f t="shared" si="107"/>
        <v>0</v>
      </c>
    </row>
    <row r="2001" spans="1:6" x14ac:dyDescent="0.25">
      <c r="A2001" s="5" t="s">
        <v>32</v>
      </c>
      <c r="B2001" s="19">
        <v>43976</v>
      </c>
      <c r="C2001" s="4">
        <v>0</v>
      </c>
      <c r="D2001" s="21">
        <v>29</v>
      </c>
      <c r="F2001" s="57">
        <f t="shared" si="107"/>
        <v>0</v>
      </c>
    </row>
    <row r="2002" spans="1:6" x14ac:dyDescent="0.25">
      <c r="A2002" s="5" t="s">
        <v>42</v>
      </c>
      <c r="B2002" s="19">
        <v>43976</v>
      </c>
      <c r="C2002" s="4">
        <v>0</v>
      </c>
      <c r="D2002" s="21">
        <v>0</v>
      </c>
      <c r="F2002" s="57">
        <f t="shared" ref="F2002:F2016" si="108">E2002+F1977</f>
        <v>0</v>
      </c>
    </row>
    <row r="2003" spans="1:6" x14ac:dyDescent="0.25">
      <c r="A2003" s="5" t="s">
        <v>33</v>
      </c>
      <c r="B2003" s="19">
        <v>43976</v>
      </c>
      <c r="C2003" s="4">
        <v>0</v>
      </c>
      <c r="D2003" s="21">
        <v>5</v>
      </c>
      <c r="F2003" s="57">
        <f t="shared" si="108"/>
        <v>0</v>
      </c>
    </row>
    <row r="2004" spans="1:6" x14ac:dyDescent="0.25">
      <c r="A2004" s="5" t="s">
        <v>34</v>
      </c>
      <c r="B2004" s="19">
        <v>43976</v>
      </c>
      <c r="C2004" s="4">
        <v>0</v>
      </c>
      <c r="D2004" s="21">
        <v>5</v>
      </c>
      <c r="F2004" s="57">
        <f t="shared" si="108"/>
        <v>0</v>
      </c>
    </row>
    <row r="2005" spans="1:6" x14ac:dyDescent="0.25">
      <c r="A2005" s="5" t="s">
        <v>22</v>
      </c>
      <c r="B2005" s="19">
        <v>43976</v>
      </c>
      <c r="C2005" s="4">
        <v>0</v>
      </c>
      <c r="D2005" s="21">
        <v>63</v>
      </c>
      <c r="F2005" s="57">
        <f t="shared" si="108"/>
        <v>0</v>
      </c>
    </row>
    <row r="2006" spans="1:6" x14ac:dyDescent="0.25">
      <c r="A2006" s="5" t="s">
        <v>18</v>
      </c>
      <c r="B2006" s="19">
        <v>43976</v>
      </c>
      <c r="C2006" s="4">
        <v>0</v>
      </c>
      <c r="D2006" s="21">
        <v>90</v>
      </c>
      <c r="F2006" s="57">
        <f t="shared" si="108"/>
        <v>0</v>
      </c>
    </row>
    <row r="2007" spans="1:6" x14ac:dyDescent="0.25">
      <c r="A2007" s="5" t="s">
        <v>24</v>
      </c>
      <c r="B2007" s="19">
        <v>43976</v>
      </c>
      <c r="C2007" s="4">
        <v>0</v>
      </c>
      <c r="D2007" s="21">
        <v>25</v>
      </c>
      <c r="F2007" s="57">
        <f t="shared" si="108"/>
        <v>0</v>
      </c>
    </row>
    <row r="2008" spans="1:6" x14ac:dyDescent="0.25">
      <c r="A2008" s="5" t="s">
        <v>20</v>
      </c>
      <c r="B2008" s="19">
        <v>43976</v>
      </c>
      <c r="C2008" s="4">
        <v>1</v>
      </c>
      <c r="D2008" s="21">
        <v>116</v>
      </c>
      <c r="F2008" s="57">
        <f t="shared" si="108"/>
        <v>0</v>
      </c>
    </row>
    <row r="2009" spans="1:6" x14ac:dyDescent="0.25">
      <c r="A2009" s="5" t="s">
        <v>19</v>
      </c>
      <c r="B2009" s="19">
        <v>43976</v>
      </c>
      <c r="C2009" s="4">
        <v>4</v>
      </c>
      <c r="D2009" s="21">
        <v>356</v>
      </c>
      <c r="E2009" s="4">
        <v>1</v>
      </c>
      <c r="F2009" s="57">
        <f t="shared" si="108"/>
        <v>1</v>
      </c>
    </row>
    <row r="2010" spans="1:6" x14ac:dyDescent="0.25">
      <c r="A2010" s="5" t="s">
        <v>35</v>
      </c>
      <c r="B2010" s="19">
        <v>43976</v>
      </c>
      <c r="C2010" s="4">
        <v>0</v>
      </c>
      <c r="D2010" s="21">
        <v>7</v>
      </c>
      <c r="F2010" s="57">
        <f t="shared" si="108"/>
        <v>0</v>
      </c>
    </row>
    <row r="2011" spans="1:6" x14ac:dyDescent="0.25">
      <c r="A2011" s="5" t="s">
        <v>36</v>
      </c>
      <c r="B2011" s="19">
        <v>43976</v>
      </c>
      <c r="C2011" s="4">
        <v>0</v>
      </c>
      <c r="D2011" s="21">
        <v>4</v>
      </c>
      <c r="F2011" s="57">
        <f>E2011+F1987</f>
        <v>0</v>
      </c>
    </row>
    <row r="2012" spans="1:6" x14ac:dyDescent="0.25">
      <c r="A2012" s="5" t="s">
        <v>37</v>
      </c>
      <c r="B2012" s="19">
        <v>43976</v>
      </c>
      <c r="C2012" s="4">
        <v>0</v>
      </c>
      <c r="D2012" s="21">
        <v>11</v>
      </c>
      <c r="F2012" s="57">
        <f t="shared" si="108"/>
        <v>0</v>
      </c>
    </row>
    <row r="2013" spans="1:6" x14ac:dyDescent="0.25">
      <c r="A2013" s="5" t="s">
        <v>38</v>
      </c>
      <c r="B2013" s="19">
        <v>43976</v>
      </c>
      <c r="C2013" s="4">
        <v>0</v>
      </c>
      <c r="D2013" s="21">
        <v>49</v>
      </c>
      <c r="F2013" s="57">
        <f t="shared" si="108"/>
        <v>0</v>
      </c>
    </row>
    <row r="2014" spans="1:6" x14ac:dyDescent="0.25">
      <c r="A2014" s="5" t="s">
        <v>23</v>
      </c>
      <c r="B2014" s="19">
        <v>43976</v>
      </c>
      <c r="C2014" s="4">
        <v>0</v>
      </c>
      <c r="D2014" s="21">
        <v>258</v>
      </c>
      <c r="F2014" s="57">
        <f>E2014+F1990</f>
        <v>3</v>
      </c>
    </row>
    <row r="2015" spans="1:6" x14ac:dyDescent="0.25">
      <c r="A2015" s="5" t="s">
        <v>39</v>
      </c>
      <c r="B2015" s="19">
        <v>43976</v>
      </c>
      <c r="C2015" s="4">
        <v>0</v>
      </c>
      <c r="D2015" s="21">
        <v>22</v>
      </c>
      <c r="F2015" s="57">
        <f>E2015+F1991</f>
        <v>0</v>
      </c>
    </row>
    <row r="2016" spans="1:6" x14ac:dyDescent="0.25">
      <c r="A2016" s="5" t="s">
        <v>40</v>
      </c>
      <c r="B2016" s="19">
        <v>43976</v>
      </c>
      <c r="C2016" s="4">
        <v>0</v>
      </c>
      <c r="D2016" s="21">
        <v>148</v>
      </c>
      <c r="F2016" s="57">
        <f t="shared" si="108"/>
        <v>0</v>
      </c>
    </row>
    <row r="2017" spans="1:6" x14ac:dyDescent="0.25">
      <c r="A2017" s="5" t="s">
        <v>41</v>
      </c>
      <c r="B2017" s="19">
        <v>43976</v>
      </c>
      <c r="C2017" s="4">
        <v>2</v>
      </c>
      <c r="D2017" s="21">
        <v>47</v>
      </c>
      <c r="F2017" s="57">
        <f>E2017+F1993</f>
        <v>3</v>
      </c>
    </row>
    <row r="2018" spans="1:6" x14ac:dyDescent="0.25">
      <c r="A2018" s="42" t="s">
        <v>17</v>
      </c>
      <c r="B2018" s="19">
        <v>43977</v>
      </c>
      <c r="C2018" s="4">
        <v>236</v>
      </c>
      <c r="D2018" s="21">
        <v>4455</v>
      </c>
      <c r="E2018" s="4">
        <v>16</v>
      </c>
      <c r="F2018" s="57">
        <f>E2018+F1994</f>
        <v>203</v>
      </c>
    </row>
    <row r="2019" spans="1:6" x14ac:dyDescent="0.25">
      <c r="A2019" s="5" t="s">
        <v>29</v>
      </c>
      <c r="B2019" s="19">
        <v>43977</v>
      </c>
      <c r="C2019" s="4">
        <v>0</v>
      </c>
      <c r="D2019" s="21">
        <v>0</v>
      </c>
      <c r="F2019" s="57">
        <f t="shared" ref="F2019:F2025" si="109">E2019+F1995</f>
        <v>0</v>
      </c>
    </row>
    <row r="2020" spans="1:6" x14ac:dyDescent="0.25">
      <c r="A2020" s="5" t="s">
        <v>16</v>
      </c>
      <c r="B2020" s="19">
        <v>43977</v>
      </c>
      <c r="C2020" s="4">
        <v>23</v>
      </c>
      <c r="D2020" s="21">
        <v>780</v>
      </c>
      <c r="E2020" s="4">
        <v>2</v>
      </c>
      <c r="F2020" s="57">
        <f t="shared" si="109"/>
        <v>44</v>
      </c>
    </row>
    <row r="2021" spans="1:6" x14ac:dyDescent="0.25">
      <c r="A2021" s="5" t="s">
        <v>30</v>
      </c>
      <c r="B2021" s="19">
        <v>43977</v>
      </c>
      <c r="C2021" s="4">
        <v>1</v>
      </c>
      <c r="D2021" s="21">
        <v>5</v>
      </c>
      <c r="F2021" s="57">
        <f t="shared" si="109"/>
        <v>1</v>
      </c>
    </row>
    <row r="2022" spans="1:6" x14ac:dyDescent="0.25">
      <c r="A2022" s="5" t="s">
        <v>44</v>
      </c>
      <c r="B2022" s="19">
        <v>43977</v>
      </c>
      <c r="C2022" s="4">
        <v>327</v>
      </c>
      <c r="D2022" s="21">
        <v>6202</v>
      </c>
      <c r="E2022" s="4">
        <v>5</v>
      </c>
      <c r="F2022" s="57">
        <f t="shared" si="109"/>
        <v>165</v>
      </c>
    </row>
    <row r="2023" spans="1:6" x14ac:dyDescent="0.25">
      <c r="A2023" s="5" t="s">
        <v>21</v>
      </c>
      <c r="B2023" s="19">
        <v>43977</v>
      </c>
      <c r="C2023" s="4">
        <v>0</v>
      </c>
      <c r="D2023" s="21">
        <v>459</v>
      </c>
      <c r="F2023" s="57">
        <f t="shared" si="109"/>
        <v>26</v>
      </c>
    </row>
    <row r="2024" spans="1:6" x14ac:dyDescent="0.25">
      <c r="A2024" s="5" t="s">
        <v>31</v>
      </c>
      <c r="B2024" s="19">
        <v>43977</v>
      </c>
      <c r="C2024" s="4">
        <v>0</v>
      </c>
      <c r="D2024" s="21">
        <v>78</v>
      </c>
      <c r="F2024" s="57">
        <f t="shared" si="109"/>
        <v>0</v>
      </c>
    </row>
    <row r="2025" spans="1:6" x14ac:dyDescent="0.25">
      <c r="A2025" s="5" t="s">
        <v>32</v>
      </c>
      <c r="B2025" s="19">
        <v>43977</v>
      </c>
      <c r="C2025" s="4">
        <v>0</v>
      </c>
      <c r="D2025" s="21">
        <v>29</v>
      </c>
      <c r="F2025" s="57">
        <f t="shared" si="109"/>
        <v>0</v>
      </c>
    </row>
    <row r="2026" spans="1:6" x14ac:dyDescent="0.25">
      <c r="A2026" s="5" t="s">
        <v>42</v>
      </c>
      <c r="B2026" s="19">
        <v>43977</v>
      </c>
      <c r="C2026" s="4">
        <v>0</v>
      </c>
      <c r="D2026" s="21">
        <v>0</v>
      </c>
      <c r="F2026" s="57">
        <f t="shared" ref="F2026:F2040" si="110">E2026+F2001</f>
        <v>0</v>
      </c>
    </row>
    <row r="2027" spans="1:6" x14ac:dyDescent="0.25">
      <c r="A2027" s="5" t="s">
        <v>33</v>
      </c>
      <c r="B2027" s="19">
        <v>43977</v>
      </c>
      <c r="C2027" s="4">
        <v>0</v>
      </c>
      <c r="D2027" s="21">
        <v>5</v>
      </c>
      <c r="F2027" s="57">
        <f t="shared" si="110"/>
        <v>0</v>
      </c>
    </row>
    <row r="2028" spans="1:6" x14ac:dyDescent="0.25">
      <c r="A2028" s="5" t="s">
        <v>34</v>
      </c>
      <c r="B2028" s="19">
        <v>43977</v>
      </c>
      <c r="C2028" s="4">
        <v>0</v>
      </c>
      <c r="D2028" s="21">
        <v>5</v>
      </c>
      <c r="F2028" s="57">
        <f t="shared" si="110"/>
        <v>0</v>
      </c>
    </row>
    <row r="2029" spans="1:6" x14ac:dyDescent="0.25">
      <c r="A2029" s="5" t="s">
        <v>22</v>
      </c>
      <c r="B2029" s="19">
        <v>43977</v>
      </c>
      <c r="C2029" s="4">
        <v>0</v>
      </c>
      <c r="D2029" s="21">
        <v>63</v>
      </c>
      <c r="F2029" s="57">
        <f t="shared" si="110"/>
        <v>0</v>
      </c>
    </row>
    <row r="2030" spans="1:6" x14ac:dyDescent="0.25">
      <c r="A2030" s="5" t="s">
        <v>18</v>
      </c>
      <c r="B2030" s="19">
        <v>43977</v>
      </c>
      <c r="C2030" s="4">
        <v>0</v>
      </c>
      <c r="D2030" s="21">
        <v>90</v>
      </c>
      <c r="F2030" s="57">
        <f t="shared" si="110"/>
        <v>0</v>
      </c>
    </row>
    <row r="2031" spans="1:6" x14ac:dyDescent="0.25">
      <c r="A2031" s="5" t="s">
        <v>24</v>
      </c>
      <c r="B2031" s="19">
        <v>43977</v>
      </c>
      <c r="C2031" s="4">
        <v>0</v>
      </c>
      <c r="D2031" s="21">
        <v>25</v>
      </c>
      <c r="F2031" s="57">
        <f t="shared" si="110"/>
        <v>0</v>
      </c>
    </row>
    <row r="2032" spans="1:6" x14ac:dyDescent="0.25">
      <c r="A2032" s="5" t="s">
        <v>20</v>
      </c>
      <c r="B2032" s="19">
        <v>43977</v>
      </c>
      <c r="C2032" s="4">
        <v>7</v>
      </c>
      <c r="D2032" s="21">
        <v>123</v>
      </c>
      <c r="F2032" s="57">
        <f t="shared" si="110"/>
        <v>0</v>
      </c>
    </row>
    <row r="2033" spans="1:6" x14ac:dyDescent="0.25">
      <c r="A2033" s="5" t="s">
        <v>19</v>
      </c>
      <c r="B2033" s="19">
        <v>43977</v>
      </c>
      <c r="C2033" s="4">
        <v>4</v>
      </c>
      <c r="D2033" s="21">
        <v>360</v>
      </c>
      <c r="F2033" s="57">
        <f t="shared" si="110"/>
        <v>0</v>
      </c>
    </row>
    <row r="2034" spans="1:6" x14ac:dyDescent="0.25">
      <c r="A2034" s="5" t="s">
        <v>35</v>
      </c>
      <c r="B2034" s="19">
        <v>43977</v>
      </c>
      <c r="C2034" s="4">
        <v>0</v>
      </c>
      <c r="D2034" s="21">
        <v>7</v>
      </c>
      <c r="F2034" s="57">
        <f t="shared" si="110"/>
        <v>1</v>
      </c>
    </row>
    <row r="2035" spans="1:6" x14ac:dyDescent="0.25">
      <c r="A2035" s="5" t="s">
        <v>36</v>
      </c>
      <c r="B2035" s="19">
        <v>43977</v>
      </c>
      <c r="C2035" s="4">
        <v>0</v>
      </c>
      <c r="D2035" s="21">
        <v>4</v>
      </c>
      <c r="F2035" s="57">
        <f>E2035+F2011</f>
        <v>0</v>
      </c>
    </row>
    <row r="2036" spans="1:6" x14ac:dyDescent="0.25">
      <c r="A2036" s="5" t="s">
        <v>37</v>
      </c>
      <c r="B2036" s="19">
        <v>43977</v>
      </c>
      <c r="C2036" s="4">
        <v>0</v>
      </c>
      <c r="D2036" s="21">
        <v>11</v>
      </c>
      <c r="F2036" s="57">
        <f t="shared" si="110"/>
        <v>0</v>
      </c>
    </row>
    <row r="2037" spans="1:6" x14ac:dyDescent="0.25">
      <c r="A2037" s="5" t="s">
        <v>38</v>
      </c>
      <c r="B2037" s="19">
        <v>43977</v>
      </c>
      <c r="C2037" s="4">
        <v>0</v>
      </c>
      <c r="D2037" s="21">
        <v>49</v>
      </c>
      <c r="F2037" s="57">
        <f t="shared" si="110"/>
        <v>0</v>
      </c>
    </row>
    <row r="2038" spans="1:6" x14ac:dyDescent="0.25">
      <c r="A2038" s="5" t="s">
        <v>23</v>
      </c>
      <c r="B2038" s="19">
        <v>43977</v>
      </c>
      <c r="C2038" s="4">
        <v>2</v>
      </c>
      <c r="D2038" s="21">
        <v>260</v>
      </c>
      <c r="F2038" s="57">
        <f>E2038+F2014</f>
        <v>3</v>
      </c>
    </row>
    <row r="2039" spans="1:6" x14ac:dyDescent="0.25">
      <c r="A2039" s="5" t="s">
        <v>39</v>
      </c>
      <c r="B2039" s="19">
        <v>43977</v>
      </c>
      <c r="C2039" s="4">
        <v>0</v>
      </c>
      <c r="D2039" s="21">
        <v>22</v>
      </c>
      <c r="F2039" s="57">
        <f>E2039+F2015</f>
        <v>0</v>
      </c>
    </row>
    <row r="2040" spans="1:6" x14ac:dyDescent="0.25">
      <c r="A2040" s="5" t="s">
        <v>40</v>
      </c>
      <c r="B2040" s="19">
        <v>43977</v>
      </c>
      <c r="C2040" s="4">
        <v>0</v>
      </c>
      <c r="D2040" s="21">
        <v>148</v>
      </c>
      <c r="F2040" s="57">
        <f t="shared" si="110"/>
        <v>0</v>
      </c>
    </row>
    <row r="2041" spans="1:6" x14ac:dyDescent="0.25">
      <c r="A2041" s="5" t="s">
        <v>41</v>
      </c>
      <c r="B2041" s="19">
        <v>43977</v>
      </c>
      <c r="C2041" s="4">
        <v>0</v>
      </c>
      <c r="D2041" s="21">
        <v>47</v>
      </c>
      <c r="F2041" s="57">
        <f>E2041+F2017</f>
        <v>3</v>
      </c>
    </row>
    <row r="2042" spans="1:6" x14ac:dyDescent="0.25">
      <c r="A2042" s="42" t="s">
        <v>17</v>
      </c>
      <c r="B2042" s="19">
        <v>43978</v>
      </c>
      <c r="C2042" s="4">
        <v>315</v>
      </c>
      <c r="D2042" s="21">
        <v>4770</v>
      </c>
      <c r="E2042" s="4">
        <v>3</v>
      </c>
      <c r="F2042" s="57">
        <f>E2042+F2018</f>
        <v>206</v>
      </c>
    </row>
    <row r="2043" spans="1:6" x14ac:dyDescent="0.25">
      <c r="A2043" s="5" t="s">
        <v>29</v>
      </c>
      <c r="B2043" s="19">
        <v>43978</v>
      </c>
      <c r="C2043" s="4">
        <v>0</v>
      </c>
      <c r="D2043" s="21">
        <v>0</v>
      </c>
      <c r="F2043" s="57">
        <f t="shared" ref="F2043:F2049" si="111">E2043+F2019</f>
        <v>0</v>
      </c>
    </row>
    <row r="2044" spans="1:6" x14ac:dyDescent="0.25">
      <c r="A2044" s="5" t="s">
        <v>16</v>
      </c>
      <c r="B2044" s="19">
        <v>43978</v>
      </c>
      <c r="C2044" s="4">
        <v>16</v>
      </c>
      <c r="D2044" s="21">
        <v>796</v>
      </c>
      <c r="E2044" s="4">
        <v>2</v>
      </c>
      <c r="F2044" s="57">
        <f t="shared" si="111"/>
        <v>46</v>
      </c>
    </row>
    <row r="2045" spans="1:6" x14ac:dyDescent="0.25">
      <c r="A2045" s="5" t="s">
        <v>30</v>
      </c>
      <c r="B2045" s="19">
        <v>43978</v>
      </c>
      <c r="C2045" s="4">
        <v>0</v>
      </c>
      <c r="D2045" s="21">
        <v>5</v>
      </c>
      <c r="F2045" s="57">
        <f t="shared" si="111"/>
        <v>1</v>
      </c>
    </row>
    <row r="2046" spans="1:6" x14ac:dyDescent="0.25">
      <c r="A2046" s="5" t="s">
        <v>44</v>
      </c>
      <c r="B2046" s="19">
        <v>43978</v>
      </c>
      <c r="C2046" s="4">
        <v>362</v>
      </c>
      <c r="D2046" s="21">
        <v>6564</v>
      </c>
      <c r="E2046" s="4">
        <v>4</v>
      </c>
      <c r="F2046" s="57">
        <f t="shared" si="111"/>
        <v>169</v>
      </c>
    </row>
    <row r="2047" spans="1:6" x14ac:dyDescent="0.25">
      <c r="A2047" s="5" t="s">
        <v>21</v>
      </c>
      <c r="B2047" s="19">
        <v>43978</v>
      </c>
      <c r="C2047" s="4">
        <v>0</v>
      </c>
      <c r="D2047" s="21">
        <v>459</v>
      </c>
      <c r="E2047" s="4">
        <v>1</v>
      </c>
      <c r="F2047" s="57">
        <f t="shared" si="111"/>
        <v>27</v>
      </c>
    </row>
    <row r="2048" spans="1:6" x14ac:dyDescent="0.25">
      <c r="A2048" s="5" t="s">
        <v>31</v>
      </c>
      <c r="B2048" s="19">
        <v>43978</v>
      </c>
      <c r="C2048" s="4">
        <v>2</v>
      </c>
      <c r="D2048" s="21">
        <v>80</v>
      </c>
      <c r="F2048" s="57">
        <f t="shared" si="111"/>
        <v>0</v>
      </c>
    </row>
    <row r="2049" spans="1:6" x14ac:dyDescent="0.25">
      <c r="A2049" s="5" t="s">
        <v>32</v>
      </c>
      <c r="B2049" s="19">
        <v>43978</v>
      </c>
      <c r="C2049" s="4">
        <v>0</v>
      </c>
      <c r="D2049" s="21">
        <v>29</v>
      </c>
      <c r="F2049" s="57">
        <f t="shared" si="111"/>
        <v>0</v>
      </c>
    </row>
    <row r="2050" spans="1:6" x14ac:dyDescent="0.25">
      <c r="A2050" s="5" t="s">
        <v>42</v>
      </c>
      <c r="B2050" s="19">
        <v>43978</v>
      </c>
      <c r="C2050" s="4">
        <v>0</v>
      </c>
      <c r="D2050" s="21">
        <v>0</v>
      </c>
      <c r="F2050" s="57">
        <f t="shared" ref="F2050:F2064" si="112">E2050+F2025</f>
        <v>0</v>
      </c>
    </row>
    <row r="2051" spans="1:6" x14ac:dyDescent="0.25">
      <c r="A2051" s="5" t="s">
        <v>33</v>
      </c>
      <c r="B2051" s="19">
        <v>43978</v>
      </c>
      <c r="C2051" s="4">
        <v>0</v>
      </c>
      <c r="D2051" s="21">
        <v>5</v>
      </c>
      <c r="F2051" s="57">
        <f t="shared" si="112"/>
        <v>0</v>
      </c>
    </row>
    <row r="2052" spans="1:6" x14ac:dyDescent="0.25">
      <c r="A2052" s="5" t="s">
        <v>34</v>
      </c>
      <c r="B2052" s="19">
        <v>43978</v>
      </c>
      <c r="C2052" s="4">
        <v>0</v>
      </c>
      <c r="D2052" s="21">
        <v>5</v>
      </c>
      <c r="F2052" s="57">
        <f t="shared" si="112"/>
        <v>0</v>
      </c>
    </row>
    <row r="2053" spans="1:6" x14ac:dyDescent="0.25">
      <c r="A2053" s="5" t="s">
        <v>22</v>
      </c>
      <c r="B2053" s="19">
        <v>43978</v>
      </c>
      <c r="C2053" s="4">
        <v>0</v>
      </c>
      <c r="D2053" s="21">
        <v>63</v>
      </c>
      <c r="F2053" s="57">
        <f t="shared" si="112"/>
        <v>0</v>
      </c>
    </row>
    <row r="2054" spans="1:6" x14ac:dyDescent="0.25">
      <c r="A2054" s="5" t="s">
        <v>18</v>
      </c>
      <c r="B2054" s="19">
        <v>43978</v>
      </c>
      <c r="C2054" s="4">
        <v>-1</v>
      </c>
      <c r="D2054" s="21">
        <v>89</v>
      </c>
      <c r="F2054" s="57">
        <f t="shared" si="112"/>
        <v>0</v>
      </c>
    </row>
    <row r="2055" spans="1:6" x14ac:dyDescent="0.25">
      <c r="A2055" s="5" t="s">
        <v>24</v>
      </c>
      <c r="B2055" s="19">
        <v>43978</v>
      </c>
      <c r="C2055" s="4">
        <v>0</v>
      </c>
      <c r="D2055" s="21">
        <v>25</v>
      </c>
      <c r="F2055" s="57">
        <f t="shared" si="112"/>
        <v>0</v>
      </c>
    </row>
    <row r="2056" spans="1:6" x14ac:dyDescent="0.25">
      <c r="A2056" s="5" t="s">
        <v>20</v>
      </c>
      <c r="B2056" s="19">
        <v>43978</v>
      </c>
      <c r="C2056" s="4">
        <v>2</v>
      </c>
      <c r="D2056" s="21">
        <v>125</v>
      </c>
      <c r="F2056" s="57">
        <f t="shared" si="112"/>
        <v>0</v>
      </c>
    </row>
    <row r="2057" spans="1:6" x14ac:dyDescent="0.25">
      <c r="A2057" s="5" t="s">
        <v>19</v>
      </c>
      <c r="B2057" s="19">
        <v>43978</v>
      </c>
      <c r="C2057" s="4">
        <v>8</v>
      </c>
      <c r="D2057" s="21">
        <v>368</v>
      </c>
      <c r="F2057" s="57">
        <f t="shared" si="112"/>
        <v>0</v>
      </c>
    </row>
    <row r="2058" spans="1:6" x14ac:dyDescent="0.25">
      <c r="A2058" s="5" t="s">
        <v>35</v>
      </c>
      <c r="B2058" s="19">
        <v>43978</v>
      </c>
      <c r="C2058" s="4">
        <v>0</v>
      </c>
      <c r="D2058" s="21">
        <v>7</v>
      </c>
      <c r="F2058" s="57">
        <f t="shared" si="112"/>
        <v>0</v>
      </c>
    </row>
    <row r="2059" spans="1:6" x14ac:dyDescent="0.25">
      <c r="A2059" s="5" t="s">
        <v>36</v>
      </c>
      <c r="B2059" s="19">
        <v>43978</v>
      </c>
      <c r="C2059" s="4">
        <v>1</v>
      </c>
      <c r="D2059" s="21">
        <v>5</v>
      </c>
      <c r="F2059" s="57">
        <f>E2059+F2035</f>
        <v>0</v>
      </c>
    </row>
    <row r="2060" spans="1:6" x14ac:dyDescent="0.25">
      <c r="A2060" s="5" t="s">
        <v>37</v>
      </c>
      <c r="B2060" s="19">
        <v>43978</v>
      </c>
      <c r="C2060" s="4">
        <v>0</v>
      </c>
      <c r="D2060" s="21">
        <v>11</v>
      </c>
      <c r="F2060" s="57">
        <f t="shared" si="112"/>
        <v>0</v>
      </c>
    </row>
    <row r="2061" spans="1:6" x14ac:dyDescent="0.25">
      <c r="A2061" s="5" t="s">
        <v>38</v>
      </c>
      <c r="B2061" s="19">
        <v>43978</v>
      </c>
      <c r="C2061" s="4">
        <v>0</v>
      </c>
      <c r="D2061" s="21">
        <v>49</v>
      </c>
      <c r="F2061" s="57">
        <f t="shared" si="112"/>
        <v>0</v>
      </c>
    </row>
    <row r="2062" spans="1:6" x14ac:dyDescent="0.25">
      <c r="A2062" s="5" t="s">
        <v>23</v>
      </c>
      <c r="B2062" s="19">
        <v>43978</v>
      </c>
      <c r="C2062" s="4">
        <v>0</v>
      </c>
      <c r="D2062" s="21">
        <v>260</v>
      </c>
      <c r="F2062" s="57">
        <f>E2062+F2038</f>
        <v>3</v>
      </c>
    </row>
    <row r="2063" spans="1:6" x14ac:dyDescent="0.25">
      <c r="A2063" s="5" t="s">
        <v>39</v>
      </c>
      <c r="B2063" s="19">
        <v>43978</v>
      </c>
      <c r="C2063" s="4">
        <v>0</v>
      </c>
      <c r="D2063" s="21">
        <v>22</v>
      </c>
      <c r="F2063" s="57">
        <f>E2063+F2039</f>
        <v>0</v>
      </c>
    </row>
    <row r="2064" spans="1:6" x14ac:dyDescent="0.25">
      <c r="A2064" s="5" t="s">
        <v>40</v>
      </c>
      <c r="B2064" s="19">
        <v>43978</v>
      </c>
      <c r="C2064" s="4">
        <v>1</v>
      </c>
      <c r="D2064" s="21">
        <v>149</v>
      </c>
      <c r="F2064" s="57">
        <f t="shared" si="112"/>
        <v>0</v>
      </c>
    </row>
    <row r="2065" spans="1:6" x14ac:dyDescent="0.25">
      <c r="A2065" s="5" t="s">
        <v>41</v>
      </c>
      <c r="B2065" s="19">
        <v>43978</v>
      </c>
      <c r="C2065" s="4">
        <v>0</v>
      </c>
      <c r="D2065" s="21">
        <v>47</v>
      </c>
      <c r="F2065" s="57">
        <f>E2065+F2041</f>
        <v>3</v>
      </c>
    </row>
    <row r="2066" spans="1:6" x14ac:dyDescent="0.25">
      <c r="A2066" s="42" t="s">
        <v>17</v>
      </c>
      <c r="B2066" s="19">
        <v>43979</v>
      </c>
      <c r="C2066" s="4">
        <v>299</v>
      </c>
      <c r="D2066" s="21">
        <v>5069</v>
      </c>
      <c r="E2066" s="4">
        <v>4</v>
      </c>
      <c r="F2066" s="57">
        <f>E2066+F2042</f>
        <v>210</v>
      </c>
    </row>
    <row r="2067" spans="1:6" x14ac:dyDescent="0.25">
      <c r="A2067" s="5" t="s">
        <v>29</v>
      </c>
      <c r="B2067" s="19">
        <v>43979</v>
      </c>
      <c r="C2067" s="4">
        <v>0</v>
      </c>
      <c r="D2067" s="21">
        <v>0</v>
      </c>
      <c r="F2067" s="57">
        <f t="shared" ref="F2067:F2073" si="113">E2067+F2043</f>
        <v>0</v>
      </c>
    </row>
    <row r="2068" spans="1:6" x14ac:dyDescent="0.25">
      <c r="A2068" s="5" t="s">
        <v>16</v>
      </c>
      <c r="B2068" s="19">
        <v>43979</v>
      </c>
      <c r="C2068" s="4">
        <v>28</v>
      </c>
      <c r="D2068" s="21">
        <v>824</v>
      </c>
      <c r="E2068" s="4">
        <v>1</v>
      </c>
      <c r="F2068" s="57">
        <f t="shared" si="113"/>
        <v>47</v>
      </c>
    </row>
    <row r="2069" spans="1:6" x14ac:dyDescent="0.25">
      <c r="A2069" s="5" t="s">
        <v>30</v>
      </c>
      <c r="B2069" s="19">
        <v>43979</v>
      </c>
      <c r="C2069" s="4">
        <v>3</v>
      </c>
      <c r="D2069" s="21">
        <v>8</v>
      </c>
      <c r="F2069" s="57">
        <f t="shared" si="113"/>
        <v>1</v>
      </c>
    </row>
    <row r="2070" spans="1:6" x14ac:dyDescent="0.25">
      <c r="A2070" s="5" t="s">
        <v>44</v>
      </c>
      <c r="B2070" s="19">
        <v>43979</v>
      </c>
      <c r="C2070" s="4">
        <v>425</v>
      </c>
      <c r="D2070" s="21">
        <v>6989</v>
      </c>
      <c r="E2070" s="4">
        <v>3</v>
      </c>
      <c r="F2070" s="57">
        <f t="shared" si="113"/>
        <v>172</v>
      </c>
    </row>
    <row r="2071" spans="1:6" x14ac:dyDescent="0.25">
      <c r="A2071" s="5" t="s">
        <v>21</v>
      </c>
      <c r="B2071" s="19">
        <v>43979</v>
      </c>
      <c r="C2071" s="4">
        <v>-1</v>
      </c>
      <c r="D2071" s="21">
        <v>458</v>
      </c>
      <c r="F2071" s="57">
        <f t="shared" si="113"/>
        <v>27</v>
      </c>
    </row>
    <row r="2072" spans="1:6" x14ac:dyDescent="0.25">
      <c r="A2072" s="5" t="s">
        <v>31</v>
      </c>
      <c r="B2072" s="19">
        <v>43979</v>
      </c>
      <c r="C2072" s="4">
        <v>1</v>
      </c>
      <c r="D2072" s="21">
        <v>81</v>
      </c>
      <c r="F2072" s="57">
        <f t="shared" si="113"/>
        <v>0</v>
      </c>
    </row>
    <row r="2073" spans="1:6" x14ac:dyDescent="0.25">
      <c r="A2073" s="5" t="s">
        <v>32</v>
      </c>
      <c r="B2073" s="19">
        <v>43979</v>
      </c>
      <c r="C2073" s="4">
        <v>1</v>
      </c>
      <c r="D2073" s="21">
        <v>30</v>
      </c>
      <c r="F2073" s="57">
        <f t="shared" si="113"/>
        <v>0</v>
      </c>
    </row>
    <row r="2074" spans="1:6" x14ac:dyDescent="0.25">
      <c r="A2074" s="5" t="s">
        <v>42</v>
      </c>
      <c r="B2074" s="19">
        <v>43979</v>
      </c>
      <c r="C2074" s="4">
        <v>0</v>
      </c>
      <c r="D2074" s="21">
        <v>0</v>
      </c>
      <c r="F2074" s="57">
        <f t="shared" ref="F2074:F2088" si="114">E2074+F2049</f>
        <v>0</v>
      </c>
    </row>
    <row r="2075" spans="1:6" x14ac:dyDescent="0.25">
      <c r="A2075" s="5" t="s">
        <v>33</v>
      </c>
      <c r="B2075" s="19">
        <v>43979</v>
      </c>
      <c r="C2075" s="4">
        <v>1</v>
      </c>
      <c r="D2075" s="21">
        <v>6</v>
      </c>
      <c r="F2075" s="57">
        <f t="shared" si="114"/>
        <v>0</v>
      </c>
    </row>
    <row r="2076" spans="1:6" x14ac:dyDescent="0.25">
      <c r="A2076" s="5" t="s">
        <v>34</v>
      </c>
      <c r="B2076" s="19">
        <v>43979</v>
      </c>
      <c r="C2076" s="4">
        <v>0</v>
      </c>
      <c r="D2076" s="21">
        <v>5</v>
      </c>
      <c r="F2076" s="57">
        <f t="shared" si="114"/>
        <v>0</v>
      </c>
    </row>
    <row r="2077" spans="1:6" x14ac:dyDescent="0.25">
      <c r="A2077" s="5" t="s">
        <v>22</v>
      </c>
      <c r="B2077" s="19">
        <v>43979</v>
      </c>
      <c r="C2077" s="4">
        <v>0</v>
      </c>
      <c r="D2077" s="21">
        <v>63</v>
      </c>
      <c r="F2077" s="57">
        <f t="shared" si="114"/>
        <v>0</v>
      </c>
    </row>
    <row r="2078" spans="1:6" x14ac:dyDescent="0.25">
      <c r="A2078" s="5" t="s">
        <v>18</v>
      </c>
      <c r="B2078" s="19">
        <v>43979</v>
      </c>
      <c r="C2078" s="4">
        <v>0</v>
      </c>
      <c r="D2078" s="21">
        <v>89</v>
      </c>
      <c r="F2078" s="57">
        <f t="shared" si="114"/>
        <v>0</v>
      </c>
    </row>
    <row r="2079" spans="1:6" x14ac:dyDescent="0.25">
      <c r="A2079" s="5" t="s">
        <v>24</v>
      </c>
      <c r="B2079" s="19">
        <v>43979</v>
      </c>
      <c r="C2079" s="4">
        <v>2</v>
      </c>
      <c r="D2079" s="21">
        <v>27</v>
      </c>
      <c r="F2079" s="57">
        <f t="shared" si="114"/>
        <v>0</v>
      </c>
    </row>
    <row r="2080" spans="1:6" x14ac:dyDescent="0.25">
      <c r="A2080" s="5" t="s">
        <v>20</v>
      </c>
      <c r="B2080" s="19">
        <v>43979</v>
      </c>
      <c r="C2080" s="4">
        <v>3</v>
      </c>
      <c r="D2080" s="21">
        <v>128</v>
      </c>
      <c r="F2080" s="57">
        <f t="shared" si="114"/>
        <v>0</v>
      </c>
    </row>
    <row r="2081" spans="1:6" x14ac:dyDescent="0.25">
      <c r="A2081" s="5" t="s">
        <v>19</v>
      </c>
      <c r="B2081" s="19">
        <v>43979</v>
      </c>
      <c r="C2081" s="4">
        <v>7</v>
      </c>
      <c r="D2081" s="21">
        <v>375</v>
      </c>
      <c r="F2081" s="57">
        <f t="shared" si="114"/>
        <v>0</v>
      </c>
    </row>
    <row r="2082" spans="1:6" x14ac:dyDescent="0.25">
      <c r="A2082" s="5" t="s">
        <v>35</v>
      </c>
      <c r="B2082" s="19">
        <v>43979</v>
      </c>
      <c r="C2082" s="4">
        <v>0</v>
      </c>
      <c r="D2082" s="21">
        <v>7</v>
      </c>
      <c r="F2082" s="57">
        <f t="shared" si="114"/>
        <v>0</v>
      </c>
    </row>
    <row r="2083" spans="1:6" x14ac:dyDescent="0.25">
      <c r="A2083" s="5" t="s">
        <v>36</v>
      </c>
      <c r="B2083" s="19">
        <v>43979</v>
      </c>
      <c r="C2083" s="4">
        <v>0</v>
      </c>
      <c r="D2083" s="21">
        <v>5</v>
      </c>
      <c r="F2083" s="57">
        <f>E2083+F2059</f>
        <v>0</v>
      </c>
    </row>
    <row r="2084" spans="1:6" x14ac:dyDescent="0.25">
      <c r="A2084" s="5" t="s">
        <v>37</v>
      </c>
      <c r="B2084" s="19">
        <v>43979</v>
      </c>
      <c r="C2084" s="4">
        <v>0</v>
      </c>
      <c r="D2084" s="21">
        <v>11</v>
      </c>
      <c r="F2084" s="57">
        <f t="shared" si="114"/>
        <v>0</v>
      </c>
    </row>
    <row r="2085" spans="1:6" x14ac:dyDescent="0.25">
      <c r="A2085" s="5" t="s">
        <v>38</v>
      </c>
      <c r="B2085" s="19">
        <v>43979</v>
      </c>
      <c r="C2085" s="4">
        <v>0</v>
      </c>
      <c r="D2085" s="21">
        <v>49</v>
      </c>
      <c r="F2085" s="57">
        <f t="shared" si="114"/>
        <v>0</v>
      </c>
    </row>
    <row r="2086" spans="1:6" x14ac:dyDescent="0.25">
      <c r="A2086" s="5" t="s">
        <v>23</v>
      </c>
      <c r="B2086" s="19">
        <v>43979</v>
      </c>
      <c r="C2086" s="4">
        <v>0</v>
      </c>
      <c r="D2086" s="21">
        <v>260</v>
      </c>
      <c r="F2086" s="57">
        <f>E2086+F2062</f>
        <v>3</v>
      </c>
    </row>
    <row r="2087" spans="1:6" x14ac:dyDescent="0.25">
      <c r="A2087" s="5" t="s">
        <v>39</v>
      </c>
      <c r="B2087" s="19">
        <v>43979</v>
      </c>
      <c r="C2087" s="4">
        <v>0</v>
      </c>
      <c r="D2087" s="21">
        <v>22</v>
      </c>
      <c r="F2087" s="57">
        <f>E2087+F2063</f>
        <v>0</v>
      </c>
    </row>
    <row r="2088" spans="1:6" x14ac:dyDescent="0.25">
      <c r="A2088" s="5" t="s">
        <v>40</v>
      </c>
      <c r="B2088" s="19">
        <v>43979</v>
      </c>
      <c r="C2088" s="4">
        <v>0</v>
      </c>
      <c r="D2088" s="21">
        <v>149</v>
      </c>
      <c r="F2088" s="57">
        <f t="shared" si="114"/>
        <v>0</v>
      </c>
    </row>
    <row r="2089" spans="1:6" x14ac:dyDescent="0.25">
      <c r="A2089" s="5" t="s">
        <v>41</v>
      </c>
      <c r="B2089" s="19">
        <v>43979</v>
      </c>
      <c r="C2089" s="4">
        <v>0</v>
      </c>
      <c r="D2089" s="21">
        <v>47</v>
      </c>
      <c r="F2089" s="57">
        <f>E2089+F2065</f>
        <v>3</v>
      </c>
    </row>
    <row r="2090" spans="1:6" x14ac:dyDescent="0.25">
      <c r="A2090" s="42" t="s">
        <v>17</v>
      </c>
      <c r="B2090" s="19">
        <v>43980</v>
      </c>
      <c r="C2090" s="4">
        <v>273</v>
      </c>
      <c r="D2090" s="21">
        <v>5342</v>
      </c>
      <c r="E2090" s="4">
        <v>5</v>
      </c>
      <c r="F2090" s="57">
        <f>E2090+F2066</f>
        <v>215</v>
      </c>
    </row>
    <row r="2091" spans="1:6" x14ac:dyDescent="0.25">
      <c r="A2091" s="5" t="s">
        <v>29</v>
      </c>
      <c r="B2091" s="19">
        <v>43980</v>
      </c>
      <c r="C2091" s="4">
        <v>0</v>
      </c>
      <c r="D2091" s="21">
        <v>0</v>
      </c>
      <c r="F2091" s="57">
        <f t="shared" ref="F2091:F2097" si="115">E2091+F2067</f>
        <v>0</v>
      </c>
    </row>
    <row r="2092" spans="1:6" x14ac:dyDescent="0.25">
      <c r="A2092" s="5" t="s">
        <v>16</v>
      </c>
      <c r="B2092" s="19">
        <v>43980</v>
      </c>
      <c r="C2092" s="4">
        <v>26</v>
      </c>
      <c r="D2092" s="21">
        <v>850</v>
      </c>
      <c r="E2092" s="4">
        <v>1</v>
      </c>
      <c r="F2092" s="57">
        <f t="shared" si="115"/>
        <v>48</v>
      </c>
    </row>
    <row r="2093" spans="1:6" x14ac:dyDescent="0.25">
      <c r="A2093" s="5" t="s">
        <v>30</v>
      </c>
      <c r="B2093" s="19">
        <v>43980</v>
      </c>
      <c r="C2093" s="4">
        <v>0</v>
      </c>
      <c r="D2093" s="21">
        <v>8</v>
      </c>
      <c r="F2093" s="57">
        <f t="shared" si="115"/>
        <v>1</v>
      </c>
    </row>
    <row r="2094" spans="1:6" x14ac:dyDescent="0.25">
      <c r="A2094" s="5" t="s">
        <v>44</v>
      </c>
      <c r="B2094" s="19">
        <v>43980</v>
      </c>
      <c r="C2094" s="4">
        <v>399</v>
      </c>
      <c r="D2094" s="21">
        <v>7388</v>
      </c>
      <c r="E2094" s="4">
        <v>6</v>
      </c>
      <c r="F2094" s="57">
        <f t="shared" si="115"/>
        <v>178</v>
      </c>
    </row>
    <row r="2095" spans="1:6" x14ac:dyDescent="0.25">
      <c r="A2095" s="5" t="s">
        <v>21</v>
      </c>
      <c r="B2095" s="19">
        <v>43980</v>
      </c>
      <c r="C2095" s="4">
        <v>0</v>
      </c>
      <c r="D2095" s="21">
        <v>458</v>
      </c>
      <c r="F2095" s="57">
        <f t="shared" si="115"/>
        <v>27</v>
      </c>
    </row>
    <row r="2096" spans="1:6" x14ac:dyDescent="0.25">
      <c r="A2096" s="5" t="s">
        <v>31</v>
      </c>
      <c r="B2096" s="19">
        <v>43980</v>
      </c>
      <c r="C2096" s="4">
        <v>6</v>
      </c>
      <c r="D2096" s="21">
        <v>87</v>
      </c>
      <c r="F2096" s="57">
        <f t="shared" si="115"/>
        <v>0</v>
      </c>
    </row>
    <row r="2097" spans="1:6" x14ac:dyDescent="0.25">
      <c r="A2097" s="5" t="s">
        <v>32</v>
      </c>
      <c r="B2097" s="19">
        <v>43980</v>
      </c>
      <c r="C2097" s="4">
        <v>0</v>
      </c>
      <c r="D2097" s="21">
        <v>30</v>
      </c>
      <c r="F2097" s="57">
        <f t="shared" si="115"/>
        <v>0</v>
      </c>
    </row>
    <row r="2098" spans="1:6" x14ac:dyDescent="0.25">
      <c r="A2098" s="5" t="s">
        <v>42</v>
      </c>
      <c r="B2098" s="19">
        <v>43980</v>
      </c>
      <c r="C2098" s="4">
        <v>0</v>
      </c>
      <c r="D2098" s="21">
        <v>0</v>
      </c>
      <c r="F2098" s="57">
        <f t="shared" ref="F2098:F2112" si="116">E2098+F2073</f>
        <v>0</v>
      </c>
    </row>
    <row r="2099" spans="1:6" x14ac:dyDescent="0.25">
      <c r="A2099" s="5" t="s">
        <v>33</v>
      </c>
      <c r="B2099" s="19">
        <v>43980</v>
      </c>
      <c r="C2099" s="4">
        <v>0</v>
      </c>
      <c r="D2099" s="21">
        <v>6</v>
      </c>
      <c r="F2099" s="57">
        <f t="shared" si="116"/>
        <v>0</v>
      </c>
    </row>
    <row r="2100" spans="1:6" x14ac:dyDescent="0.25">
      <c r="A2100" s="5" t="s">
        <v>34</v>
      </c>
      <c r="B2100" s="19">
        <v>43980</v>
      </c>
      <c r="C2100" s="4">
        <v>0</v>
      </c>
      <c r="D2100" s="21">
        <v>5</v>
      </c>
      <c r="F2100" s="57">
        <f t="shared" si="116"/>
        <v>0</v>
      </c>
    </row>
    <row r="2101" spans="1:6" x14ac:dyDescent="0.25">
      <c r="A2101" s="5" t="s">
        <v>22</v>
      </c>
      <c r="B2101" s="19">
        <v>43980</v>
      </c>
      <c r="C2101" s="4">
        <v>0</v>
      </c>
      <c r="D2101" s="21">
        <v>63</v>
      </c>
      <c r="F2101" s="57">
        <f t="shared" si="116"/>
        <v>0</v>
      </c>
    </row>
    <row r="2102" spans="1:6" x14ac:dyDescent="0.25">
      <c r="A2102" s="5" t="s">
        <v>18</v>
      </c>
      <c r="B2102" s="19">
        <v>43980</v>
      </c>
      <c r="C2102" s="4">
        <v>0</v>
      </c>
      <c r="D2102" s="21">
        <v>89</v>
      </c>
      <c r="F2102" s="57">
        <f t="shared" si="116"/>
        <v>0</v>
      </c>
    </row>
    <row r="2103" spans="1:6" x14ac:dyDescent="0.25">
      <c r="A2103" s="5" t="s">
        <v>24</v>
      </c>
      <c r="B2103" s="19">
        <v>43980</v>
      </c>
      <c r="C2103" s="4">
        <v>0</v>
      </c>
      <c r="D2103" s="21">
        <v>27</v>
      </c>
      <c r="F2103" s="57">
        <f t="shared" si="116"/>
        <v>0</v>
      </c>
    </row>
    <row r="2104" spans="1:6" x14ac:dyDescent="0.25">
      <c r="A2104" s="5" t="s">
        <v>20</v>
      </c>
      <c r="B2104" s="19">
        <v>43980</v>
      </c>
      <c r="C2104" s="4">
        <v>2</v>
      </c>
      <c r="D2104" s="21">
        <v>130</v>
      </c>
      <c r="F2104" s="57">
        <f t="shared" si="116"/>
        <v>0</v>
      </c>
    </row>
    <row r="2105" spans="1:6" x14ac:dyDescent="0.25">
      <c r="A2105" s="5" t="s">
        <v>19</v>
      </c>
      <c r="B2105" s="19">
        <v>43980</v>
      </c>
      <c r="C2105" s="4">
        <v>12</v>
      </c>
      <c r="D2105" s="21">
        <v>387</v>
      </c>
      <c r="F2105" s="57">
        <f t="shared" si="116"/>
        <v>0</v>
      </c>
    </row>
    <row r="2106" spans="1:6" x14ac:dyDescent="0.25">
      <c r="A2106" s="5" t="s">
        <v>35</v>
      </c>
      <c r="B2106" s="19">
        <v>43980</v>
      </c>
      <c r="C2106" s="4">
        <v>0</v>
      </c>
      <c r="D2106" s="21">
        <v>7</v>
      </c>
      <c r="F2106" s="57">
        <f t="shared" si="116"/>
        <v>0</v>
      </c>
    </row>
    <row r="2107" spans="1:6" x14ac:dyDescent="0.25">
      <c r="A2107" s="5" t="s">
        <v>36</v>
      </c>
      <c r="B2107" s="19">
        <v>43980</v>
      </c>
      <c r="C2107" s="4">
        <v>0</v>
      </c>
      <c r="D2107" s="21">
        <v>5</v>
      </c>
      <c r="F2107" s="57">
        <f>E2107+F2083</f>
        <v>0</v>
      </c>
    </row>
    <row r="2108" spans="1:6" x14ac:dyDescent="0.25">
      <c r="A2108" s="5" t="s">
        <v>37</v>
      </c>
      <c r="B2108" s="19">
        <v>43980</v>
      </c>
      <c r="C2108" s="4">
        <v>0</v>
      </c>
      <c r="D2108" s="21">
        <v>11</v>
      </c>
      <c r="F2108" s="57">
        <f t="shared" si="116"/>
        <v>0</v>
      </c>
    </row>
    <row r="2109" spans="1:6" x14ac:dyDescent="0.25">
      <c r="A2109" s="5" t="s">
        <v>38</v>
      </c>
      <c r="B2109" s="19">
        <v>43980</v>
      </c>
      <c r="C2109" s="4">
        <v>0</v>
      </c>
      <c r="D2109" s="21">
        <v>49</v>
      </c>
      <c r="F2109" s="57">
        <f t="shared" si="116"/>
        <v>0</v>
      </c>
    </row>
    <row r="2110" spans="1:6" x14ac:dyDescent="0.25">
      <c r="A2110" s="5" t="s">
        <v>23</v>
      </c>
      <c r="B2110" s="19">
        <v>43980</v>
      </c>
      <c r="C2110" s="4">
        <v>0</v>
      </c>
      <c r="D2110" s="21">
        <v>260</v>
      </c>
      <c r="F2110" s="57">
        <f>E2110+F2086</f>
        <v>3</v>
      </c>
    </row>
    <row r="2111" spans="1:6" x14ac:dyDescent="0.25">
      <c r="A2111" s="5" t="s">
        <v>39</v>
      </c>
      <c r="B2111" s="19">
        <v>43980</v>
      </c>
      <c r="C2111" s="4">
        <v>0</v>
      </c>
      <c r="D2111" s="21">
        <v>22</v>
      </c>
      <c r="F2111" s="57">
        <f>E2111+F2087</f>
        <v>0</v>
      </c>
    </row>
    <row r="2112" spans="1:6" x14ac:dyDescent="0.25">
      <c r="A2112" s="5" t="s">
        <v>40</v>
      </c>
      <c r="B2112" s="19">
        <v>43980</v>
      </c>
      <c r="C2112" s="4">
        <v>0</v>
      </c>
      <c r="D2112" s="21">
        <v>149</v>
      </c>
      <c r="F2112" s="57">
        <f t="shared" si="116"/>
        <v>0</v>
      </c>
    </row>
    <row r="2113" spans="1:6" x14ac:dyDescent="0.25">
      <c r="A2113" s="5" t="s">
        <v>41</v>
      </c>
      <c r="B2113" s="19">
        <v>43980</v>
      </c>
      <c r="C2113" s="4">
        <v>0</v>
      </c>
      <c r="D2113" s="21">
        <v>47</v>
      </c>
      <c r="F2113" s="57">
        <f>E2113+F2089</f>
        <v>3</v>
      </c>
    </row>
    <row r="2114" spans="1:6" x14ac:dyDescent="0.25">
      <c r="A2114" s="42" t="s">
        <v>17</v>
      </c>
      <c r="B2114" s="19">
        <v>43981</v>
      </c>
      <c r="C2114" s="4">
        <v>296</v>
      </c>
      <c r="D2114" s="21">
        <v>5638</v>
      </c>
      <c r="E2114" s="4">
        <v>2</v>
      </c>
      <c r="F2114" s="57">
        <f>E2114+F2090</f>
        <v>217</v>
      </c>
    </row>
    <row r="2115" spans="1:6" x14ac:dyDescent="0.25">
      <c r="A2115" s="5" t="s">
        <v>29</v>
      </c>
      <c r="B2115" s="19">
        <v>43981</v>
      </c>
      <c r="C2115" s="4">
        <v>0</v>
      </c>
      <c r="D2115" s="21">
        <v>0</v>
      </c>
      <c r="F2115" s="57">
        <f t="shared" ref="F2115:F2121" si="117">E2115+F2091</f>
        <v>0</v>
      </c>
    </row>
    <row r="2116" spans="1:6" x14ac:dyDescent="0.25">
      <c r="A2116" s="5" t="s">
        <v>16</v>
      </c>
      <c r="B2116" s="19">
        <v>43981</v>
      </c>
      <c r="C2116" s="4">
        <v>24</v>
      </c>
      <c r="D2116" s="21">
        <v>874</v>
      </c>
      <c r="E2116" s="4">
        <v>4</v>
      </c>
      <c r="F2116" s="57">
        <f t="shared" si="117"/>
        <v>52</v>
      </c>
    </row>
    <row r="2117" spans="1:6" x14ac:dyDescent="0.25">
      <c r="A2117" s="5" t="s">
        <v>30</v>
      </c>
      <c r="B2117" s="19">
        <v>43981</v>
      </c>
      <c r="C2117" s="4">
        <v>2</v>
      </c>
      <c r="D2117" s="21">
        <v>10</v>
      </c>
      <c r="F2117" s="57">
        <f t="shared" si="117"/>
        <v>1</v>
      </c>
    </row>
    <row r="2118" spans="1:6" x14ac:dyDescent="0.25">
      <c r="A2118" s="5" t="s">
        <v>44</v>
      </c>
      <c r="B2118" s="19">
        <v>43981</v>
      </c>
      <c r="C2118" s="4">
        <v>460</v>
      </c>
      <c r="D2118" s="21">
        <v>7848</v>
      </c>
      <c r="E2118" s="4">
        <v>2</v>
      </c>
      <c r="F2118" s="57">
        <f t="shared" si="117"/>
        <v>180</v>
      </c>
    </row>
    <row r="2119" spans="1:6" x14ac:dyDescent="0.25">
      <c r="A2119" s="5" t="s">
        <v>21</v>
      </c>
      <c r="B2119" s="19">
        <v>43981</v>
      </c>
      <c r="C2119" s="4">
        <v>0</v>
      </c>
      <c r="D2119" s="21">
        <v>458</v>
      </c>
      <c r="F2119" s="57">
        <f t="shared" si="117"/>
        <v>27</v>
      </c>
    </row>
    <row r="2120" spans="1:6" x14ac:dyDescent="0.25">
      <c r="A2120" s="5" t="s">
        <v>31</v>
      </c>
      <c r="B2120" s="19">
        <v>43981</v>
      </c>
      <c r="C2120" s="4">
        <v>0</v>
      </c>
      <c r="D2120" s="21">
        <v>87</v>
      </c>
      <c r="F2120" s="57">
        <f t="shared" si="117"/>
        <v>0</v>
      </c>
    </row>
    <row r="2121" spans="1:6" x14ac:dyDescent="0.25">
      <c r="A2121" s="5" t="s">
        <v>32</v>
      </c>
      <c r="B2121" s="19">
        <v>43981</v>
      </c>
      <c r="C2121" s="4">
        <v>1</v>
      </c>
      <c r="D2121" s="21">
        <v>31</v>
      </c>
      <c r="F2121" s="57">
        <f t="shared" si="117"/>
        <v>0</v>
      </c>
    </row>
    <row r="2122" spans="1:6" x14ac:dyDescent="0.25">
      <c r="A2122" s="5" t="s">
        <v>42</v>
      </c>
      <c r="B2122" s="19">
        <v>43981</v>
      </c>
      <c r="C2122" s="4">
        <v>0</v>
      </c>
      <c r="D2122" s="21">
        <v>0</v>
      </c>
      <c r="F2122" s="57">
        <f t="shared" ref="F2122:F2136" si="118">E2122+F2097</f>
        <v>0</v>
      </c>
    </row>
    <row r="2123" spans="1:6" x14ac:dyDescent="0.25">
      <c r="A2123" s="5" t="s">
        <v>33</v>
      </c>
      <c r="B2123" s="19">
        <v>43981</v>
      </c>
      <c r="C2123" s="4">
        <v>0</v>
      </c>
      <c r="D2123" s="21">
        <v>6</v>
      </c>
      <c r="F2123" s="57">
        <f t="shared" si="118"/>
        <v>0</v>
      </c>
    </row>
    <row r="2124" spans="1:6" x14ac:dyDescent="0.25">
      <c r="A2124" s="5" t="s">
        <v>34</v>
      </c>
      <c r="B2124" s="19">
        <v>43981</v>
      </c>
      <c r="C2124" s="4">
        <v>0</v>
      </c>
      <c r="D2124" s="21">
        <v>5</v>
      </c>
      <c r="F2124" s="57">
        <f t="shared" si="118"/>
        <v>0</v>
      </c>
    </row>
    <row r="2125" spans="1:6" x14ac:dyDescent="0.25">
      <c r="A2125" s="5" t="s">
        <v>22</v>
      </c>
      <c r="B2125" s="19">
        <v>43981</v>
      </c>
      <c r="C2125" s="4">
        <v>0</v>
      </c>
      <c r="D2125" s="21">
        <v>63</v>
      </c>
      <c r="F2125" s="57">
        <f t="shared" si="118"/>
        <v>0</v>
      </c>
    </row>
    <row r="2126" spans="1:6" x14ac:dyDescent="0.25">
      <c r="A2126" s="5" t="s">
        <v>18</v>
      </c>
      <c r="B2126" s="19">
        <v>43981</v>
      </c>
      <c r="C2126" s="4">
        <v>3</v>
      </c>
      <c r="D2126" s="21">
        <v>92</v>
      </c>
      <c r="F2126" s="57">
        <f t="shared" si="118"/>
        <v>0</v>
      </c>
    </row>
    <row r="2127" spans="1:6" x14ac:dyDescent="0.25">
      <c r="A2127" s="5" t="s">
        <v>24</v>
      </c>
      <c r="B2127" s="19">
        <v>43981</v>
      </c>
      <c r="C2127" s="4">
        <v>0</v>
      </c>
      <c r="D2127" s="21">
        <v>27</v>
      </c>
      <c r="F2127" s="57">
        <f t="shared" si="118"/>
        <v>0</v>
      </c>
    </row>
    <row r="2128" spans="1:6" x14ac:dyDescent="0.25">
      <c r="A2128" s="5" t="s">
        <v>20</v>
      </c>
      <c r="B2128" s="19">
        <v>43981</v>
      </c>
      <c r="C2128" s="4">
        <v>1</v>
      </c>
      <c r="D2128" s="21">
        <v>131</v>
      </c>
      <c r="F2128" s="57">
        <f t="shared" si="118"/>
        <v>0</v>
      </c>
    </row>
    <row r="2129" spans="1:6" x14ac:dyDescent="0.25">
      <c r="A2129" s="5" t="s">
        <v>19</v>
      </c>
      <c r="B2129" s="19">
        <v>43981</v>
      </c>
      <c r="C2129" s="4">
        <v>5</v>
      </c>
      <c r="D2129" s="21">
        <v>392</v>
      </c>
      <c r="F2129" s="57">
        <f t="shared" si="118"/>
        <v>0</v>
      </c>
    </row>
    <row r="2130" spans="1:6" x14ac:dyDescent="0.25">
      <c r="A2130" s="5" t="s">
        <v>35</v>
      </c>
      <c r="B2130" s="19">
        <v>43981</v>
      </c>
      <c r="C2130" s="4">
        <v>1</v>
      </c>
      <c r="D2130" s="21">
        <v>8</v>
      </c>
      <c r="F2130" s="57">
        <f t="shared" si="118"/>
        <v>0</v>
      </c>
    </row>
    <row r="2131" spans="1:6" x14ac:dyDescent="0.25">
      <c r="A2131" s="5" t="s">
        <v>36</v>
      </c>
      <c r="B2131" s="19">
        <v>43981</v>
      </c>
      <c r="C2131" s="4">
        <v>0</v>
      </c>
      <c r="D2131" s="21">
        <v>5</v>
      </c>
      <c r="F2131" s="57">
        <f>E2131+F2107</f>
        <v>0</v>
      </c>
    </row>
    <row r="2132" spans="1:6" x14ac:dyDescent="0.25">
      <c r="A2132" s="5" t="s">
        <v>37</v>
      </c>
      <c r="B2132" s="19">
        <v>43981</v>
      </c>
      <c r="C2132" s="4">
        <v>0</v>
      </c>
      <c r="D2132" s="21">
        <v>11</v>
      </c>
      <c r="F2132" s="57">
        <f t="shared" si="118"/>
        <v>0</v>
      </c>
    </row>
    <row r="2133" spans="1:6" x14ac:dyDescent="0.25">
      <c r="A2133" s="5" t="s">
        <v>38</v>
      </c>
      <c r="B2133" s="19">
        <v>43981</v>
      </c>
      <c r="C2133" s="4">
        <v>0</v>
      </c>
      <c r="D2133" s="21">
        <v>49</v>
      </c>
      <c r="F2133" s="57">
        <f t="shared" si="118"/>
        <v>0</v>
      </c>
    </row>
    <row r="2134" spans="1:6" x14ac:dyDescent="0.25">
      <c r="A2134" s="5" t="s">
        <v>23</v>
      </c>
      <c r="B2134" s="19">
        <v>43981</v>
      </c>
      <c r="C2134" s="4">
        <v>2</v>
      </c>
      <c r="D2134" s="21">
        <v>262</v>
      </c>
      <c r="F2134" s="57">
        <f>E2134+F2110</f>
        <v>3</v>
      </c>
    </row>
    <row r="2135" spans="1:6" x14ac:dyDescent="0.25">
      <c r="A2135" s="5" t="s">
        <v>39</v>
      </c>
      <c r="B2135" s="19">
        <v>43981</v>
      </c>
      <c r="C2135" s="4">
        <v>0</v>
      </c>
      <c r="D2135" s="21">
        <v>22</v>
      </c>
      <c r="F2135" s="57">
        <f>E2135+F2111</f>
        <v>0</v>
      </c>
    </row>
    <row r="2136" spans="1:6" x14ac:dyDescent="0.25">
      <c r="A2136" s="5" t="s">
        <v>40</v>
      </c>
      <c r="B2136" s="19">
        <v>43981</v>
      </c>
      <c r="C2136" s="4">
        <v>0</v>
      </c>
      <c r="D2136" s="21">
        <v>149</v>
      </c>
      <c r="F2136" s="57">
        <f t="shared" si="118"/>
        <v>0</v>
      </c>
    </row>
    <row r="2137" spans="1:6" x14ac:dyDescent="0.25">
      <c r="A2137" s="5" t="s">
        <v>41</v>
      </c>
      <c r="B2137" s="19">
        <v>43981</v>
      </c>
      <c r="C2137" s="4">
        <v>1</v>
      </c>
      <c r="D2137" s="21">
        <v>48</v>
      </c>
      <c r="F2137" s="57">
        <f>E2137+F2113</f>
        <v>3</v>
      </c>
    </row>
    <row r="2138" spans="1:6" x14ac:dyDescent="0.25">
      <c r="A2138" s="42" t="s">
        <v>17</v>
      </c>
      <c r="B2138" s="19">
        <v>43982</v>
      </c>
      <c r="C2138" s="4">
        <v>254</v>
      </c>
      <c r="D2138" s="21">
        <v>5892</v>
      </c>
      <c r="E2138" s="4">
        <v>6</v>
      </c>
      <c r="F2138" s="57">
        <f>E2138+F2114</f>
        <v>223</v>
      </c>
    </row>
    <row r="2139" spans="1:6" x14ac:dyDescent="0.25">
      <c r="A2139" s="5" t="s">
        <v>29</v>
      </c>
      <c r="B2139" s="19">
        <v>43982</v>
      </c>
      <c r="C2139" s="4">
        <v>0</v>
      </c>
      <c r="D2139" s="21">
        <v>0</v>
      </c>
      <c r="F2139" s="57">
        <f t="shared" ref="F2139:F2145" si="119">E2139+F2115</f>
        <v>0</v>
      </c>
    </row>
    <row r="2140" spans="1:6" x14ac:dyDescent="0.25">
      <c r="A2140" s="5" t="s">
        <v>16</v>
      </c>
      <c r="B2140" s="19">
        <v>43982</v>
      </c>
      <c r="C2140" s="4">
        <v>13</v>
      </c>
      <c r="D2140" s="21">
        <v>887</v>
      </c>
      <c r="F2140" s="57">
        <f t="shared" si="119"/>
        <v>52</v>
      </c>
    </row>
    <row r="2141" spans="1:6" x14ac:dyDescent="0.25">
      <c r="A2141" s="5" t="s">
        <v>30</v>
      </c>
      <c r="B2141" s="19">
        <v>43982</v>
      </c>
      <c r="C2141" s="4">
        <v>0</v>
      </c>
      <c r="D2141" s="21">
        <v>10</v>
      </c>
      <c r="F2141" s="57">
        <f t="shared" si="119"/>
        <v>1</v>
      </c>
    </row>
    <row r="2142" spans="1:6" x14ac:dyDescent="0.25">
      <c r="A2142" s="5" t="s">
        <v>44</v>
      </c>
      <c r="B2142" s="19">
        <v>43982</v>
      </c>
      <c r="C2142" s="4">
        <v>358</v>
      </c>
      <c r="D2142" s="21">
        <v>8206</v>
      </c>
      <c r="E2142" s="4">
        <v>5</v>
      </c>
      <c r="F2142" s="57">
        <f t="shared" si="119"/>
        <v>185</v>
      </c>
    </row>
    <row r="2143" spans="1:6" x14ac:dyDescent="0.25">
      <c r="A2143" s="5" t="s">
        <v>21</v>
      </c>
      <c r="B2143" s="19">
        <v>43982</v>
      </c>
      <c r="C2143" s="4">
        <v>2</v>
      </c>
      <c r="D2143" s="21">
        <v>460</v>
      </c>
      <c r="F2143" s="57">
        <f t="shared" si="119"/>
        <v>27</v>
      </c>
    </row>
    <row r="2144" spans="1:6" x14ac:dyDescent="0.25">
      <c r="A2144" s="5" t="s">
        <v>31</v>
      </c>
      <c r="B2144" s="19">
        <v>43982</v>
      </c>
      <c r="C2144" s="4">
        <v>1</v>
      </c>
      <c r="D2144" s="21">
        <v>88</v>
      </c>
      <c r="F2144" s="57">
        <f t="shared" si="119"/>
        <v>0</v>
      </c>
    </row>
    <row r="2145" spans="1:6" x14ac:dyDescent="0.25">
      <c r="A2145" s="5" t="s">
        <v>32</v>
      </c>
      <c r="B2145" s="19">
        <v>43982</v>
      </c>
      <c r="C2145" s="4">
        <v>0</v>
      </c>
      <c r="D2145" s="21">
        <v>31</v>
      </c>
      <c r="F2145" s="57">
        <f t="shared" si="119"/>
        <v>0</v>
      </c>
    </row>
    <row r="2146" spans="1:6" x14ac:dyDescent="0.25">
      <c r="A2146" s="5" t="s">
        <v>42</v>
      </c>
      <c r="B2146" s="19">
        <v>43982</v>
      </c>
      <c r="C2146" s="4">
        <v>0</v>
      </c>
      <c r="D2146" s="21">
        <v>0</v>
      </c>
      <c r="F2146" s="57">
        <f t="shared" ref="F2146:F2160" si="120">E2146+F2121</f>
        <v>0</v>
      </c>
    </row>
    <row r="2147" spans="1:6" x14ac:dyDescent="0.25">
      <c r="A2147" s="5" t="s">
        <v>33</v>
      </c>
      <c r="B2147" s="19">
        <v>43982</v>
      </c>
      <c r="C2147" s="4">
        <v>0</v>
      </c>
      <c r="D2147" s="21">
        <v>6</v>
      </c>
      <c r="F2147" s="57">
        <f t="shared" si="120"/>
        <v>0</v>
      </c>
    </row>
    <row r="2148" spans="1:6" x14ac:dyDescent="0.25">
      <c r="A2148" s="5" t="s">
        <v>34</v>
      </c>
      <c r="B2148" s="19">
        <v>43982</v>
      </c>
      <c r="C2148" s="4">
        <v>0</v>
      </c>
      <c r="D2148" s="21">
        <v>5</v>
      </c>
      <c r="F2148" s="57">
        <f t="shared" si="120"/>
        <v>0</v>
      </c>
    </row>
    <row r="2149" spans="1:6" x14ac:dyDescent="0.25">
      <c r="A2149" s="5" t="s">
        <v>22</v>
      </c>
      <c r="B2149" s="19">
        <v>43982</v>
      </c>
      <c r="C2149" s="4">
        <v>0</v>
      </c>
      <c r="D2149" s="21">
        <v>63</v>
      </c>
      <c r="F2149" s="57">
        <f t="shared" si="120"/>
        <v>0</v>
      </c>
    </row>
    <row r="2150" spans="1:6" x14ac:dyDescent="0.25">
      <c r="A2150" s="5" t="s">
        <v>18</v>
      </c>
      <c r="B2150" s="19">
        <v>43982</v>
      </c>
      <c r="C2150" s="4">
        <v>0</v>
      </c>
      <c r="D2150" s="21">
        <v>92</v>
      </c>
      <c r="F2150" s="57">
        <f t="shared" si="120"/>
        <v>0</v>
      </c>
    </row>
    <row r="2151" spans="1:6" x14ac:dyDescent="0.25">
      <c r="A2151" s="5" t="s">
        <v>24</v>
      </c>
      <c r="B2151" s="19">
        <v>43982</v>
      </c>
      <c r="C2151" s="4">
        <v>1</v>
      </c>
      <c r="D2151" s="21">
        <v>28</v>
      </c>
      <c r="F2151" s="57">
        <f t="shared" si="120"/>
        <v>0</v>
      </c>
    </row>
    <row r="2152" spans="1:6" x14ac:dyDescent="0.25">
      <c r="A2152" s="5" t="s">
        <v>20</v>
      </c>
      <c r="B2152" s="19">
        <v>43982</v>
      </c>
      <c r="C2152" s="4">
        <v>3</v>
      </c>
      <c r="D2152" s="21">
        <v>134</v>
      </c>
      <c r="F2152" s="57">
        <f t="shared" si="120"/>
        <v>0</v>
      </c>
    </row>
    <row r="2153" spans="1:6" x14ac:dyDescent="0.25">
      <c r="A2153" s="5" t="s">
        <v>19</v>
      </c>
      <c r="B2153" s="19">
        <v>43982</v>
      </c>
      <c r="C2153" s="4">
        <v>4</v>
      </c>
      <c r="D2153" s="21">
        <v>396</v>
      </c>
      <c r="F2153" s="57">
        <f t="shared" si="120"/>
        <v>0</v>
      </c>
    </row>
    <row r="2154" spans="1:6" x14ac:dyDescent="0.25">
      <c r="A2154" s="5" t="s">
        <v>35</v>
      </c>
      <c r="B2154" s="19">
        <v>43982</v>
      </c>
      <c r="C2154" s="4">
        <v>0</v>
      </c>
      <c r="D2154" s="21">
        <v>8</v>
      </c>
      <c r="F2154" s="57">
        <f t="shared" si="120"/>
        <v>0</v>
      </c>
    </row>
    <row r="2155" spans="1:6" x14ac:dyDescent="0.25">
      <c r="A2155" s="5" t="s">
        <v>36</v>
      </c>
      <c r="B2155" s="19">
        <v>43982</v>
      </c>
      <c r="C2155" s="4">
        <v>0</v>
      </c>
      <c r="D2155" s="21">
        <v>5</v>
      </c>
      <c r="F2155" s="57">
        <f>E2155+F2131</f>
        <v>0</v>
      </c>
    </row>
    <row r="2156" spans="1:6" x14ac:dyDescent="0.25">
      <c r="A2156" s="5" t="s">
        <v>37</v>
      </c>
      <c r="B2156" s="19">
        <v>43982</v>
      </c>
      <c r="C2156" s="4">
        <v>0</v>
      </c>
      <c r="D2156" s="21">
        <v>11</v>
      </c>
      <c r="F2156" s="57">
        <f t="shared" si="120"/>
        <v>0</v>
      </c>
    </row>
    <row r="2157" spans="1:6" x14ac:dyDescent="0.25">
      <c r="A2157" s="5" t="s">
        <v>38</v>
      </c>
      <c r="B2157" s="19">
        <v>43982</v>
      </c>
      <c r="C2157" s="4">
        <v>1</v>
      </c>
      <c r="D2157" s="21">
        <v>50</v>
      </c>
      <c r="F2157" s="57">
        <f t="shared" si="120"/>
        <v>0</v>
      </c>
    </row>
    <row r="2158" spans="1:6" x14ac:dyDescent="0.25">
      <c r="A2158" s="5" t="s">
        <v>23</v>
      </c>
      <c r="B2158" s="19">
        <v>43982</v>
      </c>
      <c r="C2158" s="4">
        <v>0</v>
      </c>
      <c r="D2158" s="21">
        <v>262</v>
      </c>
      <c r="F2158" s="57">
        <f>E2158+F2134</f>
        <v>3</v>
      </c>
    </row>
    <row r="2159" spans="1:6" x14ac:dyDescent="0.25">
      <c r="A2159" s="5" t="s">
        <v>39</v>
      </c>
      <c r="B2159" s="19">
        <v>43982</v>
      </c>
      <c r="C2159" s="4">
        <v>0</v>
      </c>
      <c r="D2159" s="21">
        <v>22</v>
      </c>
      <c r="F2159" s="57">
        <f>E2159+F2135</f>
        <v>0</v>
      </c>
    </row>
    <row r="2160" spans="1:6" x14ac:dyDescent="0.25">
      <c r="A2160" s="5" t="s">
        <v>40</v>
      </c>
      <c r="B2160" s="19">
        <v>43982</v>
      </c>
      <c r="C2160" s="4">
        <v>0</v>
      </c>
      <c r="D2160" s="21">
        <v>149</v>
      </c>
      <c r="F2160" s="57">
        <f t="shared" si="120"/>
        <v>0</v>
      </c>
    </row>
    <row r="2161" spans="1:6" x14ac:dyDescent="0.25">
      <c r="A2161" s="5" t="s">
        <v>41</v>
      </c>
      <c r="B2161" s="19">
        <v>43982</v>
      </c>
      <c r="C2161" s="4">
        <v>0</v>
      </c>
      <c r="D2161" s="21">
        <v>48</v>
      </c>
      <c r="F2161" s="57">
        <f>E2161+F2137</f>
        <v>3</v>
      </c>
    </row>
    <row r="2162" spans="1:6" x14ac:dyDescent="0.25">
      <c r="A2162" s="42" t="s">
        <v>17</v>
      </c>
      <c r="B2162" s="19">
        <v>43983</v>
      </c>
      <c r="C2162" s="4">
        <v>252</v>
      </c>
      <c r="D2162" s="21">
        <v>6144</v>
      </c>
      <c r="E2162" s="4">
        <v>5</v>
      </c>
      <c r="F2162" s="57">
        <f>E2162+F2138</f>
        <v>228</v>
      </c>
    </row>
    <row r="2163" spans="1:6" x14ac:dyDescent="0.25">
      <c r="A2163" s="5" t="s">
        <v>29</v>
      </c>
      <c r="B2163" s="19">
        <v>43983</v>
      </c>
      <c r="C2163" s="4">
        <v>0</v>
      </c>
      <c r="D2163" s="21">
        <v>0</v>
      </c>
      <c r="F2163" s="57">
        <f t="shared" ref="F2163:F2169" si="121">E2163+F2139</f>
        <v>0</v>
      </c>
    </row>
    <row r="2164" spans="1:6" x14ac:dyDescent="0.25">
      <c r="A2164" s="5" t="s">
        <v>16</v>
      </c>
      <c r="B2164" s="19">
        <v>43983</v>
      </c>
      <c r="C2164" s="4">
        <v>3</v>
      </c>
      <c r="D2164" s="21">
        <v>890</v>
      </c>
      <c r="E2164" s="4">
        <v>3</v>
      </c>
      <c r="F2164" s="57">
        <f t="shared" si="121"/>
        <v>55</v>
      </c>
    </row>
    <row r="2165" spans="1:6" x14ac:dyDescent="0.25">
      <c r="A2165" s="5" t="s">
        <v>30</v>
      </c>
      <c r="B2165" s="19">
        <v>43983</v>
      </c>
      <c r="C2165" s="4">
        <v>0</v>
      </c>
      <c r="D2165" s="21">
        <v>10</v>
      </c>
      <c r="F2165" s="57">
        <f t="shared" si="121"/>
        <v>1</v>
      </c>
    </row>
    <row r="2166" spans="1:6" x14ac:dyDescent="0.25">
      <c r="A2166" s="5" t="s">
        <v>44</v>
      </c>
      <c r="B2166" s="19">
        <v>43983</v>
      </c>
      <c r="C2166" s="4">
        <v>274</v>
      </c>
      <c r="D2166" s="21">
        <v>8480</v>
      </c>
      <c r="E2166" s="4">
        <v>8</v>
      </c>
      <c r="F2166" s="57">
        <f t="shared" si="121"/>
        <v>193</v>
      </c>
    </row>
    <row r="2167" spans="1:6" x14ac:dyDescent="0.25">
      <c r="A2167" s="5" t="s">
        <v>21</v>
      </c>
      <c r="B2167" s="19">
        <v>43983</v>
      </c>
      <c r="C2167" s="4">
        <v>0</v>
      </c>
      <c r="D2167" s="21">
        <v>460</v>
      </c>
      <c r="E2167" s="4">
        <v>1</v>
      </c>
      <c r="F2167" s="57">
        <f t="shared" si="121"/>
        <v>28</v>
      </c>
    </row>
    <row r="2168" spans="1:6" x14ac:dyDescent="0.25">
      <c r="A2168" s="5" t="s">
        <v>31</v>
      </c>
      <c r="B2168" s="19">
        <v>43983</v>
      </c>
      <c r="C2168" s="4">
        <v>6</v>
      </c>
      <c r="D2168" s="21">
        <v>94</v>
      </c>
      <c r="F2168" s="57">
        <f t="shared" si="121"/>
        <v>0</v>
      </c>
    </row>
    <row r="2169" spans="1:6" x14ac:dyDescent="0.25">
      <c r="A2169" s="5" t="s">
        <v>32</v>
      </c>
      <c r="B2169" s="19">
        <v>43983</v>
      </c>
      <c r="C2169" s="4">
        <v>0</v>
      </c>
      <c r="D2169" s="21">
        <v>31</v>
      </c>
      <c r="F2169" s="57">
        <f t="shared" si="121"/>
        <v>0</v>
      </c>
    </row>
    <row r="2170" spans="1:6" x14ac:dyDescent="0.25">
      <c r="A2170" s="5" t="s">
        <v>42</v>
      </c>
      <c r="B2170" s="19">
        <v>43983</v>
      </c>
      <c r="C2170" s="4">
        <v>0</v>
      </c>
      <c r="D2170" s="21">
        <v>0</v>
      </c>
      <c r="F2170" s="57">
        <f t="shared" ref="F2170:F2184" si="122">E2170+F2145</f>
        <v>0</v>
      </c>
    </row>
    <row r="2171" spans="1:6" x14ac:dyDescent="0.25">
      <c r="A2171" s="5" t="s">
        <v>33</v>
      </c>
      <c r="B2171" s="19">
        <v>43983</v>
      </c>
      <c r="C2171" s="4">
        <v>0</v>
      </c>
      <c r="D2171" s="21">
        <v>6</v>
      </c>
      <c r="F2171" s="57">
        <f t="shared" si="122"/>
        <v>0</v>
      </c>
    </row>
    <row r="2172" spans="1:6" x14ac:dyDescent="0.25">
      <c r="A2172" s="5" t="s">
        <v>34</v>
      </c>
      <c r="B2172" s="19">
        <v>43983</v>
      </c>
      <c r="C2172" s="4">
        <v>0</v>
      </c>
      <c r="D2172" s="21">
        <v>5</v>
      </c>
      <c r="F2172" s="57">
        <f t="shared" si="122"/>
        <v>0</v>
      </c>
    </row>
    <row r="2173" spans="1:6" x14ac:dyDescent="0.25">
      <c r="A2173" s="5" t="s">
        <v>22</v>
      </c>
      <c r="B2173" s="19">
        <v>43983</v>
      </c>
      <c r="C2173" s="4">
        <v>0</v>
      </c>
      <c r="D2173" s="21">
        <v>63</v>
      </c>
      <c r="F2173" s="57">
        <f t="shared" si="122"/>
        <v>0</v>
      </c>
    </row>
    <row r="2174" spans="1:6" x14ac:dyDescent="0.25">
      <c r="A2174" s="5" t="s">
        <v>18</v>
      </c>
      <c r="B2174" s="19">
        <v>43983</v>
      </c>
      <c r="C2174" s="4">
        <v>8</v>
      </c>
      <c r="D2174" s="21">
        <v>100</v>
      </c>
      <c r="F2174" s="57">
        <f t="shared" si="122"/>
        <v>0</v>
      </c>
    </row>
    <row r="2175" spans="1:6" x14ac:dyDescent="0.25">
      <c r="A2175" s="5" t="s">
        <v>24</v>
      </c>
      <c r="B2175" s="19">
        <v>43983</v>
      </c>
      <c r="C2175" s="4">
        <v>0</v>
      </c>
      <c r="D2175" s="21">
        <v>28</v>
      </c>
      <c r="F2175" s="57">
        <f t="shared" si="122"/>
        <v>0</v>
      </c>
    </row>
    <row r="2176" spans="1:6" x14ac:dyDescent="0.25">
      <c r="A2176" s="5" t="s">
        <v>20</v>
      </c>
      <c r="B2176" s="19">
        <v>43983</v>
      </c>
      <c r="C2176" s="4">
        <v>3</v>
      </c>
      <c r="D2176" s="21">
        <v>137</v>
      </c>
      <c r="F2176" s="57">
        <f t="shared" si="122"/>
        <v>0</v>
      </c>
    </row>
    <row r="2177" spans="1:6" x14ac:dyDescent="0.25">
      <c r="A2177" s="5" t="s">
        <v>19</v>
      </c>
      <c r="B2177" s="19">
        <v>43983</v>
      </c>
      <c r="C2177" s="4">
        <v>11</v>
      </c>
      <c r="D2177" s="21">
        <v>407</v>
      </c>
      <c r="F2177" s="57">
        <f t="shared" si="122"/>
        <v>0</v>
      </c>
    </row>
    <row r="2178" spans="1:6" x14ac:dyDescent="0.25">
      <c r="A2178" s="5" t="s">
        <v>35</v>
      </c>
      <c r="B2178" s="19">
        <v>43983</v>
      </c>
      <c r="C2178" s="4">
        <v>3</v>
      </c>
      <c r="D2178" s="21">
        <v>11</v>
      </c>
      <c r="F2178" s="57">
        <f t="shared" si="122"/>
        <v>0</v>
      </c>
    </row>
    <row r="2179" spans="1:6" x14ac:dyDescent="0.25">
      <c r="A2179" s="5" t="s">
        <v>36</v>
      </c>
      <c r="B2179" s="19">
        <v>43983</v>
      </c>
      <c r="C2179" s="4">
        <v>0</v>
      </c>
      <c r="D2179" s="21">
        <v>5</v>
      </c>
      <c r="F2179" s="57">
        <f>E2179+F2155</f>
        <v>0</v>
      </c>
    </row>
    <row r="2180" spans="1:6" x14ac:dyDescent="0.25">
      <c r="A2180" s="5" t="s">
        <v>37</v>
      </c>
      <c r="B2180" s="19">
        <v>43983</v>
      </c>
      <c r="C2180" s="4">
        <v>0</v>
      </c>
      <c r="D2180" s="21">
        <v>11</v>
      </c>
      <c r="F2180" s="57">
        <f t="shared" si="122"/>
        <v>0</v>
      </c>
    </row>
    <row r="2181" spans="1:6" x14ac:dyDescent="0.25">
      <c r="A2181" s="5" t="s">
        <v>38</v>
      </c>
      <c r="B2181" s="19">
        <v>43983</v>
      </c>
      <c r="C2181" s="4">
        <v>1</v>
      </c>
      <c r="D2181" s="21">
        <v>51</v>
      </c>
      <c r="F2181" s="57">
        <f t="shared" si="122"/>
        <v>0</v>
      </c>
    </row>
    <row r="2182" spans="1:6" x14ac:dyDescent="0.25">
      <c r="A2182" s="5" t="s">
        <v>23</v>
      </c>
      <c r="B2182" s="19">
        <v>43983</v>
      </c>
      <c r="C2182" s="4">
        <v>3</v>
      </c>
      <c r="D2182" s="21">
        <v>265</v>
      </c>
      <c r="F2182" s="57">
        <f>E2182+F2158</f>
        <v>3</v>
      </c>
    </row>
    <row r="2183" spans="1:6" x14ac:dyDescent="0.25">
      <c r="A2183" s="5" t="s">
        <v>39</v>
      </c>
      <c r="B2183" s="19">
        <v>43983</v>
      </c>
      <c r="C2183" s="4">
        <v>0</v>
      </c>
      <c r="D2183" s="21">
        <v>22</v>
      </c>
      <c r="F2183" s="57">
        <f>E2183+F2159</f>
        <v>0</v>
      </c>
    </row>
    <row r="2184" spans="1:6" x14ac:dyDescent="0.25">
      <c r="A2184" s="5" t="s">
        <v>40</v>
      </c>
      <c r="B2184" s="19">
        <v>43983</v>
      </c>
      <c r="C2184" s="4">
        <v>0</v>
      </c>
      <c r="D2184" s="21">
        <v>149</v>
      </c>
      <c r="F2184" s="57">
        <f t="shared" si="122"/>
        <v>0</v>
      </c>
    </row>
    <row r="2185" spans="1:6" x14ac:dyDescent="0.25">
      <c r="A2185" s="5" t="s">
        <v>41</v>
      </c>
      <c r="B2185" s="19">
        <v>43983</v>
      </c>
      <c r="C2185" s="4">
        <v>0</v>
      </c>
      <c r="D2185" s="21">
        <v>48</v>
      </c>
      <c r="F2185" s="57">
        <f>E2185+F2161</f>
        <v>3</v>
      </c>
    </row>
    <row r="2186" spans="1:6" x14ac:dyDescent="0.25">
      <c r="A2186" s="42" t="s">
        <v>17</v>
      </c>
      <c r="B2186" s="19">
        <v>43984</v>
      </c>
      <c r="C2186" s="4">
        <v>488</v>
      </c>
      <c r="D2186" s="21">
        <v>6632</v>
      </c>
      <c r="E2186" s="4">
        <v>8</v>
      </c>
      <c r="F2186" s="57">
        <f>E2186+F2162</f>
        <v>236</v>
      </c>
    </row>
    <row r="2187" spans="1:6" x14ac:dyDescent="0.25">
      <c r="A2187" s="5" t="s">
        <v>29</v>
      </c>
      <c r="B2187" s="19">
        <v>43984</v>
      </c>
      <c r="C2187" s="4">
        <v>0</v>
      </c>
      <c r="D2187" s="21">
        <v>0</v>
      </c>
      <c r="F2187" s="57">
        <f t="shared" ref="F2187:F2193" si="123">E2187+F2163</f>
        <v>0</v>
      </c>
    </row>
    <row r="2188" spans="1:6" x14ac:dyDescent="0.25">
      <c r="A2188" s="5" t="s">
        <v>16</v>
      </c>
      <c r="B2188" s="19">
        <v>43984</v>
      </c>
      <c r="C2188" s="4">
        <v>30</v>
      </c>
      <c r="D2188" s="21">
        <v>920</v>
      </c>
      <c r="E2188" s="4">
        <v>2</v>
      </c>
      <c r="F2188" s="57">
        <f t="shared" si="123"/>
        <v>57</v>
      </c>
    </row>
    <row r="2189" spans="1:6" x14ac:dyDescent="0.25">
      <c r="A2189" s="5" t="s">
        <v>30</v>
      </c>
      <c r="B2189" s="19">
        <v>43984</v>
      </c>
      <c r="C2189" s="4">
        <v>0</v>
      </c>
      <c r="D2189" s="21">
        <v>10</v>
      </c>
      <c r="F2189" s="57">
        <f t="shared" si="123"/>
        <v>1</v>
      </c>
    </row>
    <row r="2190" spans="1:6" x14ac:dyDescent="0.25">
      <c r="A2190" s="5" t="s">
        <v>44</v>
      </c>
      <c r="B2190" s="19">
        <v>43984</v>
      </c>
      <c r="C2190" s="4">
        <v>371</v>
      </c>
      <c r="D2190" s="21">
        <v>8851</v>
      </c>
      <c r="E2190" s="4">
        <v>3</v>
      </c>
      <c r="F2190" s="57">
        <f t="shared" si="123"/>
        <v>196</v>
      </c>
    </row>
    <row r="2191" spans="1:6" x14ac:dyDescent="0.25">
      <c r="A2191" s="5" t="s">
        <v>21</v>
      </c>
      <c r="B2191" s="19">
        <v>43984</v>
      </c>
      <c r="C2191" s="4">
        <v>1</v>
      </c>
      <c r="D2191" s="21">
        <v>461</v>
      </c>
      <c r="F2191" s="57">
        <f t="shared" si="123"/>
        <v>28</v>
      </c>
    </row>
    <row r="2192" spans="1:6" x14ac:dyDescent="0.25">
      <c r="A2192" s="5" t="s">
        <v>31</v>
      </c>
      <c r="B2192" s="19">
        <v>43984</v>
      </c>
      <c r="C2192" s="4">
        <v>2</v>
      </c>
      <c r="D2192" s="21">
        <v>96</v>
      </c>
      <c r="F2192" s="57">
        <f t="shared" si="123"/>
        <v>0</v>
      </c>
    </row>
    <row r="2193" spans="1:6" x14ac:dyDescent="0.25">
      <c r="A2193" s="5" t="s">
        <v>32</v>
      </c>
      <c r="B2193" s="19">
        <v>43984</v>
      </c>
      <c r="C2193" s="4">
        <v>2</v>
      </c>
      <c r="D2193" s="21">
        <v>33</v>
      </c>
      <c r="F2193" s="57">
        <f t="shared" si="123"/>
        <v>0</v>
      </c>
    </row>
    <row r="2194" spans="1:6" x14ac:dyDescent="0.25">
      <c r="A2194" s="5" t="s">
        <v>42</v>
      </c>
      <c r="B2194" s="19">
        <v>43984</v>
      </c>
      <c r="C2194" s="4">
        <v>0</v>
      </c>
      <c r="D2194" s="21">
        <v>0</v>
      </c>
      <c r="F2194" s="57">
        <f t="shared" ref="F2194:F2208" si="124">E2194+F2169</f>
        <v>0</v>
      </c>
    </row>
    <row r="2195" spans="1:6" x14ac:dyDescent="0.25">
      <c r="A2195" s="5" t="s">
        <v>33</v>
      </c>
      <c r="B2195" s="19">
        <v>43984</v>
      </c>
      <c r="C2195" s="4">
        <v>0</v>
      </c>
      <c r="D2195" s="21">
        <v>6</v>
      </c>
      <c r="F2195" s="57">
        <f t="shared" si="124"/>
        <v>0</v>
      </c>
    </row>
    <row r="2196" spans="1:6" x14ac:dyDescent="0.25">
      <c r="A2196" s="5" t="s">
        <v>34</v>
      </c>
      <c r="B2196" s="19">
        <v>43984</v>
      </c>
      <c r="C2196" s="4">
        <v>0</v>
      </c>
      <c r="D2196" s="21">
        <v>5</v>
      </c>
      <c r="F2196" s="57">
        <f t="shared" si="124"/>
        <v>0</v>
      </c>
    </row>
    <row r="2197" spans="1:6" x14ac:dyDescent="0.25">
      <c r="A2197" s="5" t="s">
        <v>22</v>
      </c>
      <c r="B2197" s="19">
        <v>43984</v>
      </c>
      <c r="C2197" s="4">
        <v>0</v>
      </c>
      <c r="D2197" s="21">
        <v>63</v>
      </c>
      <c r="F2197" s="57">
        <f t="shared" si="124"/>
        <v>0</v>
      </c>
    </row>
    <row r="2198" spans="1:6" x14ac:dyDescent="0.25">
      <c r="A2198" s="5" t="s">
        <v>18</v>
      </c>
      <c r="B2198" s="19">
        <v>43984</v>
      </c>
      <c r="C2198" s="4">
        <v>0</v>
      </c>
      <c r="D2198" s="21">
        <v>100</v>
      </c>
      <c r="F2198" s="57">
        <f t="shared" si="124"/>
        <v>0</v>
      </c>
    </row>
    <row r="2199" spans="1:6" x14ac:dyDescent="0.25">
      <c r="A2199" s="5" t="s">
        <v>24</v>
      </c>
      <c r="B2199" s="19">
        <v>43984</v>
      </c>
      <c r="C2199" s="4">
        <v>0</v>
      </c>
      <c r="D2199" s="21">
        <v>28</v>
      </c>
      <c r="F2199" s="57">
        <f t="shared" si="124"/>
        <v>0</v>
      </c>
    </row>
    <row r="2200" spans="1:6" x14ac:dyDescent="0.25">
      <c r="A2200" s="5" t="s">
        <v>20</v>
      </c>
      <c r="B2200" s="19">
        <v>43984</v>
      </c>
      <c r="C2200" s="4">
        <v>3</v>
      </c>
      <c r="D2200" s="21">
        <v>140</v>
      </c>
      <c r="F2200" s="57">
        <f t="shared" si="124"/>
        <v>0</v>
      </c>
    </row>
    <row r="2201" spans="1:6" x14ac:dyDescent="0.25">
      <c r="A2201" s="5" t="s">
        <v>19</v>
      </c>
      <c r="B2201" s="19">
        <v>43984</v>
      </c>
      <c r="C2201" s="4">
        <v>3</v>
      </c>
      <c r="D2201" s="21">
        <v>410</v>
      </c>
      <c r="F2201" s="57">
        <f t="shared" si="124"/>
        <v>0</v>
      </c>
    </row>
    <row r="2202" spans="1:6" x14ac:dyDescent="0.25">
      <c r="A2202" s="5" t="s">
        <v>35</v>
      </c>
      <c r="B2202" s="19">
        <v>43984</v>
      </c>
      <c r="C2202" s="4">
        <v>4</v>
      </c>
      <c r="D2202" s="21">
        <v>15</v>
      </c>
      <c r="F2202" s="57">
        <f t="shared" si="124"/>
        <v>0</v>
      </c>
    </row>
    <row r="2203" spans="1:6" x14ac:dyDescent="0.25">
      <c r="A2203" s="5" t="s">
        <v>36</v>
      </c>
      <c r="B2203" s="19">
        <v>43984</v>
      </c>
      <c r="C2203" s="4">
        <v>0</v>
      </c>
      <c r="D2203" s="21">
        <v>5</v>
      </c>
      <c r="F2203" s="57">
        <f>E2203+F2179</f>
        <v>0</v>
      </c>
    </row>
    <row r="2204" spans="1:6" x14ac:dyDescent="0.25">
      <c r="A2204" s="5" t="s">
        <v>37</v>
      </c>
      <c r="B2204" s="19">
        <v>43984</v>
      </c>
      <c r="C2204" s="4">
        <v>0</v>
      </c>
      <c r="D2204" s="21">
        <v>11</v>
      </c>
      <c r="F2204" s="57">
        <f t="shared" si="124"/>
        <v>0</v>
      </c>
    </row>
    <row r="2205" spans="1:6" x14ac:dyDescent="0.25">
      <c r="A2205" s="5" t="s">
        <v>38</v>
      </c>
      <c r="B2205" s="19">
        <v>43984</v>
      </c>
      <c r="C2205" s="4">
        <v>0</v>
      </c>
      <c r="D2205" s="21">
        <v>51</v>
      </c>
      <c r="F2205" s="57">
        <f t="shared" si="124"/>
        <v>0</v>
      </c>
    </row>
    <row r="2206" spans="1:6" x14ac:dyDescent="0.25">
      <c r="A2206" s="5" t="s">
        <v>23</v>
      </c>
      <c r="B2206" s="19">
        <v>43984</v>
      </c>
      <c r="C2206" s="4">
        <v>0</v>
      </c>
      <c r="D2206" s="21">
        <v>265</v>
      </c>
      <c r="F2206" s="57">
        <f>E2206+F2182</f>
        <v>3</v>
      </c>
    </row>
    <row r="2207" spans="1:6" x14ac:dyDescent="0.25">
      <c r="A2207" s="5" t="s">
        <v>39</v>
      </c>
      <c r="B2207" s="19">
        <v>43984</v>
      </c>
      <c r="C2207" s="4">
        <v>0</v>
      </c>
      <c r="D2207" s="21">
        <v>22</v>
      </c>
      <c r="F2207" s="57">
        <f>E2207+F2183</f>
        <v>0</v>
      </c>
    </row>
    <row r="2208" spans="1:6" x14ac:dyDescent="0.25">
      <c r="A2208" s="5" t="s">
        <v>40</v>
      </c>
      <c r="B2208" s="19">
        <v>43984</v>
      </c>
      <c r="C2208" s="4">
        <v>0</v>
      </c>
      <c r="D2208" s="21">
        <v>149</v>
      </c>
      <c r="F2208" s="57">
        <f t="shared" si="124"/>
        <v>0</v>
      </c>
    </row>
    <row r="2209" spans="1:6" x14ac:dyDescent="0.25">
      <c r="A2209" s="5" t="s">
        <v>41</v>
      </c>
      <c r="B2209" s="19">
        <v>43984</v>
      </c>
      <c r="C2209" s="4">
        <v>0</v>
      </c>
      <c r="D2209" s="21">
        <v>48</v>
      </c>
      <c r="F2209" s="57">
        <f>E2209+F2185</f>
        <v>3</v>
      </c>
    </row>
    <row r="2210" spans="1:6" x14ac:dyDescent="0.25">
      <c r="A2210" s="42" t="s">
        <v>17</v>
      </c>
      <c r="B2210" s="19">
        <v>43985</v>
      </c>
      <c r="C2210" s="4">
        <v>442</v>
      </c>
      <c r="D2210" s="21">
        <v>7074</v>
      </c>
      <c r="E2210" s="4">
        <v>6</v>
      </c>
      <c r="F2210" s="57">
        <f>E2210+F2186</f>
        <v>242</v>
      </c>
    </row>
    <row r="2211" spans="1:6" x14ac:dyDescent="0.25">
      <c r="A2211" s="5" t="s">
        <v>29</v>
      </c>
      <c r="B2211" s="19">
        <v>43985</v>
      </c>
      <c r="C2211" s="4">
        <v>0</v>
      </c>
      <c r="D2211" s="21">
        <v>0</v>
      </c>
      <c r="F2211" s="57">
        <f t="shared" ref="F2211:F2217" si="125">E2211+F2187</f>
        <v>0</v>
      </c>
    </row>
    <row r="2212" spans="1:6" x14ac:dyDescent="0.25">
      <c r="A2212" s="5" t="s">
        <v>16</v>
      </c>
      <c r="B2212" s="19">
        <v>43985</v>
      </c>
      <c r="C2212" s="4">
        <v>6</v>
      </c>
      <c r="D2212" s="21">
        <v>926</v>
      </c>
      <c r="E2212" s="4">
        <v>1</v>
      </c>
      <c r="F2212" s="57">
        <f t="shared" si="125"/>
        <v>58</v>
      </c>
    </row>
    <row r="2213" spans="1:6" x14ac:dyDescent="0.25">
      <c r="A2213" s="5" t="s">
        <v>30</v>
      </c>
      <c r="B2213" s="19">
        <v>43985</v>
      </c>
      <c r="C2213" s="4">
        <v>1</v>
      </c>
      <c r="D2213" s="21">
        <v>11</v>
      </c>
      <c r="F2213" s="57">
        <f t="shared" si="125"/>
        <v>1</v>
      </c>
    </row>
    <row r="2214" spans="1:6" x14ac:dyDescent="0.25">
      <c r="A2214" s="5" t="s">
        <v>44</v>
      </c>
      <c r="B2214" s="19">
        <v>43985</v>
      </c>
      <c r="C2214" s="4">
        <v>467</v>
      </c>
      <c r="D2214" s="21">
        <v>9318</v>
      </c>
      <c r="E2214" s="4">
        <v>5</v>
      </c>
      <c r="F2214" s="57">
        <f t="shared" si="125"/>
        <v>201</v>
      </c>
    </row>
    <row r="2215" spans="1:6" x14ac:dyDescent="0.25">
      <c r="A2215" s="5" t="s">
        <v>21</v>
      </c>
      <c r="B2215" s="19">
        <v>43985</v>
      </c>
      <c r="C2215" s="4">
        <v>1</v>
      </c>
      <c r="D2215" s="21">
        <v>462</v>
      </c>
      <c r="E2215" s="4">
        <v>1</v>
      </c>
      <c r="F2215" s="57">
        <f t="shared" si="125"/>
        <v>29</v>
      </c>
    </row>
    <row r="2216" spans="1:6" x14ac:dyDescent="0.25">
      <c r="A2216" s="5" t="s">
        <v>31</v>
      </c>
      <c r="B2216" s="19">
        <v>43985</v>
      </c>
      <c r="C2216" s="4">
        <v>0</v>
      </c>
      <c r="D2216" s="21">
        <v>96</v>
      </c>
      <c r="F2216" s="57">
        <f t="shared" si="125"/>
        <v>0</v>
      </c>
    </row>
    <row r="2217" spans="1:6" x14ac:dyDescent="0.25">
      <c r="A2217" s="5" t="s">
        <v>32</v>
      </c>
      <c r="B2217" s="19">
        <v>43985</v>
      </c>
      <c r="C2217" s="4">
        <v>2</v>
      </c>
      <c r="D2217" s="21">
        <v>35</v>
      </c>
      <c r="F2217" s="57">
        <f t="shared" si="125"/>
        <v>0</v>
      </c>
    </row>
    <row r="2218" spans="1:6" x14ac:dyDescent="0.25">
      <c r="A2218" s="5" t="s">
        <v>42</v>
      </c>
      <c r="B2218" s="19">
        <v>43985</v>
      </c>
      <c r="C2218" s="4">
        <v>0</v>
      </c>
      <c r="D2218" s="21">
        <v>0</v>
      </c>
      <c r="F2218" s="57">
        <f t="shared" ref="F2218:F2232" si="126">E2218+F2193</f>
        <v>0</v>
      </c>
    </row>
    <row r="2219" spans="1:6" x14ac:dyDescent="0.25">
      <c r="A2219" s="5" t="s">
        <v>33</v>
      </c>
      <c r="B2219" s="19">
        <v>43985</v>
      </c>
      <c r="C2219" s="4">
        <v>0</v>
      </c>
      <c r="D2219" s="21">
        <v>6</v>
      </c>
      <c r="F2219" s="57">
        <f t="shared" si="126"/>
        <v>0</v>
      </c>
    </row>
    <row r="2220" spans="1:6" x14ac:dyDescent="0.25">
      <c r="A2220" s="5" t="s">
        <v>34</v>
      </c>
      <c r="B2220" s="19">
        <v>43985</v>
      </c>
      <c r="C2220" s="4">
        <v>0</v>
      </c>
      <c r="D2220" s="21">
        <v>5</v>
      </c>
      <c r="F2220" s="57">
        <f t="shared" si="126"/>
        <v>0</v>
      </c>
    </row>
    <row r="2221" spans="1:6" x14ac:dyDescent="0.25">
      <c r="A2221" s="5" t="s">
        <v>22</v>
      </c>
      <c r="B2221" s="19">
        <v>43985</v>
      </c>
      <c r="C2221" s="4">
        <v>0</v>
      </c>
      <c r="D2221" s="21">
        <v>63</v>
      </c>
      <c r="F2221" s="57">
        <f t="shared" si="126"/>
        <v>0</v>
      </c>
    </row>
    <row r="2222" spans="1:6" x14ac:dyDescent="0.25">
      <c r="A2222" s="5" t="s">
        <v>18</v>
      </c>
      <c r="B2222" s="19">
        <v>43985</v>
      </c>
      <c r="C2222" s="4">
        <v>0</v>
      </c>
      <c r="D2222" s="21">
        <v>100</v>
      </c>
      <c r="F2222" s="57">
        <f t="shared" si="126"/>
        <v>0</v>
      </c>
    </row>
    <row r="2223" spans="1:6" x14ac:dyDescent="0.25">
      <c r="A2223" s="5" t="s">
        <v>24</v>
      </c>
      <c r="B2223" s="19">
        <v>43985</v>
      </c>
      <c r="C2223" s="4">
        <v>1</v>
      </c>
      <c r="D2223" s="21">
        <v>29</v>
      </c>
      <c r="F2223" s="57">
        <f t="shared" si="126"/>
        <v>0</v>
      </c>
    </row>
    <row r="2224" spans="1:6" x14ac:dyDescent="0.25">
      <c r="A2224" s="5" t="s">
        <v>20</v>
      </c>
      <c r="B2224" s="19">
        <v>43985</v>
      </c>
      <c r="C2224" s="4">
        <v>10</v>
      </c>
      <c r="D2224" s="21">
        <v>150</v>
      </c>
      <c r="F2224" s="57">
        <f t="shared" si="126"/>
        <v>0</v>
      </c>
    </row>
    <row r="2225" spans="1:6" x14ac:dyDescent="0.25">
      <c r="A2225" s="5" t="s">
        <v>19</v>
      </c>
      <c r="B2225" s="19">
        <v>43985</v>
      </c>
      <c r="C2225" s="4">
        <v>16</v>
      </c>
      <c r="D2225" s="21">
        <v>426</v>
      </c>
      <c r="E2225" s="4">
        <v>1</v>
      </c>
      <c r="F2225" s="57">
        <f t="shared" si="126"/>
        <v>1</v>
      </c>
    </row>
    <row r="2226" spans="1:6" x14ac:dyDescent="0.25">
      <c r="A2226" s="5" t="s">
        <v>35</v>
      </c>
      <c r="B2226" s="19">
        <v>43985</v>
      </c>
      <c r="C2226" s="4">
        <v>0</v>
      </c>
      <c r="D2226" s="21">
        <v>15</v>
      </c>
      <c r="F2226" s="57">
        <f t="shared" si="126"/>
        <v>0</v>
      </c>
    </row>
    <row r="2227" spans="1:6" x14ac:dyDescent="0.25">
      <c r="A2227" s="5" t="s">
        <v>36</v>
      </c>
      <c r="B2227" s="19">
        <v>43985</v>
      </c>
      <c r="C2227" s="4">
        <v>0</v>
      </c>
      <c r="D2227" s="21">
        <v>5</v>
      </c>
      <c r="F2227" s="57">
        <f>E2227+F2203</f>
        <v>0</v>
      </c>
    </row>
    <row r="2228" spans="1:6" x14ac:dyDescent="0.25">
      <c r="A2228" s="5" t="s">
        <v>37</v>
      </c>
      <c r="B2228" s="19">
        <v>43985</v>
      </c>
      <c r="C2228" s="4">
        <v>0</v>
      </c>
      <c r="D2228" s="21">
        <v>11</v>
      </c>
      <c r="F2228" s="57">
        <f t="shared" si="126"/>
        <v>0</v>
      </c>
    </row>
    <row r="2229" spans="1:6" x14ac:dyDescent="0.25">
      <c r="A2229" s="5" t="s">
        <v>38</v>
      </c>
      <c r="B2229" s="19">
        <v>43985</v>
      </c>
      <c r="C2229" s="4">
        <v>0</v>
      </c>
      <c r="D2229" s="21">
        <v>51</v>
      </c>
      <c r="F2229" s="57">
        <f t="shared" si="126"/>
        <v>0</v>
      </c>
    </row>
    <row r="2230" spans="1:6" x14ac:dyDescent="0.25">
      <c r="A2230" s="5" t="s">
        <v>23</v>
      </c>
      <c r="B2230" s="19">
        <v>43985</v>
      </c>
      <c r="C2230" s="4">
        <v>3</v>
      </c>
      <c r="D2230" s="21">
        <v>268</v>
      </c>
      <c r="F2230" s="57">
        <f>E2230+F2206</f>
        <v>3</v>
      </c>
    </row>
    <row r="2231" spans="1:6" x14ac:dyDescent="0.25">
      <c r="A2231" s="5" t="s">
        <v>39</v>
      </c>
      <c r="B2231" s="19">
        <v>43985</v>
      </c>
      <c r="C2231" s="4">
        <v>0</v>
      </c>
      <c r="D2231" s="21">
        <v>22</v>
      </c>
      <c r="F2231" s="57">
        <f>E2231+F2207</f>
        <v>0</v>
      </c>
    </row>
    <row r="2232" spans="1:6" x14ac:dyDescent="0.25">
      <c r="A2232" s="5" t="s">
        <v>40</v>
      </c>
      <c r="B2232" s="19">
        <v>43985</v>
      </c>
      <c r="C2232" s="4">
        <v>0</v>
      </c>
      <c r="D2232" s="21">
        <v>149</v>
      </c>
      <c r="F2232" s="57">
        <f t="shared" si="126"/>
        <v>0</v>
      </c>
    </row>
    <row r="2233" spans="1:6" x14ac:dyDescent="0.25">
      <c r="A2233" s="5" t="s">
        <v>41</v>
      </c>
      <c r="B2233" s="19">
        <v>43985</v>
      </c>
      <c r="C2233" s="4">
        <v>0</v>
      </c>
      <c r="D2233" s="21">
        <v>48</v>
      </c>
      <c r="F2233" s="57">
        <f>E2233+F2209</f>
        <v>3</v>
      </c>
    </row>
    <row r="2234" spans="1:6" x14ac:dyDescent="0.25">
      <c r="A2234" s="42" t="s">
        <v>17</v>
      </c>
      <c r="B2234" s="19">
        <v>43986</v>
      </c>
      <c r="C2234" s="4">
        <v>422</v>
      </c>
      <c r="D2234" s="21">
        <v>7496</v>
      </c>
      <c r="E2234" s="4">
        <v>11</v>
      </c>
      <c r="F2234" s="57">
        <f>E2234+F2210</f>
        <v>253</v>
      </c>
    </row>
    <row r="2235" spans="1:6" x14ac:dyDescent="0.25">
      <c r="A2235" s="5" t="s">
        <v>29</v>
      </c>
      <c r="B2235" s="19">
        <v>43986</v>
      </c>
      <c r="C2235" s="4">
        <v>0</v>
      </c>
      <c r="D2235" s="21">
        <v>0</v>
      </c>
      <c r="F2235" s="57">
        <f t="shared" ref="F2235:F2241" si="127">E2235+F2211</f>
        <v>0</v>
      </c>
    </row>
    <row r="2236" spans="1:6" x14ac:dyDescent="0.25">
      <c r="A2236" s="5" t="s">
        <v>16</v>
      </c>
      <c r="B2236" s="19">
        <v>43986</v>
      </c>
      <c r="C2236" s="4">
        <v>53</v>
      </c>
      <c r="D2236" s="21">
        <v>979</v>
      </c>
      <c r="E2236" s="4">
        <v>1</v>
      </c>
      <c r="F2236" s="57">
        <f t="shared" si="127"/>
        <v>59</v>
      </c>
    </row>
    <row r="2237" spans="1:6" x14ac:dyDescent="0.25">
      <c r="A2237" s="5" t="s">
        <v>30</v>
      </c>
      <c r="B2237" s="19">
        <v>43986</v>
      </c>
      <c r="C2237" s="4">
        <v>0</v>
      </c>
      <c r="D2237" s="21">
        <v>11</v>
      </c>
      <c r="F2237" s="57">
        <f t="shared" si="127"/>
        <v>1</v>
      </c>
    </row>
    <row r="2238" spans="1:6" x14ac:dyDescent="0.25">
      <c r="A2238" s="5" t="s">
        <v>44</v>
      </c>
      <c r="B2238" s="19">
        <v>43986</v>
      </c>
      <c r="C2238" s="4">
        <v>436</v>
      </c>
      <c r="D2238" s="21">
        <v>9754</v>
      </c>
      <c r="E2238" s="4">
        <v>12</v>
      </c>
      <c r="F2238" s="57">
        <f t="shared" si="127"/>
        <v>213</v>
      </c>
    </row>
    <row r="2239" spans="1:6" x14ac:dyDescent="0.25">
      <c r="A2239" s="5" t="s">
        <v>21</v>
      </c>
      <c r="B2239" s="19">
        <v>43986</v>
      </c>
      <c r="C2239" s="4">
        <v>2</v>
      </c>
      <c r="D2239" s="21">
        <v>464</v>
      </c>
      <c r="F2239" s="57">
        <f t="shared" si="127"/>
        <v>29</v>
      </c>
    </row>
    <row r="2240" spans="1:6" x14ac:dyDescent="0.25">
      <c r="A2240" s="5" t="s">
        <v>31</v>
      </c>
      <c r="B2240" s="19">
        <v>43986</v>
      </c>
      <c r="C2240" s="4">
        <v>0</v>
      </c>
      <c r="D2240" s="21">
        <v>96</v>
      </c>
      <c r="F2240" s="57">
        <f t="shared" si="127"/>
        <v>0</v>
      </c>
    </row>
    <row r="2241" spans="1:6" x14ac:dyDescent="0.25">
      <c r="A2241" s="5" t="s">
        <v>32</v>
      </c>
      <c r="B2241" s="19">
        <v>43986</v>
      </c>
      <c r="C2241" s="4">
        <v>0</v>
      </c>
      <c r="D2241" s="21">
        <v>35</v>
      </c>
      <c r="F2241" s="57">
        <f t="shared" si="127"/>
        <v>0</v>
      </c>
    </row>
    <row r="2242" spans="1:6" x14ac:dyDescent="0.25">
      <c r="A2242" s="5" t="s">
        <v>42</v>
      </c>
      <c r="B2242" s="19">
        <v>43986</v>
      </c>
      <c r="C2242" s="4">
        <v>0</v>
      </c>
      <c r="D2242" s="21">
        <v>0</v>
      </c>
      <c r="F2242" s="57">
        <f t="shared" ref="F2242:F2256" si="128">E2242+F2217</f>
        <v>0</v>
      </c>
    </row>
    <row r="2243" spans="1:6" x14ac:dyDescent="0.25">
      <c r="A2243" s="5" t="s">
        <v>33</v>
      </c>
      <c r="B2243" s="19">
        <v>43986</v>
      </c>
      <c r="C2243" s="4">
        <v>0</v>
      </c>
      <c r="D2243" s="21">
        <v>6</v>
      </c>
      <c r="F2243" s="57">
        <f t="shared" si="128"/>
        <v>0</v>
      </c>
    </row>
    <row r="2244" spans="1:6" x14ac:dyDescent="0.25">
      <c r="A2244" s="5" t="s">
        <v>34</v>
      </c>
      <c r="B2244" s="19">
        <v>43986</v>
      </c>
      <c r="C2244" s="4">
        <v>0</v>
      </c>
      <c r="D2244" s="21">
        <v>5</v>
      </c>
      <c r="F2244" s="57">
        <f t="shared" si="128"/>
        <v>0</v>
      </c>
    </row>
    <row r="2245" spans="1:6" x14ac:dyDescent="0.25">
      <c r="A2245" s="5" t="s">
        <v>22</v>
      </c>
      <c r="B2245" s="19">
        <v>43986</v>
      </c>
      <c r="C2245" s="4">
        <v>0</v>
      </c>
      <c r="D2245" s="21">
        <v>63</v>
      </c>
      <c r="F2245" s="57">
        <f t="shared" si="128"/>
        <v>0</v>
      </c>
    </row>
    <row r="2246" spans="1:6" x14ac:dyDescent="0.25">
      <c r="A2246" s="5" t="s">
        <v>18</v>
      </c>
      <c r="B2246" s="19">
        <v>43986</v>
      </c>
      <c r="C2246" s="4">
        <v>0</v>
      </c>
      <c r="D2246" s="21">
        <v>100</v>
      </c>
      <c r="F2246" s="57">
        <f t="shared" si="128"/>
        <v>0</v>
      </c>
    </row>
    <row r="2247" spans="1:6" x14ac:dyDescent="0.25">
      <c r="A2247" s="5" t="s">
        <v>24</v>
      </c>
      <c r="B2247" s="19">
        <v>43986</v>
      </c>
      <c r="C2247" s="4">
        <v>2</v>
      </c>
      <c r="D2247" s="21">
        <v>31</v>
      </c>
      <c r="F2247" s="57">
        <f t="shared" si="128"/>
        <v>0</v>
      </c>
    </row>
    <row r="2248" spans="1:6" x14ac:dyDescent="0.25">
      <c r="A2248" s="5" t="s">
        <v>20</v>
      </c>
      <c r="B2248" s="19">
        <v>43986</v>
      </c>
      <c r="C2248" s="4">
        <v>0</v>
      </c>
      <c r="D2248" s="21">
        <v>150</v>
      </c>
      <c r="F2248" s="57">
        <f t="shared" si="128"/>
        <v>0</v>
      </c>
    </row>
    <row r="2249" spans="1:6" x14ac:dyDescent="0.25">
      <c r="A2249" s="5" t="s">
        <v>19</v>
      </c>
      <c r="B2249" s="19">
        <v>43986</v>
      </c>
      <c r="C2249" s="4">
        <v>8</v>
      </c>
      <c r="D2249" s="21">
        <v>434</v>
      </c>
      <c r="E2249" s="4">
        <v>1</v>
      </c>
      <c r="F2249" s="57">
        <f t="shared" si="128"/>
        <v>1</v>
      </c>
    </row>
    <row r="2250" spans="1:6" x14ac:dyDescent="0.25">
      <c r="A2250" s="5" t="s">
        <v>35</v>
      </c>
      <c r="B2250" s="19">
        <v>43986</v>
      </c>
      <c r="C2250" s="4">
        <v>0</v>
      </c>
      <c r="D2250" s="21">
        <v>15</v>
      </c>
      <c r="F2250" s="57">
        <f t="shared" si="128"/>
        <v>1</v>
      </c>
    </row>
    <row r="2251" spans="1:6" x14ac:dyDescent="0.25">
      <c r="A2251" s="5" t="s">
        <v>36</v>
      </c>
      <c r="B2251" s="19">
        <v>43986</v>
      </c>
      <c r="C2251" s="4">
        <v>0</v>
      </c>
      <c r="D2251" s="21">
        <v>5</v>
      </c>
      <c r="F2251" s="57">
        <f>E2251+F2227</f>
        <v>0</v>
      </c>
    </row>
    <row r="2252" spans="1:6" x14ac:dyDescent="0.25">
      <c r="A2252" s="5" t="s">
        <v>37</v>
      </c>
      <c r="B2252" s="19">
        <v>43986</v>
      </c>
      <c r="C2252" s="4">
        <v>0</v>
      </c>
      <c r="D2252" s="21">
        <v>11</v>
      </c>
      <c r="F2252" s="57">
        <f t="shared" si="128"/>
        <v>0</v>
      </c>
    </row>
    <row r="2253" spans="1:6" x14ac:dyDescent="0.25">
      <c r="A2253" s="5" t="s">
        <v>38</v>
      </c>
      <c r="B2253" s="19">
        <v>43986</v>
      </c>
      <c r="C2253" s="4">
        <v>0</v>
      </c>
      <c r="D2253" s="21">
        <v>51</v>
      </c>
      <c r="F2253" s="57">
        <f t="shared" si="128"/>
        <v>0</v>
      </c>
    </row>
    <row r="2254" spans="1:6" x14ac:dyDescent="0.25">
      <c r="A2254" s="5" t="s">
        <v>23</v>
      </c>
      <c r="B2254" s="19">
        <v>43986</v>
      </c>
      <c r="C2254" s="4">
        <v>5</v>
      </c>
      <c r="D2254" s="21">
        <v>273</v>
      </c>
      <c r="F2254" s="57">
        <f>E2254+F2230</f>
        <v>3</v>
      </c>
    </row>
    <row r="2255" spans="1:6" x14ac:dyDescent="0.25">
      <c r="A2255" s="5" t="s">
        <v>39</v>
      </c>
      <c r="B2255" s="19">
        <v>43986</v>
      </c>
      <c r="C2255" s="4">
        <v>0</v>
      </c>
      <c r="D2255" s="21">
        <v>22</v>
      </c>
      <c r="F2255" s="57">
        <f>E2255+F2231</f>
        <v>0</v>
      </c>
    </row>
    <row r="2256" spans="1:6" x14ac:dyDescent="0.25">
      <c r="A2256" s="5" t="s">
        <v>40</v>
      </c>
      <c r="B2256" s="19">
        <v>43986</v>
      </c>
      <c r="C2256" s="4">
        <v>0</v>
      </c>
      <c r="D2256" s="21">
        <v>149</v>
      </c>
      <c r="F2256" s="57">
        <f t="shared" si="128"/>
        <v>0</v>
      </c>
    </row>
    <row r="2257" spans="1:6" x14ac:dyDescent="0.25">
      <c r="A2257" s="5" t="s">
        <v>41</v>
      </c>
      <c r="B2257" s="19">
        <v>43986</v>
      </c>
      <c r="C2257" s="4">
        <v>1</v>
      </c>
      <c r="D2257" s="21">
        <v>49</v>
      </c>
      <c r="F2257" s="57">
        <f>E2257+F2233</f>
        <v>3</v>
      </c>
    </row>
    <row r="2258" spans="1:6" x14ac:dyDescent="0.25">
      <c r="A2258" s="42" t="s">
        <v>17</v>
      </c>
      <c r="B2258" s="19">
        <v>43987</v>
      </c>
      <c r="C2258" s="4">
        <v>371</v>
      </c>
      <c r="D2258" s="21">
        <v>7867</v>
      </c>
      <c r="E2258" s="4">
        <v>8</v>
      </c>
      <c r="F2258" s="57">
        <f>E2258+F2234</f>
        <v>261</v>
      </c>
    </row>
    <row r="2259" spans="1:6" x14ac:dyDescent="0.25">
      <c r="A2259" s="5" t="s">
        <v>29</v>
      </c>
      <c r="B2259" s="19">
        <v>43987</v>
      </c>
      <c r="C2259" s="4">
        <v>0</v>
      </c>
      <c r="D2259" s="21">
        <v>0</v>
      </c>
      <c r="F2259" s="57">
        <f t="shared" ref="F2259:F2265" si="129">E2259+F2235</f>
        <v>0</v>
      </c>
    </row>
    <row r="2260" spans="1:6" x14ac:dyDescent="0.25">
      <c r="A2260" s="5" t="s">
        <v>16</v>
      </c>
      <c r="B2260" s="19">
        <v>43987</v>
      </c>
      <c r="C2260" s="4">
        <v>29</v>
      </c>
      <c r="D2260" s="21">
        <v>1008</v>
      </c>
      <c r="E2260" s="4">
        <v>1</v>
      </c>
      <c r="F2260" s="57">
        <f t="shared" si="129"/>
        <v>60</v>
      </c>
    </row>
    <row r="2261" spans="1:6" x14ac:dyDescent="0.25">
      <c r="A2261" s="5" t="s">
        <v>30</v>
      </c>
      <c r="B2261" s="19">
        <v>43987</v>
      </c>
      <c r="C2261" s="4">
        <v>3</v>
      </c>
      <c r="D2261" s="21">
        <v>14</v>
      </c>
      <c r="F2261" s="57">
        <f t="shared" si="129"/>
        <v>1</v>
      </c>
    </row>
    <row r="2262" spans="1:6" x14ac:dyDescent="0.25">
      <c r="A2262" s="5" t="s">
        <v>44</v>
      </c>
      <c r="B2262" s="19">
        <v>43987</v>
      </c>
      <c r="C2262" s="4">
        <v>420</v>
      </c>
      <c r="D2262" s="21">
        <v>10174</v>
      </c>
      <c r="E2262" s="4">
        <v>15</v>
      </c>
      <c r="F2262" s="57">
        <f t="shared" si="129"/>
        <v>228</v>
      </c>
    </row>
    <row r="2263" spans="1:6" x14ac:dyDescent="0.25">
      <c r="A2263" s="5" t="s">
        <v>21</v>
      </c>
      <c r="B2263" s="19">
        <v>43987</v>
      </c>
      <c r="C2263" s="4">
        <v>2</v>
      </c>
      <c r="D2263" s="21">
        <v>466</v>
      </c>
      <c r="F2263" s="57">
        <f t="shared" si="129"/>
        <v>29</v>
      </c>
    </row>
    <row r="2264" spans="1:6" x14ac:dyDescent="0.25">
      <c r="A2264" s="5" t="s">
        <v>31</v>
      </c>
      <c r="B2264" s="19">
        <v>43987</v>
      </c>
      <c r="C2264" s="4">
        <v>0</v>
      </c>
      <c r="D2264" s="21">
        <v>96</v>
      </c>
      <c r="F2264" s="57">
        <f t="shared" si="129"/>
        <v>0</v>
      </c>
    </row>
    <row r="2265" spans="1:6" x14ac:dyDescent="0.25">
      <c r="A2265" s="5" t="s">
        <v>32</v>
      </c>
      <c r="B2265" s="19">
        <v>43987</v>
      </c>
      <c r="C2265" s="4">
        <v>4</v>
      </c>
      <c r="D2265" s="21">
        <v>39</v>
      </c>
      <c r="F2265" s="57">
        <f t="shared" si="129"/>
        <v>0</v>
      </c>
    </row>
    <row r="2266" spans="1:6" x14ac:dyDescent="0.25">
      <c r="A2266" s="5" t="s">
        <v>42</v>
      </c>
      <c r="B2266" s="19">
        <v>43987</v>
      </c>
      <c r="C2266" s="4">
        <v>0</v>
      </c>
      <c r="D2266" s="21">
        <v>0</v>
      </c>
      <c r="F2266" s="57">
        <f t="shared" ref="F2266:F2280" si="130">E2266+F2241</f>
        <v>0</v>
      </c>
    </row>
    <row r="2267" spans="1:6" x14ac:dyDescent="0.25">
      <c r="A2267" s="5" t="s">
        <v>33</v>
      </c>
      <c r="B2267" s="19">
        <v>43987</v>
      </c>
      <c r="C2267" s="4">
        <v>0</v>
      </c>
      <c r="D2267" s="21">
        <v>6</v>
      </c>
      <c r="F2267" s="57">
        <f t="shared" si="130"/>
        <v>0</v>
      </c>
    </row>
    <row r="2268" spans="1:6" x14ac:dyDescent="0.25">
      <c r="A2268" s="5" t="s">
        <v>34</v>
      </c>
      <c r="B2268" s="19">
        <v>43987</v>
      </c>
      <c r="C2268" s="4">
        <v>0</v>
      </c>
      <c r="D2268" s="21">
        <v>5</v>
      </c>
      <c r="F2268" s="57">
        <f t="shared" si="130"/>
        <v>0</v>
      </c>
    </row>
    <row r="2269" spans="1:6" x14ac:dyDescent="0.25">
      <c r="A2269" s="5" t="s">
        <v>22</v>
      </c>
      <c r="B2269" s="19">
        <v>43987</v>
      </c>
      <c r="C2269" s="4">
        <v>0</v>
      </c>
      <c r="D2269" s="21">
        <v>63</v>
      </c>
      <c r="F2269" s="57">
        <f t="shared" si="130"/>
        <v>0</v>
      </c>
    </row>
    <row r="2270" spans="1:6" x14ac:dyDescent="0.25">
      <c r="A2270" s="5" t="s">
        <v>18</v>
      </c>
      <c r="B2270" s="19">
        <v>43987</v>
      </c>
      <c r="C2270" s="12">
        <v>1</v>
      </c>
      <c r="D2270" s="21">
        <v>101</v>
      </c>
      <c r="F2270" s="57">
        <f t="shared" si="130"/>
        <v>0</v>
      </c>
    </row>
    <row r="2271" spans="1:6" x14ac:dyDescent="0.25">
      <c r="A2271" s="5" t="s">
        <v>24</v>
      </c>
      <c r="B2271" s="19">
        <v>43987</v>
      </c>
      <c r="C2271" s="4">
        <v>0</v>
      </c>
      <c r="D2271" s="21">
        <v>31</v>
      </c>
      <c r="F2271" s="57">
        <f t="shared" si="130"/>
        <v>0</v>
      </c>
    </row>
    <row r="2272" spans="1:6" x14ac:dyDescent="0.25">
      <c r="A2272" s="5" t="s">
        <v>20</v>
      </c>
      <c r="B2272" s="19">
        <v>43987</v>
      </c>
      <c r="C2272" s="4">
        <v>1</v>
      </c>
      <c r="D2272" s="21">
        <v>151</v>
      </c>
      <c r="F2272" s="57">
        <f t="shared" si="130"/>
        <v>0</v>
      </c>
    </row>
    <row r="2273" spans="1:6" x14ac:dyDescent="0.25">
      <c r="A2273" s="5" t="s">
        <v>19</v>
      </c>
      <c r="B2273" s="19">
        <v>43987</v>
      </c>
      <c r="C2273" s="4">
        <v>8</v>
      </c>
      <c r="D2273" s="21">
        <v>442</v>
      </c>
      <c r="F2273" s="57">
        <f t="shared" si="130"/>
        <v>0</v>
      </c>
    </row>
    <row r="2274" spans="1:6" x14ac:dyDescent="0.25">
      <c r="A2274" s="5" t="s">
        <v>35</v>
      </c>
      <c r="B2274" s="19">
        <v>43987</v>
      </c>
      <c r="C2274" s="4">
        <v>0</v>
      </c>
      <c r="D2274" s="21">
        <v>15</v>
      </c>
      <c r="F2274" s="57">
        <f t="shared" si="130"/>
        <v>1</v>
      </c>
    </row>
    <row r="2275" spans="1:6" x14ac:dyDescent="0.25">
      <c r="A2275" s="5" t="s">
        <v>36</v>
      </c>
      <c r="B2275" s="19">
        <v>43987</v>
      </c>
      <c r="C2275" s="4">
        <v>0</v>
      </c>
      <c r="D2275" s="21">
        <v>5</v>
      </c>
      <c r="F2275" s="57">
        <f>E2275+F2251</f>
        <v>0</v>
      </c>
    </row>
    <row r="2276" spans="1:6" x14ac:dyDescent="0.25">
      <c r="A2276" s="5" t="s">
        <v>37</v>
      </c>
      <c r="B2276" s="19">
        <v>43987</v>
      </c>
      <c r="C2276" s="4">
        <v>0</v>
      </c>
      <c r="D2276" s="21">
        <v>11</v>
      </c>
      <c r="F2276" s="57">
        <f t="shared" si="130"/>
        <v>0</v>
      </c>
    </row>
    <row r="2277" spans="1:6" x14ac:dyDescent="0.25">
      <c r="A2277" s="5" t="s">
        <v>38</v>
      </c>
      <c r="B2277" s="19">
        <v>43987</v>
      </c>
      <c r="C2277" s="4">
        <v>0</v>
      </c>
      <c r="D2277" s="21">
        <v>51</v>
      </c>
      <c r="F2277" s="57">
        <f t="shared" si="130"/>
        <v>0</v>
      </c>
    </row>
    <row r="2278" spans="1:6" x14ac:dyDescent="0.25">
      <c r="A2278" s="5" t="s">
        <v>23</v>
      </c>
      <c r="B2278" s="19">
        <v>43987</v>
      </c>
      <c r="C2278" s="4">
        <v>1</v>
      </c>
      <c r="D2278" s="21">
        <v>274</v>
      </c>
      <c r="F2278" s="57">
        <f>E2278+F2254</f>
        <v>3</v>
      </c>
    </row>
    <row r="2279" spans="1:6" x14ac:dyDescent="0.25">
      <c r="A2279" s="5" t="s">
        <v>39</v>
      </c>
      <c r="B2279" s="19">
        <v>43987</v>
      </c>
      <c r="C2279" s="4">
        <v>0</v>
      </c>
      <c r="D2279" s="21">
        <v>22</v>
      </c>
      <c r="F2279" s="57">
        <f>E2279+F2255</f>
        <v>0</v>
      </c>
    </row>
    <row r="2280" spans="1:6" x14ac:dyDescent="0.25">
      <c r="A2280" s="5" t="s">
        <v>40</v>
      </c>
      <c r="B2280" s="19">
        <v>43987</v>
      </c>
      <c r="C2280" s="4">
        <v>0</v>
      </c>
      <c r="D2280" s="21">
        <v>149</v>
      </c>
      <c r="F2280" s="57">
        <f t="shared" si="130"/>
        <v>0</v>
      </c>
    </row>
    <row r="2281" spans="1:6" x14ac:dyDescent="0.25">
      <c r="A2281" s="5" t="s">
        <v>41</v>
      </c>
      <c r="B2281" s="19">
        <v>43987</v>
      </c>
      <c r="C2281" s="4">
        <v>0</v>
      </c>
      <c r="D2281" s="21">
        <v>49</v>
      </c>
      <c r="F2281" s="57">
        <f>E2281+F2257</f>
        <v>3</v>
      </c>
    </row>
    <row r="2282" spans="1:6" x14ac:dyDescent="0.25">
      <c r="A2282" s="42" t="s">
        <v>17</v>
      </c>
      <c r="B2282" s="19">
        <v>43988</v>
      </c>
      <c r="C2282" s="4">
        <v>457</v>
      </c>
      <c r="D2282" s="21">
        <v>8324</v>
      </c>
      <c r="E2282" s="4">
        <v>2</v>
      </c>
      <c r="F2282" s="57">
        <f>E2282+F2258</f>
        <v>263</v>
      </c>
    </row>
    <row r="2283" spans="1:6" x14ac:dyDescent="0.25">
      <c r="A2283" s="5" t="s">
        <v>29</v>
      </c>
      <c r="B2283" s="19">
        <v>43988</v>
      </c>
      <c r="C2283" s="4">
        <v>0</v>
      </c>
      <c r="D2283" s="21">
        <v>0</v>
      </c>
      <c r="F2283" s="57">
        <f t="shared" ref="F2283:F2289" si="131">E2283+F2259</f>
        <v>0</v>
      </c>
    </row>
    <row r="2284" spans="1:6" x14ac:dyDescent="0.25">
      <c r="A2284" s="5" t="s">
        <v>16</v>
      </c>
      <c r="B2284" s="19">
        <v>43988</v>
      </c>
      <c r="C2284" s="4">
        <v>19</v>
      </c>
      <c r="D2284" s="21">
        <v>1027</v>
      </c>
      <c r="F2284" s="57">
        <f t="shared" si="131"/>
        <v>60</v>
      </c>
    </row>
    <row r="2285" spans="1:6" x14ac:dyDescent="0.25">
      <c r="A2285" s="5" t="s">
        <v>30</v>
      </c>
      <c r="B2285" s="19">
        <v>43988</v>
      </c>
      <c r="C2285" s="4">
        <v>1</v>
      </c>
      <c r="D2285" s="21">
        <v>15</v>
      </c>
      <c r="F2285" s="57">
        <f t="shared" si="131"/>
        <v>1</v>
      </c>
    </row>
    <row r="2286" spans="1:6" x14ac:dyDescent="0.25">
      <c r="A2286" s="5" t="s">
        <v>44</v>
      </c>
      <c r="B2286" s="19">
        <v>43988</v>
      </c>
      <c r="C2286" s="4">
        <v>474</v>
      </c>
      <c r="D2286" s="21">
        <v>10648</v>
      </c>
      <c r="E2286" s="4">
        <v>13</v>
      </c>
      <c r="F2286" s="57">
        <f t="shared" si="131"/>
        <v>241</v>
      </c>
    </row>
    <row r="2287" spans="1:6" x14ac:dyDescent="0.25">
      <c r="A2287" s="5" t="s">
        <v>21</v>
      </c>
      <c r="B2287" s="19">
        <v>43988</v>
      </c>
      <c r="C2287" s="4">
        <v>0</v>
      </c>
      <c r="D2287" s="21">
        <v>466</v>
      </c>
      <c r="E2287" s="4">
        <v>1</v>
      </c>
      <c r="F2287" s="57">
        <f t="shared" si="131"/>
        <v>30</v>
      </c>
    </row>
    <row r="2288" spans="1:6" x14ac:dyDescent="0.25">
      <c r="A2288" s="5" t="s">
        <v>31</v>
      </c>
      <c r="B2288" s="19">
        <v>43988</v>
      </c>
      <c r="C2288" s="4">
        <v>0</v>
      </c>
      <c r="D2288" s="21">
        <v>96</v>
      </c>
      <c r="F2288" s="57">
        <f t="shared" si="131"/>
        <v>0</v>
      </c>
    </row>
    <row r="2289" spans="1:6" x14ac:dyDescent="0.25">
      <c r="A2289" s="5" t="s">
        <v>32</v>
      </c>
      <c r="B2289" s="19">
        <v>43988</v>
      </c>
      <c r="C2289" s="4">
        <v>10</v>
      </c>
      <c r="D2289" s="21">
        <v>49</v>
      </c>
      <c r="F2289" s="57">
        <f t="shared" si="131"/>
        <v>0</v>
      </c>
    </row>
    <row r="2290" spans="1:6" x14ac:dyDescent="0.25">
      <c r="A2290" s="5" t="s">
        <v>42</v>
      </c>
      <c r="B2290" s="19">
        <v>43988</v>
      </c>
      <c r="C2290" s="4">
        <v>0</v>
      </c>
      <c r="D2290" s="21">
        <v>0</v>
      </c>
      <c r="F2290" s="57">
        <f t="shared" ref="F2290:F2304" si="132">E2290+F2265</f>
        <v>0</v>
      </c>
    </row>
    <row r="2291" spans="1:6" x14ac:dyDescent="0.25">
      <c r="A2291" s="5" t="s">
        <v>33</v>
      </c>
      <c r="B2291" s="19">
        <v>43988</v>
      </c>
      <c r="C2291" s="4">
        <v>0</v>
      </c>
      <c r="D2291" s="21">
        <v>6</v>
      </c>
      <c r="F2291" s="57">
        <f t="shared" si="132"/>
        <v>0</v>
      </c>
    </row>
    <row r="2292" spans="1:6" x14ac:dyDescent="0.25">
      <c r="A2292" s="5" t="s">
        <v>34</v>
      </c>
      <c r="B2292" s="19">
        <v>43988</v>
      </c>
      <c r="C2292" s="4">
        <v>0</v>
      </c>
      <c r="D2292" s="21">
        <v>5</v>
      </c>
      <c r="F2292" s="57">
        <f t="shared" si="132"/>
        <v>0</v>
      </c>
    </row>
    <row r="2293" spans="1:6" x14ac:dyDescent="0.25">
      <c r="A2293" s="5" t="s">
        <v>22</v>
      </c>
      <c r="B2293" s="19">
        <v>43988</v>
      </c>
      <c r="C2293" s="4">
        <v>0</v>
      </c>
      <c r="D2293" s="21">
        <v>63</v>
      </c>
      <c r="F2293" s="57">
        <f t="shared" si="132"/>
        <v>0</v>
      </c>
    </row>
    <row r="2294" spans="1:6" x14ac:dyDescent="0.25">
      <c r="A2294" s="5" t="s">
        <v>18</v>
      </c>
      <c r="B2294" s="19">
        <v>43988</v>
      </c>
      <c r="C2294" s="12">
        <v>0</v>
      </c>
      <c r="D2294" s="21">
        <v>101</v>
      </c>
      <c r="F2294" s="57">
        <f t="shared" si="132"/>
        <v>0</v>
      </c>
    </row>
    <row r="2295" spans="1:6" x14ac:dyDescent="0.25">
      <c r="A2295" s="5" t="s">
        <v>24</v>
      </c>
      <c r="B2295" s="19">
        <v>43988</v>
      </c>
      <c r="C2295" s="4">
        <v>4</v>
      </c>
      <c r="D2295" s="21">
        <v>35</v>
      </c>
      <c r="F2295" s="57">
        <f t="shared" si="132"/>
        <v>0</v>
      </c>
    </row>
    <row r="2296" spans="1:6" x14ac:dyDescent="0.25">
      <c r="A2296" s="5" t="s">
        <v>20</v>
      </c>
      <c r="B2296" s="19">
        <v>43988</v>
      </c>
      <c r="C2296" s="4">
        <v>1</v>
      </c>
      <c r="D2296" s="21">
        <v>152</v>
      </c>
      <c r="F2296" s="57">
        <f t="shared" si="132"/>
        <v>0</v>
      </c>
    </row>
    <row r="2297" spans="1:6" x14ac:dyDescent="0.25">
      <c r="A2297" s="5" t="s">
        <v>19</v>
      </c>
      <c r="B2297" s="19">
        <v>43988</v>
      </c>
      <c r="C2297" s="4">
        <v>15</v>
      </c>
      <c r="D2297" s="21">
        <v>457</v>
      </c>
      <c r="F2297" s="57">
        <f t="shared" si="132"/>
        <v>0</v>
      </c>
    </row>
    <row r="2298" spans="1:6" x14ac:dyDescent="0.25">
      <c r="A2298" s="5" t="s">
        <v>35</v>
      </c>
      <c r="B2298" s="19">
        <v>43988</v>
      </c>
      <c r="C2298" s="4">
        <v>0</v>
      </c>
      <c r="D2298" s="21">
        <v>15</v>
      </c>
      <c r="F2298" s="57">
        <f t="shared" si="132"/>
        <v>0</v>
      </c>
    </row>
    <row r="2299" spans="1:6" x14ac:dyDescent="0.25">
      <c r="A2299" s="5" t="s">
        <v>36</v>
      </c>
      <c r="B2299" s="19">
        <v>43988</v>
      </c>
      <c r="C2299" s="4">
        <v>0</v>
      </c>
      <c r="D2299" s="21">
        <v>5</v>
      </c>
      <c r="F2299" s="57">
        <f>E2299+F2275</f>
        <v>0</v>
      </c>
    </row>
    <row r="2300" spans="1:6" x14ac:dyDescent="0.25">
      <c r="A2300" s="5" t="s">
        <v>37</v>
      </c>
      <c r="B2300" s="19">
        <v>43988</v>
      </c>
      <c r="C2300" s="4">
        <v>0</v>
      </c>
      <c r="D2300" s="21">
        <v>11</v>
      </c>
      <c r="F2300" s="57">
        <f t="shared" si="132"/>
        <v>0</v>
      </c>
    </row>
    <row r="2301" spans="1:6" x14ac:dyDescent="0.25">
      <c r="A2301" s="5" t="s">
        <v>38</v>
      </c>
      <c r="B2301" s="19">
        <v>43988</v>
      </c>
      <c r="C2301" s="4">
        <v>0</v>
      </c>
      <c r="D2301" s="21">
        <v>51</v>
      </c>
      <c r="F2301" s="57">
        <f t="shared" si="132"/>
        <v>0</v>
      </c>
    </row>
    <row r="2302" spans="1:6" x14ac:dyDescent="0.25">
      <c r="A2302" s="5" t="s">
        <v>23</v>
      </c>
      <c r="B2302" s="19">
        <v>43988</v>
      </c>
      <c r="C2302" s="4">
        <v>2</v>
      </c>
      <c r="D2302" s="21">
        <v>276</v>
      </c>
      <c r="F2302" s="57">
        <f>E2302+F2278</f>
        <v>3</v>
      </c>
    </row>
    <row r="2303" spans="1:6" x14ac:dyDescent="0.25">
      <c r="A2303" s="5" t="s">
        <v>39</v>
      </c>
      <c r="B2303" s="19">
        <v>43988</v>
      </c>
      <c r="C2303" s="4">
        <v>0</v>
      </c>
      <c r="D2303" s="21">
        <v>22</v>
      </c>
      <c r="F2303" s="57">
        <f>E2303+F2279</f>
        <v>0</v>
      </c>
    </row>
    <row r="2304" spans="1:6" x14ac:dyDescent="0.25">
      <c r="A2304" s="5" t="s">
        <v>40</v>
      </c>
      <c r="B2304" s="19">
        <v>43988</v>
      </c>
      <c r="C2304" s="4">
        <v>0</v>
      </c>
      <c r="D2304" s="21">
        <v>149</v>
      </c>
      <c r="F2304" s="57">
        <f t="shared" si="132"/>
        <v>0</v>
      </c>
    </row>
    <row r="2305" spans="1:6" x14ac:dyDescent="0.25">
      <c r="A2305" s="5" t="s">
        <v>41</v>
      </c>
      <c r="B2305" s="19">
        <v>43988</v>
      </c>
      <c r="C2305" s="4">
        <v>0</v>
      </c>
      <c r="D2305" s="21">
        <v>49</v>
      </c>
      <c r="F2305" s="57">
        <f>E2305+F2281</f>
        <v>3</v>
      </c>
    </row>
    <row r="2306" spans="1:6" x14ac:dyDescent="0.25">
      <c r="A2306" s="42" t="s">
        <v>17</v>
      </c>
      <c r="B2306" s="19">
        <v>43989</v>
      </c>
      <c r="C2306" s="4">
        <v>375</v>
      </c>
      <c r="D2306" s="21">
        <v>8699</v>
      </c>
      <c r="E2306" s="4">
        <v>9</v>
      </c>
      <c r="F2306" s="57">
        <f>E2306+F2282</f>
        <v>272</v>
      </c>
    </row>
    <row r="2307" spans="1:6" x14ac:dyDescent="0.25">
      <c r="A2307" s="5" t="s">
        <v>29</v>
      </c>
      <c r="B2307" s="19">
        <v>43989</v>
      </c>
      <c r="C2307" s="4">
        <v>0</v>
      </c>
      <c r="D2307" s="21">
        <v>0</v>
      </c>
      <c r="F2307" s="57">
        <f t="shared" ref="F2307:F2313" si="133">E2307+F2283</f>
        <v>0</v>
      </c>
    </row>
    <row r="2308" spans="1:6" x14ac:dyDescent="0.25">
      <c r="A2308" s="5" t="s">
        <v>16</v>
      </c>
      <c r="B2308" s="19">
        <v>43989</v>
      </c>
      <c r="C2308" s="4">
        <v>18</v>
      </c>
      <c r="D2308" s="21">
        <v>1045</v>
      </c>
      <c r="E2308" s="4">
        <v>1</v>
      </c>
      <c r="F2308" s="57">
        <f t="shared" si="133"/>
        <v>61</v>
      </c>
    </row>
    <row r="2309" spans="1:6" x14ac:dyDescent="0.25">
      <c r="A2309" s="5" t="s">
        <v>30</v>
      </c>
      <c r="B2309" s="19">
        <v>43989</v>
      </c>
      <c r="C2309" s="4">
        <v>5</v>
      </c>
      <c r="D2309" s="21">
        <v>20</v>
      </c>
      <c r="F2309" s="57">
        <f t="shared" si="133"/>
        <v>1</v>
      </c>
    </row>
    <row r="2310" spans="1:6" x14ac:dyDescent="0.25">
      <c r="A2310" s="5" t="s">
        <v>44</v>
      </c>
      <c r="B2310" s="19">
        <v>43989</v>
      </c>
      <c r="C2310" s="4">
        <v>359</v>
      </c>
      <c r="D2310" s="21">
        <v>11007</v>
      </c>
      <c r="E2310" s="4">
        <v>4</v>
      </c>
      <c r="F2310" s="57">
        <f t="shared" si="133"/>
        <v>245</v>
      </c>
    </row>
    <row r="2311" spans="1:6" x14ac:dyDescent="0.25">
      <c r="A2311" s="5" t="s">
        <v>21</v>
      </c>
      <c r="B2311" s="19">
        <v>43989</v>
      </c>
      <c r="C2311" s="4">
        <v>0</v>
      </c>
      <c r="D2311" s="21">
        <v>466</v>
      </c>
      <c r="F2311" s="57">
        <f t="shared" si="133"/>
        <v>30</v>
      </c>
    </row>
    <row r="2312" spans="1:6" x14ac:dyDescent="0.25">
      <c r="A2312" s="5" t="s">
        <v>31</v>
      </c>
      <c r="B2312" s="19">
        <v>43989</v>
      </c>
      <c r="C2312" s="4">
        <v>0</v>
      </c>
      <c r="D2312" s="21">
        <v>96</v>
      </c>
      <c r="F2312" s="57">
        <f t="shared" si="133"/>
        <v>0</v>
      </c>
    </row>
    <row r="2313" spans="1:6" x14ac:dyDescent="0.25">
      <c r="A2313" s="5" t="s">
        <v>32</v>
      </c>
      <c r="B2313" s="19">
        <v>43989</v>
      </c>
      <c r="C2313" s="4">
        <v>2</v>
      </c>
      <c r="D2313" s="21">
        <v>51</v>
      </c>
      <c r="F2313" s="57">
        <f t="shared" si="133"/>
        <v>0</v>
      </c>
    </row>
    <row r="2314" spans="1:6" x14ac:dyDescent="0.25">
      <c r="A2314" s="5" t="s">
        <v>42</v>
      </c>
      <c r="B2314" s="19">
        <v>43989</v>
      </c>
      <c r="C2314" s="4">
        <v>0</v>
      </c>
      <c r="D2314" s="21">
        <v>0</v>
      </c>
      <c r="F2314" s="57">
        <f t="shared" ref="F2314:F2328" si="134">E2314+F2289</f>
        <v>0</v>
      </c>
    </row>
    <row r="2315" spans="1:6" x14ac:dyDescent="0.25">
      <c r="A2315" s="5" t="s">
        <v>33</v>
      </c>
      <c r="B2315" s="19">
        <v>43989</v>
      </c>
      <c r="C2315" s="4">
        <v>0</v>
      </c>
      <c r="D2315" s="21">
        <v>6</v>
      </c>
      <c r="F2315" s="57">
        <f t="shared" si="134"/>
        <v>0</v>
      </c>
    </row>
    <row r="2316" spans="1:6" x14ac:dyDescent="0.25">
      <c r="A2316" s="5" t="s">
        <v>34</v>
      </c>
      <c r="B2316" s="19">
        <v>43989</v>
      </c>
      <c r="C2316" s="4">
        <v>0</v>
      </c>
      <c r="D2316" s="21">
        <v>5</v>
      </c>
      <c r="F2316" s="57">
        <f t="shared" si="134"/>
        <v>0</v>
      </c>
    </row>
    <row r="2317" spans="1:6" x14ac:dyDescent="0.25">
      <c r="A2317" s="5" t="s">
        <v>22</v>
      </c>
      <c r="B2317" s="19">
        <v>43989</v>
      </c>
      <c r="C2317" s="4">
        <v>1</v>
      </c>
      <c r="D2317" s="21">
        <v>64</v>
      </c>
      <c r="E2317" s="4">
        <v>1</v>
      </c>
      <c r="F2317" s="57">
        <f t="shared" si="134"/>
        <v>1</v>
      </c>
    </row>
    <row r="2318" spans="1:6" x14ac:dyDescent="0.25">
      <c r="A2318" s="5" t="s">
        <v>18</v>
      </c>
      <c r="B2318" s="19">
        <v>43989</v>
      </c>
      <c r="C2318" s="4">
        <v>0</v>
      </c>
      <c r="D2318" s="21">
        <v>101</v>
      </c>
      <c r="F2318" s="57">
        <f t="shared" si="134"/>
        <v>0</v>
      </c>
    </row>
    <row r="2319" spans="1:6" x14ac:dyDescent="0.25">
      <c r="A2319" s="5" t="s">
        <v>24</v>
      </c>
      <c r="B2319" s="19">
        <v>43989</v>
      </c>
      <c r="C2319" s="4">
        <v>3</v>
      </c>
      <c r="D2319" s="21">
        <v>38</v>
      </c>
      <c r="F2319" s="57">
        <f t="shared" si="134"/>
        <v>0</v>
      </c>
    </row>
    <row r="2320" spans="1:6" x14ac:dyDescent="0.25">
      <c r="A2320" s="5" t="s">
        <v>20</v>
      </c>
      <c r="B2320" s="19">
        <v>43989</v>
      </c>
      <c r="C2320" s="4">
        <v>0</v>
      </c>
      <c r="D2320" s="21">
        <v>152</v>
      </c>
      <c r="F2320" s="57">
        <f t="shared" si="134"/>
        <v>0</v>
      </c>
    </row>
    <row r="2321" spans="1:6" x14ac:dyDescent="0.25">
      <c r="A2321" s="5" t="s">
        <v>19</v>
      </c>
      <c r="B2321" s="19">
        <v>43989</v>
      </c>
      <c r="C2321" s="4">
        <v>10</v>
      </c>
      <c r="D2321" s="21">
        <v>467</v>
      </c>
      <c r="E2321" s="4">
        <v>1</v>
      </c>
      <c r="F2321" s="57">
        <f t="shared" si="134"/>
        <v>1</v>
      </c>
    </row>
    <row r="2322" spans="1:6" x14ac:dyDescent="0.25">
      <c r="A2322" s="5" t="s">
        <v>35</v>
      </c>
      <c r="B2322" s="19">
        <v>43989</v>
      </c>
      <c r="C2322" s="4">
        <v>1</v>
      </c>
      <c r="D2322" s="21">
        <v>16</v>
      </c>
      <c r="F2322" s="57">
        <f t="shared" si="134"/>
        <v>0</v>
      </c>
    </row>
    <row r="2323" spans="1:6" x14ac:dyDescent="0.25">
      <c r="A2323" s="5" t="s">
        <v>36</v>
      </c>
      <c r="B2323" s="19">
        <v>43989</v>
      </c>
      <c r="C2323" s="4">
        <v>0</v>
      </c>
      <c r="D2323" s="21">
        <v>5</v>
      </c>
      <c r="F2323" s="57">
        <f>E2323+F2299</f>
        <v>0</v>
      </c>
    </row>
    <row r="2324" spans="1:6" x14ac:dyDescent="0.25">
      <c r="A2324" s="5" t="s">
        <v>37</v>
      </c>
      <c r="B2324" s="19">
        <v>43989</v>
      </c>
      <c r="C2324" s="4">
        <v>0</v>
      </c>
      <c r="D2324" s="21">
        <v>11</v>
      </c>
      <c r="F2324" s="57">
        <f t="shared" si="134"/>
        <v>0</v>
      </c>
    </row>
    <row r="2325" spans="1:6" x14ac:dyDescent="0.25">
      <c r="A2325" s="5" t="s">
        <v>38</v>
      </c>
      <c r="B2325" s="19">
        <v>43989</v>
      </c>
      <c r="C2325" s="4">
        <v>0</v>
      </c>
      <c r="D2325" s="21">
        <v>51</v>
      </c>
      <c r="F2325" s="57">
        <f t="shared" si="134"/>
        <v>0</v>
      </c>
    </row>
    <row r="2326" spans="1:6" x14ac:dyDescent="0.25">
      <c r="A2326" s="5" t="s">
        <v>23</v>
      </c>
      <c r="B2326" s="19">
        <v>43989</v>
      </c>
      <c r="C2326" s="4">
        <v>0</v>
      </c>
      <c r="D2326" s="21">
        <v>276</v>
      </c>
      <c r="F2326" s="57">
        <f>E2326+F2302</f>
        <v>3</v>
      </c>
    </row>
    <row r="2327" spans="1:6" x14ac:dyDescent="0.25">
      <c r="A2327" s="5" t="s">
        <v>39</v>
      </c>
      <c r="B2327" s="19">
        <v>43989</v>
      </c>
      <c r="C2327" s="4">
        <v>0</v>
      </c>
      <c r="D2327" s="21">
        <v>22</v>
      </c>
      <c r="F2327" s="57">
        <f>E2327+F2303</f>
        <v>0</v>
      </c>
    </row>
    <row r="2328" spans="1:6" x14ac:dyDescent="0.25">
      <c r="A2328" s="5" t="s">
        <v>40</v>
      </c>
      <c r="B2328" s="19">
        <v>43989</v>
      </c>
      <c r="C2328" s="4">
        <v>0</v>
      </c>
      <c r="D2328" s="21">
        <v>149</v>
      </c>
      <c r="F2328" s="57">
        <f t="shared" si="134"/>
        <v>0</v>
      </c>
    </row>
    <row r="2329" spans="1:6" x14ac:dyDescent="0.25">
      <c r="A2329" s="5" t="s">
        <v>41</v>
      </c>
      <c r="B2329" s="19">
        <v>43989</v>
      </c>
      <c r="C2329" s="4">
        <v>0</v>
      </c>
      <c r="D2329" s="21">
        <v>49</v>
      </c>
      <c r="F2329" s="57">
        <f>E2329+F2305</f>
        <v>3</v>
      </c>
    </row>
    <row r="2330" spans="1:6" x14ac:dyDescent="0.25">
      <c r="A2330" s="42" t="s">
        <v>17</v>
      </c>
      <c r="B2330" s="19">
        <v>43990</v>
      </c>
      <c r="C2330" s="4">
        <v>344</v>
      </c>
      <c r="D2330" s="21">
        <v>9043</v>
      </c>
      <c r="E2330" s="4">
        <v>16</v>
      </c>
      <c r="F2330" s="57">
        <f>E2330+F2306</f>
        <v>288</v>
      </c>
    </row>
    <row r="2331" spans="1:6" x14ac:dyDescent="0.25">
      <c r="A2331" s="5" t="s">
        <v>29</v>
      </c>
      <c r="B2331" s="19">
        <v>43990</v>
      </c>
      <c r="C2331" s="4">
        <v>0</v>
      </c>
      <c r="D2331" s="21">
        <v>0</v>
      </c>
      <c r="F2331" s="57">
        <f t="shared" ref="F2331:F2337" si="135">E2331+F2307</f>
        <v>0</v>
      </c>
    </row>
    <row r="2332" spans="1:6" x14ac:dyDescent="0.25">
      <c r="A2332" s="5" t="s">
        <v>16</v>
      </c>
      <c r="B2332" s="19">
        <v>43990</v>
      </c>
      <c r="C2332" s="4">
        <v>45</v>
      </c>
      <c r="D2332" s="21">
        <v>1090</v>
      </c>
      <c r="E2332" s="4">
        <v>1</v>
      </c>
      <c r="F2332" s="57">
        <f t="shared" si="135"/>
        <v>62</v>
      </c>
    </row>
    <row r="2333" spans="1:6" x14ac:dyDescent="0.25">
      <c r="A2333" s="5" t="s">
        <v>30</v>
      </c>
      <c r="B2333" s="19">
        <v>43990</v>
      </c>
      <c r="C2333" s="4">
        <v>1</v>
      </c>
      <c r="D2333" s="21">
        <v>21</v>
      </c>
      <c r="F2333" s="57">
        <f t="shared" si="135"/>
        <v>1</v>
      </c>
    </row>
    <row r="2334" spans="1:6" x14ac:dyDescent="0.25">
      <c r="A2334" s="5" t="s">
        <v>44</v>
      </c>
      <c r="B2334" s="19">
        <v>43990</v>
      </c>
      <c r="C2334" s="4">
        <v>420</v>
      </c>
      <c r="D2334" s="21">
        <v>11427</v>
      </c>
      <c r="E2334" s="4">
        <v>9</v>
      </c>
      <c r="F2334" s="57">
        <f t="shared" si="135"/>
        <v>254</v>
      </c>
    </row>
    <row r="2335" spans="1:6" x14ac:dyDescent="0.25">
      <c r="A2335" s="5" t="s">
        <v>21</v>
      </c>
      <c r="B2335" s="19">
        <v>43990</v>
      </c>
      <c r="C2335" s="4">
        <v>1</v>
      </c>
      <c r="D2335" s="21">
        <v>467</v>
      </c>
      <c r="F2335" s="57">
        <f t="shared" si="135"/>
        <v>30</v>
      </c>
    </row>
    <row r="2336" spans="1:6" x14ac:dyDescent="0.25">
      <c r="A2336" s="5" t="s">
        <v>31</v>
      </c>
      <c r="B2336" s="19">
        <v>43990</v>
      </c>
      <c r="C2336" s="4">
        <v>0</v>
      </c>
      <c r="D2336" s="21">
        <v>96</v>
      </c>
      <c r="F2336" s="57">
        <f t="shared" si="135"/>
        <v>0</v>
      </c>
    </row>
    <row r="2337" spans="1:6" x14ac:dyDescent="0.25">
      <c r="A2337" s="5" t="s">
        <v>32</v>
      </c>
      <c r="B2337" s="19">
        <v>43990</v>
      </c>
      <c r="C2337" s="4">
        <v>2</v>
      </c>
      <c r="D2337" s="21">
        <v>53</v>
      </c>
      <c r="F2337" s="57">
        <f t="shared" si="135"/>
        <v>0</v>
      </c>
    </row>
    <row r="2338" spans="1:6" x14ac:dyDescent="0.25">
      <c r="A2338" s="5" t="s">
        <v>42</v>
      </c>
      <c r="B2338" s="19">
        <v>43990</v>
      </c>
      <c r="C2338" s="4">
        <v>0</v>
      </c>
      <c r="D2338" s="21">
        <v>0</v>
      </c>
      <c r="F2338" s="57">
        <f t="shared" ref="F2338:F2352" si="136">E2338+F2313</f>
        <v>0</v>
      </c>
    </row>
    <row r="2339" spans="1:6" x14ac:dyDescent="0.25">
      <c r="A2339" s="5" t="s">
        <v>33</v>
      </c>
      <c r="B2339" s="19">
        <v>43990</v>
      </c>
      <c r="C2339" s="4">
        <v>0</v>
      </c>
      <c r="D2339" s="21">
        <v>6</v>
      </c>
      <c r="F2339" s="57">
        <f t="shared" si="136"/>
        <v>0</v>
      </c>
    </row>
    <row r="2340" spans="1:6" x14ac:dyDescent="0.25">
      <c r="A2340" s="5" t="s">
        <v>34</v>
      </c>
      <c r="B2340" s="19">
        <v>43990</v>
      </c>
      <c r="C2340" s="4">
        <v>0</v>
      </c>
      <c r="D2340" s="21">
        <v>5</v>
      </c>
      <c r="F2340" s="57">
        <f t="shared" si="136"/>
        <v>0</v>
      </c>
    </row>
    <row r="2341" spans="1:6" x14ac:dyDescent="0.25">
      <c r="A2341" s="5" t="s">
        <v>22</v>
      </c>
      <c r="B2341" s="19">
        <v>43990</v>
      </c>
      <c r="C2341" s="4">
        <v>0</v>
      </c>
      <c r="D2341" s="21">
        <v>64</v>
      </c>
      <c r="F2341" s="57">
        <f t="shared" si="136"/>
        <v>0</v>
      </c>
    </row>
    <row r="2342" spans="1:6" x14ac:dyDescent="0.25">
      <c r="A2342" s="5" t="s">
        <v>18</v>
      </c>
      <c r="B2342" s="19">
        <v>43990</v>
      </c>
      <c r="C2342" s="4">
        <v>1</v>
      </c>
      <c r="D2342" s="21">
        <v>102</v>
      </c>
      <c r="F2342" s="57">
        <f t="shared" si="136"/>
        <v>1</v>
      </c>
    </row>
    <row r="2343" spans="1:6" x14ac:dyDescent="0.25">
      <c r="A2343" s="5" t="s">
        <v>24</v>
      </c>
      <c r="B2343" s="19">
        <v>43990</v>
      </c>
      <c r="C2343" s="4">
        <v>1</v>
      </c>
      <c r="D2343" s="21">
        <v>39</v>
      </c>
      <c r="F2343" s="57">
        <f t="shared" si="136"/>
        <v>0</v>
      </c>
    </row>
    <row r="2344" spans="1:6" x14ac:dyDescent="0.25">
      <c r="A2344" s="5" t="s">
        <v>20</v>
      </c>
      <c r="B2344" s="19">
        <v>43990</v>
      </c>
      <c r="C2344" s="4">
        <v>0</v>
      </c>
      <c r="D2344" s="21">
        <v>152</v>
      </c>
      <c r="F2344" s="57">
        <f t="shared" si="136"/>
        <v>0</v>
      </c>
    </row>
    <row r="2345" spans="1:6" x14ac:dyDescent="0.25">
      <c r="A2345" s="5" t="s">
        <v>19</v>
      </c>
      <c r="B2345" s="19">
        <v>43990</v>
      </c>
      <c r="C2345" s="4">
        <v>11</v>
      </c>
      <c r="D2345" s="21">
        <v>478</v>
      </c>
      <c r="E2345" s="4">
        <v>2</v>
      </c>
      <c r="F2345" s="57">
        <f t="shared" si="136"/>
        <v>2</v>
      </c>
    </row>
    <row r="2346" spans="1:6" x14ac:dyDescent="0.25">
      <c r="A2346" s="5" t="s">
        <v>35</v>
      </c>
      <c r="B2346" s="19">
        <v>43990</v>
      </c>
      <c r="C2346" s="4">
        <v>0</v>
      </c>
      <c r="D2346" s="21">
        <v>16</v>
      </c>
      <c r="F2346" s="57">
        <f t="shared" si="136"/>
        <v>1</v>
      </c>
    </row>
    <row r="2347" spans="1:6" x14ac:dyDescent="0.25">
      <c r="A2347" s="5" t="s">
        <v>36</v>
      </c>
      <c r="B2347" s="19">
        <v>43990</v>
      </c>
      <c r="C2347" s="4">
        <v>0</v>
      </c>
      <c r="D2347" s="21">
        <v>5</v>
      </c>
      <c r="F2347" s="57">
        <f>E2347+F2323</f>
        <v>0</v>
      </c>
    </row>
    <row r="2348" spans="1:6" x14ac:dyDescent="0.25">
      <c r="A2348" s="5" t="s">
        <v>37</v>
      </c>
      <c r="B2348" s="19">
        <v>43990</v>
      </c>
      <c r="C2348" s="4">
        <v>0</v>
      </c>
      <c r="D2348" s="21">
        <v>11</v>
      </c>
      <c r="F2348" s="57">
        <f t="shared" si="136"/>
        <v>0</v>
      </c>
    </row>
    <row r="2349" spans="1:6" x14ac:dyDescent="0.25">
      <c r="A2349" s="5" t="s">
        <v>38</v>
      </c>
      <c r="B2349" s="19">
        <v>43990</v>
      </c>
      <c r="C2349" s="4">
        <v>0</v>
      </c>
      <c r="D2349" s="21">
        <v>51</v>
      </c>
      <c r="F2349" s="57">
        <f t="shared" si="136"/>
        <v>0</v>
      </c>
    </row>
    <row r="2350" spans="1:6" x14ac:dyDescent="0.25">
      <c r="A2350" s="5" t="s">
        <v>23</v>
      </c>
      <c r="B2350" s="19">
        <v>43990</v>
      </c>
      <c r="C2350" s="4">
        <v>0</v>
      </c>
      <c r="D2350" s="21">
        <v>276</v>
      </c>
      <c r="F2350" s="57">
        <f>E2350+F2326</f>
        <v>3</v>
      </c>
    </row>
    <row r="2351" spans="1:6" x14ac:dyDescent="0.25">
      <c r="A2351" s="5" t="s">
        <v>39</v>
      </c>
      <c r="B2351" s="19">
        <v>43990</v>
      </c>
      <c r="C2351" s="4">
        <v>0</v>
      </c>
      <c r="D2351" s="21">
        <v>22</v>
      </c>
      <c r="F2351" s="57">
        <f>E2351+F2327</f>
        <v>0</v>
      </c>
    </row>
    <row r="2352" spans="1:6" x14ac:dyDescent="0.25">
      <c r="A2352" s="5" t="s">
        <v>40</v>
      </c>
      <c r="B2352" s="19">
        <v>43990</v>
      </c>
      <c r="C2352" s="4">
        <v>0</v>
      </c>
      <c r="D2352" s="21">
        <v>149</v>
      </c>
      <c r="F2352" s="57">
        <f t="shared" si="136"/>
        <v>0</v>
      </c>
    </row>
    <row r="2353" spans="1:6" x14ac:dyDescent="0.25">
      <c r="A2353" s="5" t="s">
        <v>41</v>
      </c>
      <c r="B2353" s="19">
        <v>43990</v>
      </c>
      <c r="C2353" s="4">
        <v>0</v>
      </c>
      <c r="D2353" s="21">
        <v>49</v>
      </c>
      <c r="E2353" s="4">
        <v>1</v>
      </c>
      <c r="F2353" s="57">
        <f>E2353+F2329</f>
        <v>4</v>
      </c>
    </row>
    <row r="2354" spans="1:6" x14ac:dyDescent="0.25">
      <c r="A2354" s="42" t="s">
        <v>17</v>
      </c>
      <c r="B2354" s="19">
        <v>43991</v>
      </c>
      <c r="C2354" s="4">
        <v>545</v>
      </c>
      <c r="D2354" s="21">
        <v>9588</v>
      </c>
      <c r="E2354" s="4">
        <v>13</v>
      </c>
      <c r="F2354" s="57">
        <f>E2354+F2330</f>
        <v>301</v>
      </c>
    </row>
    <row r="2355" spans="1:6" x14ac:dyDescent="0.25">
      <c r="A2355" s="5" t="s">
        <v>29</v>
      </c>
      <c r="B2355" s="19">
        <v>43991</v>
      </c>
      <c r="C2355" s="4">
        <v>0</v>
      </c>
      <c r="D2355" s="21">
        <v>0</v>
      </c>
      <c r="F2355" s="57">
        <f t="shared" ref="F2355:F2361" si="137">E2355+F2331</f>
        <v>0</v>
      </c>
    </row>
    <row r="2356" spans="1:6" x14ac:dyDescent="0.25">
      <c r="A2356" s="5" t="s">
        <v>16</v>
      </c>
      <c r="B2356" s="19">
        <v>43991</v>
      </c>
      <c r="C2356" s="4">
        <v>28</v>
      </c>
      <c r="D2356" s="21">
        <v>1118</v>
      </c>
      <c r="E2356" s="4">
        <v>2</v>
      </c>
      <c r="F2356" s="57">
        <f t="shared" si="137"/>
        <v>64</v>
      </c>
    </row>
    <row r="2357" spans="1:6" x14ac:dyDescent="0.25">
      <c r="A2357" s="5" t="s">
        <v>30</v>
      </c>
      <c r="B2357" s="19">
        <v>43991</v>
      </c>
      <c r="C2357" s="4">
        <v>5</v>
      </c>
      <c r="D2357" s="21">
        <v>26</v>
      </c>
      <c r="F2357" s="57">
        <f t="shared" si="137"/>
        <v>1</v>
      </c>
    </row>
    <row r="2358" spans="1:6" x14ac:dyDescent="0.25">
      <c r="A2358" s="5" t="s">
        <v>44</v>
      </c>
      <c r="B2358" s="19">
        <v>43991</v>
      </c>
      <c r="C2358" s="4">
        <v>535</v>
      </c>
      <c r="D2358" s="21">
        <v>11962</v>
      </c>
      <c r="E2358" s="4">
        <v>8</v>
      </c>
      <c r="F2358" s="57">
        <f t="shared" si="137"/>
        <v>262</v>
      </c>
    </row>
    <row r="2359" spans="1:6" x14ac:dyDescent="0.25">
      <c r="A2359" s="5" t="s">
        <v>21</v>
      </c>
      <c r="B2359" s="19">
        <v>43991</v>
      </c>
      <c r="C2359" s="4">
        <v>2</v>
      </c>
      <c r="D2359" s="21">
        <v>469</v>
      </c>
      <c r="F2359" s="57">
        <f t="shared" si="137"/>
        <v>30</v>
      </c>
    </row>
    <row r="2360" spans="1:6" x14ac:dyDescent="0.25">
      <c r="A2360" s="5" t="s">
        <v>31</v>
      </c>
      <c r="B2360" s="19">
        <v>43991</v>
      </c>
      <c r="C2360" s="4">
        <v>1</v>
      </c>
      <c r="D2360" s="21">
        <v>97</v>
      </c>
      <c r="F2360" s="57">
        <f t="shared" si="137"/>
        <v>0</v>
      </c>
    </row>
    <row r="2361" spans="1:6" x14ac:dyDescent="0.25">
      <c r="A2361" s="5" t="s">
        <v>32</v>
      </c>
      <c r="B2361" s="19">
        <v>43991</v>
      </c>
      <c r="C2361" s="4">
        <v>2</v>
      </c>
      <c r="D2361" s="21">
        <v>55</v>
      </c>
      <c r="F2361" s="57">
        <f t="shared" si="137"/>
        <v>0</v>
      </c>
    </row>
    <row r="2362" spans="1:6" x14ac:dyDescent="0.25">
      <c r="A2362" s="5" t="s">
        <v>42</v>
      </c>
      <c r="B2362" s="19">
        <v>43991</v>
      </c>
      <c r="C2362" s="4">
        <v>0</v>
      </c>
      <c r="D2362" s="21">
        <v>0</v>
      </c>
      <c r="F2362" s="57">
        <f t="shared" ref="F2362:F2376" si="138">E2362+F2337</f>
        <v>0</v>
      </c>
    </row>
    <row r="2363" spans="1:6" x14ac:dyDescent="0.25">
      <c r="A2363" s="5" t="s">
        <v>33</v>
      </c>
      <c r="B2363" s="19">
        <v>43991</v>
      </c>
      <c r="C2363" s="4">
        <v>2</v>
      </c>
      <c r="D2363" s="21">
        <v>8</v>
      </c>
      <c r="F2363" s="57">
        <f t="shared" si="138"/>
        <v>0</v>
      </c>
    </row>
    <row r="2364" spans="1:6" x14ac:dyDescent="0.25">
      <c r="A2364" s="5" t="s">
        <v>34</v>
      </c>
      <c r="B2364" s="19">
        <v>43991</v>
      </c>
      <c r="C2364" s="4">
        <v>0</v>
      </c>
      <c r="D2364" s="21">
        <v>5</v>
      </c>
      <c r="F2364" s="57">
        <f t="shared" si="138"/>
        <v>0</v>
      </c>
    </row>
    <row r="2365" spans="1:6" x14ac:dyDescent="0.25">
      <c r="A2365" s="5" t="s">
        <v>22</v>
      </c>
      <c r="B2365" s="19">
        <v>43991</v>
      </c>
      <c r="C2365" s="4">
        <v>0</v>
      </c>
      <c r="D2365" s="21">
        <v>64</v>
      </c>
      <c r="F2365" s="57">
        <f t="shared" si="138"/>
        <v>0</v>
      </c>
    </row>
    <row r="2366" spans="1:6" x14ac:dyDescent="0.25">
      <c r="A2366" s="5" t="s">
        <v>18</v>
      </c>
      <c r="B2366" s="19">
        <v>43991</v>
      </c>
      <c r="C2366" s="4">
        <v>1</v>
      </c>
      <c r="D2366" s="21">
        <v>103</v>
      </c>
      <c r="F2366" s="57">
        <f t="shared" si="138"/>
        <v>0</v>
      </c>
    </row>
    <row r="2367" spans="1:6" x14ac:dyDescent="0.25">
      <c r="A2367" s="5" t="s">
        <v>24</v>
      </c>
      <c r="B2367" s="19">
        <v>43991</v>
      </c>
      <c r="C2367" s="4">
        <v>-1</v>
      </c>
      <c r="D2367" s="21">
        <v>38</v>
      </c>
      <c r="F2367" s="57">
        <f t="shared" si="138"/>
        <v>1</v>
      </c>
    </row>
    <row r="2368" spans="1:6" x14ac:dyDescent="0.25">
      <c r="A2368" s="5" t="s">
        <v>20</v>
      </c>
      <c r="B2368" s="19">
        <v>43991</v>
      </c>
      <c r="C2368" s="4">
        <v>5</v>
      </c>
      <c r="D2368" s="21">
        <v>157</v>
      </c>
      <c r="F2368" s="57">
        <f t="shared" si="138"/>
        <v>0</v>
      </c>
    </row>
    <row r="2369" spans="1:6" x14ac:dyDescent="0.25">
      <c r="A2369" s="5" t="s">
        <v>19</v>
      </c>
      <c r="B2369" s="19">
        <v>43991</v>
      </c>
      <c r="C2369" s="4">
        <v>13</v>
      </c>
      <c r="D2369" s="21">
        <v>491</v>
      </c>
      <c r="E2369" s="4">
        <v>1</v>
      </c>
      <c r="F2369" s="57">
        <f t="shared" si="138"/>
        <v>1</v>
      </c>
    </row>
    <row r="2370" spans="1:6" x14ac:dyDescent="0.25">
      <c r="A2370" s="5" t="s">
        <v>35</v>
      </c>
      <c r="B2370" s="19">
        <v>43991</v>
      </c>
      <c r="C2370" s="4">
        <v>0</v>
      </c>
      <c r="D2370" s="21">
        <v>16</v>
      </c>
      <c r="F2370" s="57">
        <f t="shared" si="138"/>
        <v>2</v>
      </c>
    </row>
    <row r="2371" spans="1:6" x14ac:dyDescent="0.25">
      <c r="A2371" s="5" t="s">
        <v>36</v>
      </c>
      <c r="B2371" s="19">
        <v>43991</v>
      </c>
      <c r="C2371" s="4">
        <v>0</v>
      </c>
      <c r="D2371" s="21">
        <v>5</v>
      </c>
      <c r="F2371" s="57">
        <f>E2371+F2347</f>
        <v>0</v>
      </c>
    </row>
    <row r="2372" spans="1:6" x14ac:dyDescent="0.25">
      <c r="A2372" s="5" t="s">
        <v>37</v>
      </c>
      <c r="B2372" s="19">
        <v>43991</v>
      </c>
      <c r="C2372" s="4">
        <v>0</v>
      </c>
      <c r="D2372" s="21">
        <v>11</v>
      </c>
      <c r="F2372" s="57">
        <f t="shared" si="138"/>
        <v>0</v>
      </c>
    </row>
    <row r="2373" spans="1:6" x14ac:dyDescent="0.25">
      <c r="A2373" s="5" t="s">
        <v>38</v>
      </c>
      <c r="B2373" s="19">
        <v>43991</v>
      </c>
      <c r="C2373" s="4">
        <v>0</v>
      </c>
      <c r="D2373" s="21">
        <v>51</v>
      </c>
      <c r="F2373" s="57">
        <f t="shared" si="138"/>
        <v>0</v>
      </c>
    </row>
    <row r="2374" spans="1:6" x14ac:dyDescent="0.25">
      <c r="A2374" s="5" t="s">
        <v>23</v>
      </c>
      <c r="B2374" s="19">
        <v>43991</v>
      </c>
      <c r="C2374" s="4">
        <v>2</v>
      </c>
      <c r="D2374" s="21">
        <v>278</v>
      </c>
      <c r="F2374" s="57">
        <f>E2374+F2350</f>
        <v>3</v>
      </c>
    </row>
    <row r="2375" spans="1:6" x14ac:dyDescent="0.25">
      <c r="A2375" s="5" t="s">
        <v>39</v>
      </c>
      <c r="B2375" s="19">
        <v>43991</v>
      </c>
      <c r="C2375" s="4">
        <v>0</v>
      </c>
      <c r="D2375" s="21">
        <v>22</v>
      </c>
      <c r="F2375" s="57">
        <f>E2375+F2351</f>
        <v>0</v>
      </c>
    </row>
    <row r="2376" spans="1:6" x14ac:dyDescent="0.25">
      <c r="A2376" s="5" t="s">
        <v>40</v>
      </c>
      <c r="B2376" s="19">
        <v>43991</v>
      </c>
      <c r="C2376" s="4">
        <v>0</v>
      </c>
      <c r="D2376" s="21">
        <v>149</v>
      </c>
      <c r="F2376" s="57">
        <f t="shared" si="138"/>
        <v>0</v>
      </c>
    </row>
    <row r="2377" spans="1:6" x14ac:dyDescent="0.25">
      <c r="A2377" s="5" t="s">
        <v>41</v>
      </c>
      <c r="B2377" s="19">
        <v>43991</v>
      </c>
      <c r="C2377" s="4">
        <v>0</v>
      </c>
      <c r="D2377" s="21">
        <v>49</v>
      </c>
      <c r="F2377" s="57">
        <f>E2377+F2353</f>
        <v>4</v>
      </c>
    </row>
    <row r="2378" spans="1:6" x14ac:dyDescent="0.25">
      <c r="A2378" s="42" t="s">
        <v>17</v>
      </c>
      <c r="B2378" s="19">
        <v>43992</v>
      </c>
      <c r="C2378" s="4">
        <v>621</v>
      </c>
      <c r="D2378" s="21">
        <v>10209</v>
      </c>
      <c r="E2378" s="4">
        <v>7</v>
      </c>
      <c r="F2378" s="57">
        <f>E2378+F2354</f>
        <v>308</v>
      </c>
    </row>
    <row r="2379" spans="1:6" x14ac:dyDescent="0.25">
      <c r="A2379" s="5" t="s">
        <v>29</v>
      </c>
      <c r="B2379" s="19">
        <v>43992</v>
      </c>
      <c r="C2379" s="4">
        <v>0</v>
      </c>
      <c r="D2379" s="21">
        <v>0</v>
      </c>
      <c r="F2379" s="57">
        <f t="shared" ref="F2379:F2385" si="139">E2379+F2355</f>
        <v>0</v>
      </c>
    </row>
    <row r="2380" spans="1:6" x14ac:dyDescent="0.25">
      <c r="A2380" s="5" t="s">
        <v>16</v>
      </c>
      <c r="B2380" s="19">
        <v>43992</v>
      </c>
      <c r="C2380" s="4">
        <v>45</v>
      </c>
      <c r="D2380" s="21">
        <v>1163</v>
      </c>
      <c r="F2380" s="57">
        <f t="shared" si="139"/>
        <v>64</v>
      </c>
    </row>
    <row r="2381" spans="1:6" x14ac:dyDescent="0.25">
      <c r="A2381" s="5" t="s">
        <v>30</v>
      </c>
      <c r="B2381" s="19">
        <v>43992</v>
      </c>
      <c r="C2381" s="4">
        <v>0</v>
      </c>
      <c r="D2381" s="21">
        <v>26</v>
      </c>
      <c r="F2381" s="57">
        <f t="shared" si="139"/>
        <v>1</v>
      </c>
    </row>
    <row r="2382" spans="1:6" x14ac:dyDescent="0.25">
      <c r="A2382" s="5" t="s">
        <v>44</v>
      </c>
      <c r="B2382" s="19">
        <v>43992</v>
      </c>
      <c r="C2382" s="4">
        <v>521</v>
      </c>
      <c r="D2382" s="21">
        <v>12483</v>
      </c>
      <c r="E2382" s="4">
        <v>11</v>
      </c>
      <c r="F2382" s="57">
        <f>E2382+F2358</f>
        <v>273</v>
      </c>
    </row>
    <row r="2383" spans="1:6" x14ac:dyDescent="0.25">
      <c r="A2383" s="5" t="s">
        <v>21</v>
      </c>
      <c r="B2383" s="19">
        <v>43992</v>
      </c>
      <c r="C2383" s="4">
        <v>5</v>
      </c>
      <c r="D2383" s="21">
        <v>474</v>
      </c>
      <c r="F2383" s="57">
        <f t="shared" si="139"/>
        <v>30</v>
      </c>
    </row>
    <row r="2384" spans="1:6" x14ac:dyDescent="0.25">
      <c r="A2384" s="5" t="s">
        <v>31</v>
      </c>
      <c r="B2384" s="19">
        <v>43992</v>
      </c>
      <c r="C2384" s="4">
        <v>0</v>
      </c>
      <c r="D2384" s="21">
        <v>97</v>
      </c>
      <c r="F2384" s="57">
        <f t="shared" si="139"/>
        <v>0</v>
      </c>
    </row>
    <row r="2385" spans="1:6" x14ac:dyDescent="0.25">
      <c r="A2385" s="5" t="s">
        <v>32</v>
      </c>
      <c r="B2385" s="19">
        <v>43992</v>
      </c>
      <c r="C2385" s="4">
        <v>4</v>
      </c>
      <c r="D2385" s="21">
        <v>59</v>
      </c>
      <c r="F2385" s="57">
        <f t="shared" si="139"/>
        <v>0</v>
      </c>
    </row>
    <row r="2386" spans="1:6" x14ac:dyDescent="0.25">
      <c r="A2386" s="5" t="s">
        <v>42</v>
      </c>
      <c r="B2386" s="19">
        <v>43992</v>
      </c>
      <c r="C2386" s="4">
        <v>0</v>
      </c>
      <c r="D2386" s="21">
        <v>0</v>
      </c>
      <c r="F2386" s="57">
        <f t="shared" ref="F2386:F2400" si="140">E2386+F2361</f>
        <v>0</v>
      </c>
    </row>
    <row r="2387" spans="1:6" x14ac:dyDescent="0.25">
      <c r="A2387" s="5" t="s">
        <v>33</v>
      </c>
      <c r="B2387" s="19">
        <v>43992</v>
      </c>
      <c r="C2387" s="4">
        <v>0</v>
      </c>
      <c r="D2387" s="21">
        <v>8</v>
      </c>
      <c r="F2387" s="57">
        <f t="shared" si="140"/>
        <v>0</v>
      </c>
    </row>
    <row r="2388" spans="1:6" x14ac:dyDescent="0.25">
      <c r="A2388" s="5" t="s">
        <v>34</v>
      </c>
      <c r="B2388" s="19">
        <v>43992</v>
      </c>
      <c r="C2388" s="4">
        <v>0</v>
      </c>
      <c r="D2388" s="21">
        <v>5</v>
      </c>
      <c r="F2388" s="57">
        <f t="shared" si="140"/>
        <v>0</v>
      </c>
    </row>
    <row r="2389" spans="1:6" x14ac:dyDescent="0.25">
      <c r="A2389" s="5" t="s">
        <v>22</v>
      </c>
      <c r="B2389" s="19">
        <v>43992</v>
      </c>
      <c r="C2389" s="4">
        <v>0</v>
      </c>
      <c r="D2389" s="21">
        <v>64</v>
      </c>
      <c r="F2389" s="57">
        <f t="shared" si="140"/>
        <v>0</v>
      </c>
    </row>
    <row r="2390" spans="1:6" x14ac:dyDescent="0.25">
      <c r="A2390" s="5" t="s">
        <v>18</v>
      </c>
      <c r="B2390" s="19">
        <v>43992</v>
      </c>
      <c r="C2390" s="4">
        <v>0</v>
      </c>
      <c r="D2390" s="21">
        <v>103</v>
      </c>
      <c r="F2390" s="57">
        <f t="shared" si="140"/>
        <v>0</v>
      </c>
    </row>
    <row r="2391" spans="1:6" x14ac:dyDescent="0.25">
      <c r="A2391" s="5" t="s">
        <v>24</v>
      </c>
      <c r="B2391" s="19">
        <v>43992</v>
      </c>
      <c r="C2391" s="4">
        <v>0</v>
      </c>
      <c r="D2391" s="21">
        <v>38</v>
      </c>
      <c r="F2391" s="57">
        <f t="shared" si="140"/>
        <v>0</v>
      </c>
    </row>
    <row r="2392" spans="1:6" x14ac:dyDescent="0.25">
      <c r="A2392" s="5" t="s">
        <v>20</v>
      </c>
      <c r="B2392" s="19">
        <v>43992</v>
      </c>
      <c r="C2392" s="4">
        <v>10</v>
      </c>
      <c r="D2392" s="21">
        <v>167</v>
      </c>
      <c r="F2392" s="57">
        <f t="shared" si="140"/>
        <v>1</v>
      </c>
    </row>
    <row r="2393" spans="1:6" x14ac:dyDescent="0.25">
      <c r="A2393" s="5" t="s">
        <v>19</v>
      </c>
      <c r="B2393" s="19">
        <v>43992</v>
      </c>
      <c r="C2393" s="4">
        <v>12</v>
      </c>
      <c r="D2393" s="21">
        <v>503</v>
      </c>
      <c r="F2393" s="57">
        <f t="shared" si="140"/>
        <v>0</v>
      </c>
    </row>
    <row r="2394" spans="1:6" x14ac:dyDescent="0.25">
      <c r="A2394" s="5" t="s">
        <v>35</v>
      </c>
      <c r="B2394" s="19">
        <v>43992</v>
      </c>
      <c r="C2394" s="4">
        <v>3</v>
      </c>
      <c r="D2394" s="21">
        <v>19</v>
      </c>
      <c r="F2394" s="57">
        <f t="shared" si="140"/>
        <v>1</v>
      </c>
    </row>
    <row r="2395" spans="1:6" x14ac:dyDescent="0.25">
      <c r="A2395" s="5" t="s">
        <v>36</v>
      </c>
      <c r="B2395" s="19">
        <v>43992</v>
      </c>
      <c r="C2395" s="4">
        <v>1</v>
      </c>
      <c r="D2395" s="21">
        <v>6</v>
      </c>
      <c r="F2395" s="57">
        <f>E2395+F2371</f>
        <v>0</v>
      </c>
    </row>
    <row r="2396" spans="1:6" x14ac:dyDescent="0.25">
      <c r="A2396" s="5" t="s">
        <v>37</v>
      </c>
      <c r="B2396" s="19">
        <v>43992</v>
      </c>
      <c r="C2396" s="4">
        <v>0</v>
      </c>
      <c r="D2396" s="21">
        <v>11</v>
      </c>
      <c r="F2396" s="57">
        <f t="shared" si="140"/>
        <v>0</v>
      </c>
    </row>
    <row r="2397" spans="1:6" x14ac:dyDescent="0.25">
      <c r="A2397" s="5" t="s">
        <v>38</v>
      </c>
      <c r="B2397" s="19">
        <v>43992</v>
      </c>
      <c r="C2397" s="4">
        <v>0</v>
      </c>
      <c r="D2397" s="21">
        <v>51</v>
      </c>
      <c r="F2397" s="57">
        <f t="shared" si="140"/>
        <v>0</v>
      </c>
    </row>
    <row r="2398" spans="1:6" x14ac:dyDescent="0.25">
      <c r="A2398" s="5" t="s">
        <v>23</v>
      </c>
      <c r="B2398" s="19">
        <v>43992</v>
      </c>
      <c r="C2398" s="4">
        <v>4</v>
      </c>
      <c r="D2398" s="21">
        <v>282</v>
      </c>
      <c r="F2398" s="57">
        <f>E2398+F2374</f>
        <v>3</v>
      </c>
    </row>
    <row r="2399" spans="1:6" x14ac:dyDescent="0.25">
      <c r="A2399" s="5" t="s">
        <v>39</v>
      </c>
      <c r="B2399" s="19">
        <v>43992</v>
      </c>
      <c r="C2399" s="4">
        <v>0</v>
      </c>
      <c r="D2399" s="21">
        <v>22</v>
      </c>
      <c r="F2399" s="57">
        <f>E2399+F2375</f>
        <v>0</v>
      </c>
    </row>
    <row r="2400" spans="1:6" x14ac:dyDescent="0.25">
      <c r="A2400" s="5" t="s">
        <v>40</v>
      </c>
      <c r="B2400" s="19">
        <v>43992</v>
      </c>
      <c r="C2400" s="4">
        <v>0</v>
      </c>
      <c r="D2400" s="21">
        <v>149</v>
      </c>
      <c r="F2400" s="57">
        <f t="shared" si="140"/>
        <v>0</v>
      </c>
    </row>
    <row r="2401" spans="1:6" x14ac:dyDescent="0.25">
      <c r="A2401" s="5" t="s">
        <v>41</v>
      </c>
      <c r="B2401" s="19">
        <v>43992</v>
      </c>
      <c r="C2401" s="4">
        <v>0</v>
      </c>
      <c r="D2401" s="21">
        <v>49</v>
      </c>
      <c r="F2401" s="57">
        <f>E2401+F2377</f>
        <v>4</v>
      </c>
    </row>
    <row r="2402" spans="1:6" x14ac:dyDescent="0.25">
      <c r="A2402" s="42" t="s">
        <v>17</v>
      </c>
      <c r="B2402" s="19">
        <v>43993</v>
      </c>
      <c r="C2402" s="4">
        <v>756</v>
      </c>
      <c r="D2402" s="21">
        <v>10965</v>
      </c>
      <c r="E2402" s="4">
        <v>19</v>
      </c>
      <c r="F2402" s="57">
        <f>E2402+F2378</f>
        <v>327</v>
      </c>
    </row>
    <row r="2403" spans="1:6" x14ac:dyDescent="0.25">
      <c r="A2403" s="5" t="s">
        <v>29</v>
      </c>
      <c r="B2403" s="19">
        <v>43993</v>
      </c>
      <c r="C2403" s="4">
        <v>0</v>
      </c>
      <c r="D2403" s="21">
        <v>0</v>
      </c>
      <c r="F2403" s="57">
        <f t="shared" ref="F2403:F2409" si="141">E2403+F2379</f>
        <v>0</v>
      </c>
    </row>
    <row r="2404" spans="1:6" x14ac:dyDescent="0.25">
      <c r="A2404" s="5" t="s">
        <v>16</v>
      </c>
      <c r="B2404" s="19">
        <v>43993</v>
      </c>
      <c r="C2404" s="4">
        <v>48</v>
      </c>
      <c r="D2404" s="21">
        <v>1211</v>
      </c>
      <c r="E2404" s="4">
        <v>1</v>
      </c>
      <c r="F2404" s="57">
        <f t="shared" si="141"/>
        <v>65</v>
      </c>
    </row>
    <row r="2405" spans="1:6" x14ac:dyDescent="0.25">
      <c r="A2405" s="5" t="s">
        <v>30</v>
      </c>
      <c r="B2405" s="19">
        <v>43993</v>
      </c>
      <c r="C2405" s="4">
        <v>0</v>
      </c>
      <c r="D2405" s="21">
        <v>26</v>
      </c>
      <c r="F2405" s="57">
        <f t="shared" si="141"/>
        <v>1</v>
      </c>
    </row>
    <row r="2406" spans="1:6" x14ac:dyDescent="0.25">
      <c r="A2406" s="5" t="s">
        <v>44</v>
      </c>
      <c r="B2406" s="19">
        <v>43993</v>
      </c>
      <c r="C2406" s="4">
        <v>538</v>
      </c>
      <c r="D2406" s="21">
        <v>13021</v>
      </c>
      <c r="E2406" s="4">
        <v>7</v>
      </c>
      <c r="F2406" s="57">
        <f t="shared" si="141"/>
        <v>280</v>
      </c>
    </row>
    <row r="2407" spans="1:6" x14ac:dyDescent="0.25">
      <c r="A2407" s="5" t="s">
        <v>21</v>
      </c>
      <c r="B2407" s="19">
        <v>43993</v>
      </c>
      <c r="C2407" s="4">
        <v>3</v>
      </c>
      <c r="D2407" s="21">
        <v>477</v>
      </c>
      <c r="F2407" s="57">
        <f t="shared" si="141"/>
        <v>30</v>
      </c>
    </row>
    <row r="2408" spans="1:6" x14ac:dyDescent="0.25">
      <c r="A2408" s="5" t="s">
        <v>31</v>
      </c>
      <c r="B2408" s="19">
        <v>43993</v>
      </c>
      <c r="C2408" s="4">
        <v>3</v>
      </c>
      <c r="D2408" s="21">
        <v>100</v>
      </c>
      <c r="F2408" s="57">
        <f t="shared" si="141"/>
        <v>0</v>
      </c>
    </row>
    <row r="2409" spans="1:6" x14ac:dyDescent="0.25">
      <c r="A2409" s="5" t="s">
        <v>32</v>
      </c>
      <c r="B2409" s="19">
        <v>43993</v>
      </c>
      <c r="C2409" s="4">
        <v>6</v>
      </c>
      <c r="D2409" s="21">
        <v>65</v>
      </c>
      <c r="F2409" s="57">
        <f t="shared" si="141"/>
        <v>0</v>
      </c>
    </row>
    <row r="2410" spans="1:6" x14ac:dyDescent="0.25">
      <c r="A2410" s="5" t="s">
        <v>42</v>
      </c>
      <c r="B2410" s="19">
        <v>43993</v>
      </c>
      <c r="C2410" s="4">
        <v>0</v>
      </c>
      <c r="D2410" s="21">
        <v>0</v>
      </c>
      <c r="F2410" s="57">
        <f t="shared" ref="F2410:F2424" si="142">E2410+F2385</f>
        <v>0</v>
      </c>
    </row>
    <row r="2411" spans="1:6" x14ac:dyDescent="0.25">
      <c r="A2411" s="5" t="s">
        <v>33</v>
      </c>
      <c r="B2411" s="19">
        <v>43993</v>
      </c>
      <c r="C2411" s="4">
        <v>0</v>
      </c>
      <c r="D2411" s="21">
        <v>8</v>
      </c>
      <c r="F2411" s="57">
        <f t="shared" si="142"/>
        <v>0</v>
      </c>
    </row>
    <row r="2412" spans="1:6" x14ac:dyDescent="0.25">
      <c r="A2412" s="5" t="s">
        <v>34</v>
      </c>
      <c r="B2412" s="19">
        <v>43993</v>
      </c>
      <c r="C2412" s="4">
        <v>0</v>
      </c>
      <c r="D2412" s="21">
        <v>5</v>
      </c>
      <c r="F2412" s="57">
        <f t="shared" si="142"/>
        <v>0</v>
      </c>
    </row>
    <row r="2413" spans="1:6" x14ac:dyDescent="0.25">
      <c r="A2413" s="5" t="s">
        <v>22</v>
      </c>
      <c r="B2413" s="19">
        <v>43993</v>
      </c>
      <c r="C2413" s="4">
        <v>0</v>
      </c>
      <c r="D2413" s="21">
        <v>64</v>
      </c>
      <c r="F2413" s="57">
        <f t="shared" si="142"/>
        <v>0</v>
      </c>
    </row>
    <row r="2414" spans="1:6" x14ac:dyDescent="0.25">
      <c r="A2414" s="5" t="s">
        <v>18</v>
      </c>
      <c r="B2414" s="19">
        <v>43993</v>
      </c>
      <c r="C2414" s="4">
        <v>1</v>
      </c>
      <c r="D2414" s="21">
        <v>104</v>
      </c>
      <c r="F2414" s="57">
        <f t="shared" si="142"/>
        <v>0</v>
      </c>
    </row>
    <row r="2415" spans="1:6" x14ac:dyDescent="0.25">
      <c r="A2415" s="5" t="s">
        <v>24</v>
      </c>
      <c r="B2415" s="19">
        <v>43993</v>
      </c>
      <c r="C2415" s="4">
        <v>1</v>
      </c>
      <c r="D2415" s="21">
        <v>39</v>
      </c>
      <c r="E2415" s="4">
        <v>1</v>
      </c>
      <c r="F2415" s="57">
        <f t="shared" si="142"/>
        <v>1</v>
      </c>
    </row>
    <row r="2416" spans="1:6" x14ac:dyDescent="0.25">
      <c r="A2416" s="5" t="s">
        <v>20</v>
      </c>
      <c r="B2416" s="19">
        <v>43993</v>
      </c>
      <c r="C2416" s="4">
        <v>14</v>
      </c>
      <c r="D2416" s="21">
        <v>181</v>
      </c>
      <c r="F2416" s="57">
        <f t="shared" si="142"/>
        <v>0</v>
      </c>
    </row>
    <row r="2417" spans="1:6" x14ac:dyDescent="0.25">
      <c r="A2417" s="5" t="s">
        <v>19</v>
      </c>
      <c r="B2417" s="19">
        <v>43993</v>
      </c>
      <c r="C2417" s="4">
        <v>14</v>
      </c>
      <c r="D2417" s="21">
        <v>517</v>
      </c>
      <c r="E2417" s="4">
        <v>1</v>
      </c>
      <c r="F2417" s="57">
        <f t="shared" si="142"/>
        <v>2</v>
      </c>
    </row>
    <row r="2418" spans="1:6" x14ac:dyDescent="0.25">
      <c r="A2418" s="5" t="s">
        <v>35</v>
      </c>
      <c r="B2418" s="19">
        <v>43993</v>
      </c>
      <c r="C2418" s="4">
        <v>-2</v>
      </c>
      <c r="D2418" s="21">
        <v>17</v>
      </c>
      <c r="F2418" s="57">
        <f t="shared" si="142"/>
        <v>0</v>
      </c>
    </row>
    <row r="2419" spans="1:6" x14ac:dyDescent="0.25">
      <c r="A2419" s="5" t="s">
        <v>36</v>
      </c>
      <c r="B2419" s="19">
        <v>43993</v>
      </c>
      <c r="C2419" s="4">
        <v>0</v>
      </c>
      <c r="D2419" s="21">
        <v>6</v>
      </c>
      <c r="F2419" s="57">
        <f>E2419+F2395</f>
        <v>0</v>
      </c>
    </row>
    <row r="2420" spans="1:6" x14ac:dyDescent="0.25">
      <c r="A2420" s="5" t="s">
        <v>37</v>
      </c>
      <c r="B2420" s="19">
        <v>43993</v>
      </c>
      <c r="C2420" s="4">
        <v>0</v>
      </c>
      <c r="D2420" s="21">
        <v>11</v>
      </c>
      <c r="F2420" s="57">
        <f t="shared" si="142"/>
        <v>0</v>
      </c>
    </row>
    <row r="2421" spans="1:6" x14ac:dyDescent="0.25">
      <c r="A2421" s="5" t="s">
        <v>38</v>
      </c>
      <c r="B2421" s="19">
        <v>43993</v>
      </c>
      <c r="C2421" s="4">
        <v>0</v>
      </c>
      <c r="D2421" s="21">
        <v>51</v>
      </c>
      <c r="F2421" s="57">
        <f t="shared" si="142"/>
        <v>0</v>
      </c>
    </row>
    <row r="2422" spans="1:6" x14ac:dyDescent="0.25">
      <c r="A2422" s="5" t="s">
        <v>23</v>
      </c>
      <c r="B2422" s="19">
        <v>43993</v>
      </c>
      <c r="C2422" s="4">
        <v>2</v>
      </c>
      <c r="D2422" s="21">
        <v>284</v>
      </c>
      <c r="F2422" s="57">
        <f>E2422+F2398</f>
        <v>3</v>
      </c>
    </row>
    <row r="2423" spans="1:6" x14ac:dyDescent="0.25">
      <c r="A2423" s="5" t="s">
        <v>39</v>
      </c>
      <c r="B2423" s="19">
        <v>43993</v>
      </c>
      <c r="C2423" s="4">
        <v>0</v>
      </c>
      <c r="D2423" s="21">
        <v>22</v>
      </c>
      <c r="F2423" s="57">
        <f>E2423+F2399</f>
        <v>0</v>
      </c>
    </row>
    <row r="2424" spans="1:6" x14ac:dyDescent="0.25">
      <c r="A2424" s="5" t="s">
        <v>40</v>
      </c>
      <c r="B2424" s="19">
        <v>43993</v>
      </c>
      <c r="C2424" s="4">
        <v>0</v>
      </c>
      <c r="D2424" s="21">
        <v>149</v>
      </c>
      <c r="F2424" s="57">
        <f t="shared" si="142"/>
        <v>0</v>
      </c>
    </row>
    <row r="2425" spans="1:6" x14ac:dyDescent="0.25">
      <c r="A2425" s="5" t="s">
        <v>41</v>
      </c>
      <c r="B2425" s="19">
        <v>43993</v>
      </c>
      <c r="C2425" s="4">
        <v>0</v>
      </c>
      <c r="D2425" s="21">
        <v>49</v>
      </c>
      <c r="F2425" s="57">
        <f>E2425+F2401</f>
        <v>4</v>
      </c>
    </row>
    <row r="2426" spans="1:6" x14ac:dyDescent="0.25">
      <c r="A2426" s="42" t="s">
        <v>17</v>
      </c>
      <c r="B2426" s="19">
        <v>43994</v>
      </c>
      <c r="C2426" s="4">
        <v>745</v>
      </c>
      <c r="D2426" s="21">
        <v>11710</v>
      </c>
      <c r="E2426" s="4">
        <v>11</v>
      </c>
      <c r="F2426" s="57">
        <f>E2426+F2402</f>
        <v>338</v>
      </c>
    </row>
    <row r="2427" spans="1:6" x14ac:dyDescent="0.25">
      <c r="A2427" s="5" t="s">
        <v>29</v>
      </c>
      <c r="B2427" s="19">
        <v>43994</v>
      </c>
      <c r="C2427" s="4">
        <v>0</v>
      </c>
      <c r="D2427" s="21">
        <v>0</v>
      </c>
      <c r="F2427" s="57">
        <f t="shared" ref="F2427:F2433" si="143">E2427+F2403</f>
        <v>0</v>
      </c>
    </row>
    <row r="2428" spans="1:6" x14ac:dyDescent="0.25">
      <c r="A2428" s="5" t="s">
        <v>16</v>
      </c>
      <c r="B2428" s="19">
        <v>43994</v>
      </c>
      <c r="C2428" s="4">
        <v>39</v>
      </c>
      <c r="D2428" s="21">
        <v>1250</v>
      </c>
      <c r="E2428" s="4">
        <v>3</v>
      </c>
      <c r="F2428" s="57">
        <f t="shared" si="143"/>
        <v>68</v>
      </c>
    </row>
    <row r="2429" spans="1:6" x14ac:dyDescent="0.25">
      <c r="A2429" s="5" t="s">
        <v>30</v>
      </c>
      <c r="B2429" s="19">
        <v>43994</v>
      </c>
      <c r="C2429" s="4">
        <v>4</v>
      </c>
      <c r="D2429" s="21">
        <v>30</v>
      </c>
      <c r="E2429" s="4">
        <v>1</v>
      </c>
      <c r="F2429" s="57">
        <f t="shared" si="143"/>
        <v>2</v>
      </c>
    </row>
    <row r="2430" spans="1:6" x14ac:dyDescent="0.25">
      <c r="A2430" s="5" t="s">
        <v>44</v>
      </c>
      <c r="B2430" s="19">
        <v>43994</v>
      </c>
      <c r="C2430" s="4">
        <v>565</v>
      </c>
      <c r="D2430" s="21">
        <v>13586</v>
      </c>
      <c r="E2430" s="4">
        <v>4</v>
      </c>
      <c r="F2430" s="57">
        <f t="shared" si="143"/>
        <v>284</v>
      </c>
    </row>
    <row r="2431" spans="1:6" x14ac:dyDescent="0.25">
      <c r="A2431" s="5" t="s">
        <v>21</v>
      </c>
      <c r="B2431" s="19">
        <v>43994</v>
      </c>
      <c r="C2431" s="4">
        <v>9</v>
      </c>
      <c r="D2431" s="21">
        <v>486</v>
      </c>
      <c r="E2431" s="4">
        <v>1</v>
      </c>
      <c r="F2431" s="57">
        <f t="shared" si="143"/>
        <v>31</v>
      </c>
    </row>
    <row r="2432" spans="1:6" x14ac:dyDescent="0.25">
      <c r="A2432" s="5" t="s">
        <v>31</v>
      </c>
      <c r="B2432" s="19">
        <v>43994</v>
      </c>
      <c r="C2432" s="4">
        <v>0</v>
      </c>
      <c r="D2432" s="21">
        <v>100</v>
      </c>
      <c r="F2432" s="57">
        <f t="shared" si="143"/>
        <v>0</v>
      </c>
    </row>
    <row r="2433" spans="1:6" x14ac:dyDescent="0.25">
      <c r="A2433" s="5" t="s">
        <v>32</v>
      </c>
      <c r="B2433" s="19">
        <v>43994</v>
      </c>
      <c r="C2433" s="4">
        <v>4</v>
      </c>
      <c r="D2433" s="21">
        <v>69</v>
      </c>
      <c r="F2433" s="57">
        <f t="shared" si="143"/>
        <v>0</v>
      </c>
    </row>
    <row r="2434" spans="1:6" x14ac:dyDescent="0.25">
      <c r="A2434" s="5" t="s">
        <v>42</v>
      </c>
      <c r="B2434" s="19">
        <v>43994</v>
      </c>
      <c r="C2434" s="4">
        <v>1</v>
      </c>
      <c r="D2434" s="21">
        <v>1</v>
      </c>
      <c r="F2434" s="57">
        <f t="shared" ref="F2434:F2448" si="144">E2434+F2409</f>
        <v>0</v>
      </c>
    </row>
    <row r="2435" spans="1:6" x14ac:dyDescent="0.25">
      <c r="A2435" s="5" t="s">
        <v>33</v>
      </c>
      <c r="B2435" s="19">
        <v>43994</v>
      </c>
      <c r="C2435" s="4">
        <v>0</v>
      </c>
      <c r="D2435" s="21">
        <v>8</v>
      </c>
      <c r="F2435" s="57">
        <f t="shared" si="144"/>
        <v>0</v>
      </c>
    </row>
    <row r="2436" spans="1:6" x14ac:dyDescent="0.25">
      <c r="A2436" s="5" t="s">
        <v>34</v>
      </c>
      <c r="B2436" s="19">
        <v>43994</v>
      </c>
      <c r="C2436" s="4">
        <v>0</v>
      </c>
      <c r="D2436" s="21">
        <v>5</v>
      </c>
      <c r="F2436" s="57">
        <f t="shared" si="144"/>
        <v>0</v>
      </c>
    </row>
    <row r="2437" spans="1:6" x14ac:dyDescent="0.25">
      <c r="A2437" s="5" t="s">
        <v>22</v>
      </c>
      <c r="B2437" s="19">
        <v>43994</v>
      </c>
      <c r="C2437" s="4">
        <v>0</v>
      </c>
      <c r="D2437" s="21">
        <v>64</v>
      </c>
      <c r="F2437" s="57">
        <f t="shared" si="144"/>
        <v>0</v>
      </c>
    </row>
    <row r="2438" spans="1:6" x14ac:dyDescent="0.25">
      <c r="A2438" s="5" t="s">
        <v>18</v>
      </c>
      <c r="B2438" s="19">
        <v>43994</v>
      </c>
      <c r="C2438" s="4">
        <v>2</v>
      </c>
      <c r="D2438" s="21">
        <v>106</v>
      </c>
      <c r="F2438" s="57">
        <f t="shared" si="144"/>
        <v>0</v>
      </c>
    </row>
    <row r="2439" spans="1:6" x14ac:dyDescent="0.25">
      <c r="A2439" s="5" t="s">
        <v>24</v>
      </c>
      <c r="B2439" s="19">
        <v>43994</v>
      </c>
      <c r="C2439" s="4">
        <v>0</v>
      </c>
      <c r="D2439" s="21">
        <v>39</v>
      </c>
      <c r="F2439" s="57">
        <f t="shared" si="144"/>
        <v>0</v>
      </c>
    </row>
    <row r="2440" spans="1:6" x14ac:dyDescent="0.25">
      <c r="A2440" s="5" t="s">
        <v>20</v>
      </c>
      <c r="B2440" s="19">
        <v>43994</v>
      </c>
      <c r="C2440" s="4">
        <v>6</v>
      </c>
      <c r="D2440" s="21">
        <v>187</v>
      </c>
      <c r="F2440" s="57">
        <f t="shared" si="144"/>
        <v>1</v>
      </c>
    </row>
    <row r="2441" spans="1:6" x14ac:dyDescent="0.25">
      <c r="A2441" s="5" t="s">
        <v>19</v>
      </c>
      <c r="B2441" s="19">
        <v>43994</v>
      </c>
      <c r="C2441" s="4">
        <v>16</v>
      </c>
      <c r="D2441" s="21">
        <v>533</v>
      </c>
      <c r="F2441" s="57">
        <f t="shared" si="144"/>
        <v>0</v>
      </c>
    </row>
    <row r="2442" spans="1:6" x14ac:dyDescent="0.25">
      <c r="A2442" s="5" t="s">
        <v>35</v>
      </c>
      <c r="B2442" s="19">
        <v>43994</v>
      </c>
      <c r="C2442" s="4">
        <v>0</v>
      </c>
      <c r="D2442" s="21">
        <v>17</v>
      </c>
      <c r="F2442" s="57">
        <f t="shared" si="144"/>
        <v>2</v>
      </c>
    </row>
    <row r="2443" spans="1:6" x14ac:dyDescent="0.25">
      <c r="A2443" s="5" t="s">
        <v>36</v>
      </c>
      <c r="B2443" s="19">
        <v>43994</v>
      </c>
      <c r="C2443" s="4">
        <v>0</v>
      </c>
      <c r="D2443" s="21">
        <v>6</v>
      </c>
      <c r="F2443" s="57">
        <f>E2443+F2419</f>
        <v>0</v>
      </c>
    </row>
    <row r="2444" spans="1:6" x14ac:dyDescent="0.25">
      <c r="A2444" s="5" t="s">
        <v>37</v>
      </c>
      <c r="B2444" s="19">
        <v>43994</v>
      </c>
      <c r="C2444" s="4">
        <v>0</v>
      </c>
      <c r="D2444" s="21">
        <v>11</v>
      </c>
      <c r="F2444" s="57">
        <f t="shared" si="144"/>
        <v>0</v>
      </c>
    </row>
    <row r="2445" spans="1:6" x14ac:dyDescent="0.25">
      <c r="A2445" s="5" t="s">
        <v>38</v>
      </c>
      <c r="B2445" s="19">
        <v>43994</v>
      </c>
      <c r="C2445" s="4">
        <v>0</v>
      </c>
      <c r="D2445" s="21">
        <v>51</v>
      </c>
      <c r="F2445" s="57">
        <f t="shared" si="144"/>
        <v>0</v>
      </c>
    </row>
    <row r="2446" spans="1:6" x14ac:dyDescent="0.25">
      <c r="A2446" s="5" t="s">
        <v>23</v>
      </c>
      <c r="B2446" s="19">
        <v>43994</v>
      </c>
      <c r="C2446" s="4">
        <v>0</v>
      </c>
      <c r="D2446" s="21">
        <v>284</v>
      </c>
      <c r="F2446" s="57">
        <f>E2446+F2422</f>
        <v>3</v>
      </c>
    </row>
    <row r="2447" spans="1:6" x14ac:dyDescent="0.25">
      <c r="A2447" s="5" t="s">
        <v>39</v>
      </c>
      <c r="B2447" s="19">
        <v>43994</v>
      </c>
      <c r="C2447" s="4">
        <v>0</v>
      </c>
      <c r="D2447" s="21">
        <v>22</v>
      </c>
      <c r="F2447" s="57">
        <f>E2447+F2423</f>
        <v>0</v>
      </c>
    </row>
    <row r="2448" spans="1:6" x14ac:dyDescent="0.25">
      <c r="A2448" s="5" t="s">
        <v>40</v>
      </c>
      <c r="B2448" s="19">
        <v>43994</v>
      </c>
      <c r="C2448" s="4">
        <v>0</v>
      </c>
      <c r="D2448" s="21">
        <v>149</v>
      </c>
      <c r="F2448" s="57">
        <f t="shared" si="144"/>
        <v>0</v>
      </c>
    </row>
    <row r="2449" spans="1:6" x14ac:dyDescent="0.25">
      <c r="A2449" s="5" t="s">
        <v>41</v>
      </c>
      <c r="B2449" s="19">
        <v>43994</v>
      </c>
      <c r="C2449" s="4">
        <v>1</v>
      </c>
      <c r="D2449" s="21">
        <v>50</v>
      </c>
      <c r="F2449" s="57">
        <f>E2449+F2425</f>
        <v>4</v>
      </c>
    </row>
    <row r="2450" spans="1:6" x14ac:dyDescent="0.25">
      <c r="A2450" s="42" t="s">
        <v>17</v>
      </c>
      <c r="B2450" s="19">
        <v>43995</v>
      </c>
      <c r="C2450" s="4">
        <v>849</v>
      </c>
      <c r="D2450" s="21">
        <v>12559</v>
      </c>
      <c r="E2450" s="4">
        <v>19</v>
      </c>
      <c r="F2450" s="57">
        <f>E2450+F2426</f>
        <v>357</v>
      </c>
    </row>
    <row r="2451" spans="1:6" x14ac:dyDescent="0.25">
      <c r="A2451" s="5" t="s">
        <v>29</v>
      </c>
      <c r="B2451" s="19">
        <v>43995</v>
      </c>
      <c r="C2451" s="4">
        <v>0</v>
      </c>
      <c r="D2451" s="21">
        <v>0</v>
      </c>
      <c r="F2451" s="57">
        <f t="shared" ref="F2451:F2457" si="145">E2451+F2427</f>
        <v>0</v>
      </c>
    </row>
    <row r="2452" spans="1:6" x14ac:dyDescent="0.25">
      <c r="A2452" s="5" t="s">
        <v>16</v>
      </c>
      <c r="B2452" s="19">
        <v>43995</v>
      </c>
      <c r="C2452" s="4">
        <v>49</v>
      </c>
      <c r="D2452" s="21">
        <v>1299</v>
      </c>
      <c r="F2452" s="57">
        <f t="shared" si="145"/>
        <v>68</v>
      </c>
    </row>
    <row r="2453" spans="1:6" x14ac:dyDescent="0.25">
      <c r="A2453" s="5" t="s">
        <v>30</v>
      </c>
      <c r="B2453" s="19">
        <v>43995</v>
      </c>
      <c r="C2453" s="4">
        <v>9</v>
      </c>
      <c r="D2453" s="21">
        <v>39</v>
      </c>
      <c r="F2453" s="57">
        <f t="shared" si="145"/>
        <v>2</v>
      </c>
    </row>
    <row r="2454" spans="1:6" x14ac:dyDescent="0.25">
      <c r="A2454" s="5" t="s">
        <v>44</v>
      </c>
      <c r="B2454" s="19">
        <v>43995</v>
      </c>
      <c r="C2454" s="4">
        <v>558</v>
      </c>
      <c r="D2454" s="21">
        <v>14144</v>
      </c>
      <c r="E2454" s="4">
        <v>7</v>
      </c>
      <c r="F2454" s="57">
        <f t="shared" si="145"/>
        <v>291</v>
      </c>
    </row>
    <row r="2455" spans="1:6" x14ac:dyDescent="0.25">
      <c r="A2455" s="5" t="s">
        <v>21</v>
      </c>
      <c r="B2455" s="19">
        <v>43995</v>
      </c>
      <c r="C2455" s="4">
        <v>6</v>
      </c>
      <c r="D2455" s="21">
        <v>492</v>
      </c>
      <c r="F2455" s="57">
        <f t="shared" si="145"/>
        <v>31</v>
      </c>
    </row>
    <row r="2456" spans="1:6" x14ac:dyDescent="0.25">
      <c r="A2456" s="5" t="s">
        <v>31</v>
      </c>
      <c r="B2456" s="19">
        <v>43995</v>
      </c>
      <c r="C2456" s="4">
        <v>1</v>
      </c>
      <c r="D2456" s="21">
        <v>101</v>
      </c>
      <c r="F2456" s="57">
        <f t="shared" si="145"/>
        <v>0</v>
      </c>
    </row>
    <row r="2457" spans="1:6" x14ac:dyDescent="0.25">
      <c r="A2457" s="5" t="s">
        <v>32</v>
      </c>
      <c r="B2457" s="19">
        <v>43995</v>
      </c>
      <c r="C2457" s="4">
        <v>2</v>
      </c>
      <c r="D2457" s="21">
        <v>71</v>
      </c>
      <c r="F2457" s="57">
        <f t="shared" si="145"/>
        <v>0</v>
      </c>
    </row>
    <row r="2458" spans="1:6" x14ac:dyDescent="0.25">
      <c r="A2458" s="5" t="s">
        <v>42</v>
      </c>
      <c r="B2458" s="19">
        <v>43995</v>
      </c>
      <c r="C2458" s="4">
        <v>26</v>
      </c>
      <c r="D2458" s="21">
        <v>27</v>
      </c>
      <c r="F2458" s="57">
        <f t="shared" ref="F2458:F2472" si="146">E2458+F2433</f>
        <v>0</v>
      </c>
    </row>
    <row r="2459" spans="1:6" x14ac:dyDescent="0.25">
      <c r="A2459" s="5" t="s">
        <v>33</v>
      </c>
      <c r="B2459" s="19">
        <v>43995</v>
      </c>
      <c r="C2459" s="4">
        <v>0</v>
      </c>
      <c r="D2459" s="21">
        <v>8</v>
      </c>
      <c r="E2459" s="4">
        <v>1</v>
      </c>
      <c r="F2459" s="57">
        <f t="shared" si="146"/>
        <v>1</v>
      </c>
    </row>
    <row r="2460" spans="1:6" x14ac:dyDescent="0.25">
      <c r="A2460" s="5" t="s">
        <v>34</v>
      </c>
      <c r="B2460" s="19">
        <v>43995</v>
      </c>
      <c r="C2460" s="4">
        <v>0</v>
      </c>
      <c r="D2460" s="21">
        <v>5</v>
      </c>
      <c r="F2460" s="57">
        <f t="shared" si="146"/>
        <v>0</v>
      </c>
    </row>
    <row r="2461" spans="1:6" x14ac:dyDescent="0.25">
      <c r="A2461" s="5" t="s">
        <v>22</v>
      </c>
      <c r="B2461" s="19">
        <v>43995</v>
      </c>
      <c r="C2461" s="4">
        <v>0</v>
      </c>
      <c r="D2461" s="21">
        <v>64</v>
      </c>
      <c r="F2461" s="57">
        <f t="shared" si="146"/>
        <v>0</v>
      </c>
    </row>
    <row r="2462" spans="1:6" x14ac:dyDescent="0.25">
      <c r="A2462" s="5" t="s">
        <v>18</v>
      </c>
      <c r="B2462" s="19">
        <v>43995</v>
      </c>
      <c r="C2462" s="4">
        <v>0</v>
      </c>
      <c r="D2462" s="21">
        <v>106</v>
      </c>
      <c r="F2462" s="57">
        <f t="shared" si="146"/>
        <v>0</v>
      </c>
    </row>
    <row r="2463" spans="1:6" x14ac:dyDescent="0.25">
      <c r="A2463" s="5" t="s">
        <v>24</v>
      </c>
      <c r="B2463" s="19">
        <v>43995</v>
      </c>
      <c r="C2463" s="4">
        <v>0</v>
      </c>
      <c r="D2463" s="21">
        <v>39</v>
      </c>
      <c r="F2463" s="57">
        <f t="shared" si="146"/>
        <v>0</v>
      </c>
    </row>
    <row r="2464" spans="1:6" x14ac:dyDescent="0.25">
      <c r="A2464" s="5" t="s">
        <v>20</v>
      </c>
      <c r="B2464" s="19">
        <v>43995</v>
      </c>
      <c r="C2464" s="4">
        <v>13</v>
      </c>
      <c r="D2464" s="21">
        <v>200</v>
      </c>
      <c r="F2464" s="57">
        <f t="shared" si="146"/>
        <v>0</v>
      </c>
    </row>
    <row r="2465" spans="1:6" x14ac:dyDescent="0.25">
      <c r="A2465" s="5" t="s">
        <v>19</v>
      </c>
      <c r="B2465" s="19">
        <v>43995</v>
      </c>
      <c r="C2465" s="4">
        <v>13</v>
      </c>
      <c r="D2465" s="21">
        <v>546</v>
      </c>
      <c r="E2465" s="4">
        <v>3</v>
      </c>
      <c r="F2465" s="57">
        <f t="shared" si="146"/>
        <v>4</v>
      </c>
    </row>
    <row r="2466" spans="1:6" x14ac:dyDescent="0.25">
      <c r="A2466" s="5" t="s">
        <v>35</v>
      </c>
      <c r="B2466" s="19">
        <v>43995</v>
      </c>
      <c r="C2466" s="4">
        <v>2</v>
      </c>
      <c r="D2466" s="21">
        <v>19</v>
      </c>
      <c r="F2466" s="57">
        <f t="shared" si="146"/>
        <v>0</v>
      </c>
    </row>
    <row r="2467" spans="1:6" x14ac:dyDescent="0.25">
      <c r="A2467" s="5" t="s">
        <v>36</v>
      </c>
      <c r="B2467" s="19">
        <v>43995</v>
      </c>
      <c r="C2467" s="4">
        <v>1</v>
      </c>
      <c r="D2467" s="21">
        <v>7</v>
      </c>
      <c r="F2467" s="57">
        <f>E2467+F2443</f>
        <v>0</v>
      </c>
    </row>
    <row r="2468" spans="1:6" x14ac:dyDescent="0.25">
      <c r="A2468" s="5" t="s">
        <v>37</v>
      </c>
      <c r="B2468" s="19">
        <v>43995</v>
      </c>
      <c r="C2468" s="4">
        <v>0</v>
      </c>
      <c r="D2468" s="21">
        <v>11</v>
      </c>
      <c r="F2468" s="57">
        <f t="shared" si="146"/>
        <v>0</v>
      </c>
    </row>
    <row r="2469" spans="1:6" x14ac:dyDescent="0.25">
      <c r="A2469" s="5" t="s">
        <v>38</v>
      </c>
      <c r="B2469" s="19">
        <v>43995</v>
      </c>
      <c r="C2469" s="4">
        <v>0</v>
      </c>
      <c r="D2469" s="21">
        <v>51</v>
      </c>
      <c r="F2469" s="57">
        <f t="shared" si="146"/>
        <v>0</v>
      </c>
    </row>
    <row r="2470" spans="1:6" x14ac:dyDescent="0.25">
      <c r="A2470" s="5" t="s">
        <v>23</v>
      </c>
      <c r="B2470" s="19">
        <v>43995</v>
      </c>
      <c r="C2470" s="4">
        <v>1</v>
      </c>
      <c r="D2470" s="21">
        <v>285</v>
      </c>
      <c r="F2470" s="57">
        <f>E2470+F2446</f>
        <v>3</v>
      </c>
    </row>
    <row r="2471" spans="1:6" x14ac:dyDescent="0.25">
      <c r="A2471" s="5" t="s">
        <v>39</v>
      </c>
      <c r="B2471" s="19">
        <v>43995</v>
      </c>
      <c r="C2471" s="4">
        <v>0</v>
      </c>
      <c r="D2471" s="21">
        <v>22</v>
      </c>
      <c r="F2471" s="57">
        <f>E2471+F2447</f>
        <v>0</v>
      </c>
    </row>
    <row r="2472" spans="1:6" x14ac:dyDescent="0.25">
      <c r="A2472" s="5" t="s">
        <v>40</v>
      </c>
      <c r="B2472" s="19">
        <v>43995</v>
      </c>
      <c r="C2472" s="4">
        <v>0</v>
      </c>
      <c r="D2472" s="21">
        <v>149</v>
      </c>
      <c r="F2472" s="57">
        <f t="shared" si="146"/>
        <v>0</v>
      </c>
    </row>
    <row r="2473" spans="1:6" x14ac:dyDescent="0.25">
      <c r="A2473" s="5" t="s">
        <v>41</v>
      </c>
      <c r="B2473" s="19">
        <v>43995</v>
      </c>
      <c r="C2473" s="4">
        <v>1</v>
      </c>
      <c r="D2473" s="21">
        <v>51</v>
      </c>
      <c r="F2473" s="57">
        <f>E2473+F2449</f>
        <v>4</v>
      </c>
    </row>
    <row r="2474" spans="1:6" x14ac:dyDescent="0.25">
      <c r="A2474" s="42" t="s">
        <v>17</v>
      </c>
      <c r="B2474" s="19">
        <v>43996</v>
      </c>
      <c r="C2474" s="4">
        <v>635</v>
      </c>
      <c r="D2474" s="21">
        <v>13194</v>
      </c>
      <c r="E2474" s="4">
        <v>9</v>
      </c>
      <c r="F2474" s="57">
        <f>E2474+F2450</f>
        <v>366</v>
      </c>
    </row>
    <row r="2475" spans="1:6" x14ac:dyDescent="0.25">
      <c r="A2475" s="5" t="s">
        <v>29</v>
      </c>
      <c r="B2475" s="19">
        <v>43996</v>
      </c>
      <c r="C2475" s="4">
        <v>0</v>
      </c>
      <c r="D2475" s="21">
        <v>0</v>
      </c>
      <c r="F2475" s="57">
        <f t="shared" ref="F2475:F2481" si="147">E2475+F2451</f>
        <v>0</v>
      </c>
    </row>
    <row r="2476" spans="1:6" x14ac:dyDescent="0.25">
      <c r="A2476" s="5" t="s">
        <v>16</v>
      </c>
      <c r="B2476" s="19">
        <v>43996</v>
      </c>
      <c r="C2476" s="4">
        <v>27</v>
      </c>
      <c r="D2476" s="21">
        <v>1326</v>
      </c>
      <c r="E2476" s="4">
        <v>3</v>
      </c>
      <c r="F2476" s="57">
        <f t="shared" si="147"/>
        <v>71</v>
      </c>
    </row>
    <row r="2477" spans="1:6" x14ac:dyDescent="0.25">
      <c r="A2477" s="5" t="s">
        <v>30</v>
      </c>
      <c r="B2477" s="19">
        <v>43996</v>
      </c>
      <c r="C2477" s="4">
        <v>2</v>
      </c>
      <c r="D2477" s="21">
        <v>41</v>
      </c>
      <c r="F2477" s="57">
        <f t="shared" si="147"/>
        <v>2</v>
      </c>
    </row>
    <row r="2478" spans="1:6" x14ac:dyDescent="0.25">
      <c r="A2478" s="5" t="s">
        <v>44</v>
      </c>
      <c r="B2478" s="19">
        <v>43996</v>
      </c>
      <c r="C2478" s="4">
        <v>558</v>
      </c>
      <c r="D2478" s="21">
        <v>14702</v>
      </c>
      <c r="E2478" s="4">
        <v>5</v>
      </c>
      <c r="F2478" s="57">
        <f t="shared" si="147"/>
        <v>296</v>
      </c>
    </row>
    <row r="2479" spans="1:6" x14ac:dyDescent="0.25">
      <c r="A2479" s="5" t="s">
        <v>21</v>
      </c>
      <c r="B2479" s="19">
        <v>43996</v>
      </c>
      <c r="C2479" s="4">
        <v>6</v>
      </c>
      <c r="D2479" s="21">
        <v>498</v>
      </c>
      <c r="E2479" s="4">
        <v>1</v>
      </c>
      <c r="F2479" s="57">
        <f t="shared" si="147"/>
        <v>32</v>
      </c>
    </row>
    <row r="2480" spans="1:6" x14ac:dyDescent="0.25">
      <c r="A2480" s="5" t="s">
        <v>31</v>
      </c>
      <c r="B2480" s="19">
        <v>43996</v>
      </c>
      <c r="C2480" s="4">
        <v>2</v>
      </c>
      <c r="D2480" s="21">
        <v>103</v>
      </c>
      <c r="F2480" s="57">
        <f t="shared" si="147"/>
        <v>0</v>
      </c>
    </row>
    <row r="2481" spans="1:6" x14ac:dyDescent="0.25">
      <c r="A2481" s="5" t="s">
        <v>32</v>
      </c>
      <c r="B2481" s="19">
        <v>43996</v>
      </c>
      <c r="C2481" s="4">
        <v>15</v>
      </c>
      <c r="D2481" s="21">
        <v>86</v>
      </c>
      <c r="F2481" s="57">
        <f t="shared" si="147"/>
        <v>0</v>
      </c>
    </row>
    <row r="2482" spans="1:6" x14ac:dyDescent="0.25">
      <c r="A2482" s="5" t="s">
        <v>42</v>
      </c>
      <c r="B2482" s="19">
        <v>43996</v>
      </c>
      <c r="C2482" s="4">
        <v>6</v>
      </c>
      <c r="D2482" s="21">
        <v>33</v>
      </c>
      <c r="F2482" s="57">
        <f t="shared" ref="F2482:F2496" si="148">E2482+F2457</f>
        <v>0</v>
      </c>
    </row>
    <row r="2483" spans="1:6" x14ac:dyDescent="0.25">
      <c r="A2483" s="5" t="s">
        <v>33</v>
      </c>
      <c r="B2483" s="19">
        <v>43996</v>
      </c>
      <c r="C2483" s="4">
        <v>0</v>
      </c>
      <c r="D2483" s="21">
        <v>8</v>
      </c>
      <c r="F2483" s="57">
        <f t="shared" si="148"/>
        <v>0</v>
      </c>
    </row>
    <row r="2484" spans="1:6" x14ac:dyDescent="0.25">
      <c r="A2484" s="5" t="s">
        <v>34</v>
      </c>
      <c r="B2484" s="19">
        <v>43996</v>
      </c>
      <c r="C2484" s="4">
        <v>1</v>
      </c>
      <c r="D2484" s="21">
        <v>6</v>
      </c>
      <c r="F2484" s="57">
        <f t="shared" si="148"/>
        <v>1</v>
      </c>
    </row>
    <row r="2485" spans="1:6" x14ac:dyDescent="0.25">
      <c r="A2485" s="5" t="s">
        <v>22</v>
      </c>
      <c r="B2485" s="19">
        <v>43996</v>
      </c>
      <c r="C2485" s="4">
        <v>0</v>
      </c>
      <c r="D2485" s="21">
        <v>64</v>
      </c>
      <c r="F2485" s="57">
        <f t="shared" si="148"/>
        <v>0</v>
      </c>
    </row>
    <row r="2486" spans="1:6" x14ac:dyDescent="0.25">
      <c r="A2486" s="5" t="s">
        <v>18</v>
      </c>
      <c r="B2486" s="19">
        <v>43996</v>
      </c>
      <c r="C2486" s="4">
        <v>7</v>
      </c>
      <c r="D2486" s="21">
        <v>113</v>
      </c>
      <c r="F2486" s="57">
        <f t="shared" si="148"/>
        <v>0</v>
      </c>
    </row>
    <row r="2487" spans="1:6" x14ac:dyDescent="0.25">
      <c r="A2487" s="5" t="s">
        <v>24</v>
      </c>
      <c r="B2487" s="19">
        <v>43996</v>
      </c>
      <c r="C2487" s="4">
        <v>0</v>
      </c>
      <c r="D2487" s="21">
        <v>39</v>
      </c>
      <c r="F2487" s="57">
        <f t="shared" si="148"/>
        <v>0</v>
      </c>
    </row>
    <row r="2488" spans="1:6" x14ac:dyDescent="0.25">
      <c r="A2488" s="5" t="s">
        <v>20</v>
      </c>
      <c r="B2488" s="19">
        <v>43996</v>
      </c>
      <c r="C2488" s="4">
        <v>9</v>
      </c>
      <c r="D2488" s="21">
        <v>209</v>
      </c>
      <c r="F2488" s="57">
        <f t="shared" si="148"/>
        <v>0</v>
      </c>
    </row>
    <row r="2489" spans="1:6" x14ac:dyDescent="0.25">
      <c r="A2489" s="5" t="s">
        <v>19</v>
      </c>
      <c r="B2489" s="19">
        <v>43996</v>
      </c>
      <c r="C2489" s="4">
        <v>6</v>
      </c>
      <c r="D2489" s="21">
        <v>552</v>
      </c>
      <c r="F2489" s="57">
        <f t="shared" si="148"/>
        <v>0</v>
      </c>
    </row>
    <row r="2490" spans="1:6" x14ac:dyDescent="0.25">
      <c r="A2490" s="5" t="s">
        <v>35</v>
      </c>
      <c r="B2490" s="19">
        <v>43996</v>
      </c>
      <c r="C2490" s="4">
        <v>2</v>
      </c>
      <c r="D2490" s="21">
        <v>21</v>
      </c>
      <c r="F2490" s="57">
        <f t="shared" si="148"/>
        <v>4</v>
      </c>
    </row>
    <row r="2491" spans="1:6" x14ac:dyDescent="0.25">
      <c r="A2491" s="5" t="s">
        <v>36</v>
      </c>
      <c r="B2491" s="19">
        <v>43996</v>
      </c>
      <c r="C2491" s="4">
        <v>0</v>
      </c>
      <c r="D2491" s="21">
        <v>7</v>
      </c>
      <c r="F2491" s="57">
        <f>E2491+F2467</f>
        <v>0</v>
      </c>
    </row>
    <row r="2492" spans="1:6" x14ac:dyDescent="0.25">
      <c r="A2492" s="5" t="s">
        <v>37</v>
      </c>
      <c r="B2492" s="19">
        <v>43996</v>
      </c>
      <c r="C2492" s="4">
        <v>0</v>
      </c>
      <c r="D2492" s="21">
        <v>11</v>
      </c>
      <c r="F2492" s="57">
        <f t="shared" si="148"/>
        <v>0</v>
      </c>
    </row>
    <row r="2493" spans="1:6" x14ac:dyDescent="0.25">
      <c r="A2493" s="5" t="s">
        <v>38</v>
      </c>
      <c r="B2493" s="19">
        <v>43996</v>
      </c>
      <c r="C2493" s="4">
        <v>0</v>
      </c>
      <c r="D2493" s="21">
        <v>51</v>
      </c>
      <c r="F2493" s="57">
        <f t="shared" si="148"/>
        <v>0</v>
      </c>
    </row>
    <row r="2494" spans="1:6" x14ac:dyDescent="0.25">
      <c r="A2494" s="5" t="s">
        <v>23</v>
      </c>
      <c r="B2494" s="19">
        <v>43996</v>
      </c>
      <c r="C2494" s="4">
        <v>0</v>
      </c>
      <c r="D2494" s="21">
        <v>285</v>
      </c>
      <c r="F2494" s="57">
        <f>E2494+F2470</f>
        <v>3</v>
      </c>
    </row>
    <row r="2495" spans="1:6" x14ac:dyDescent="0.25">
      <c r="A2495" s="5" t="s">
        <v>39</v>
      </c>
      <c r="B2495" s="19">
        <v>43996</v>
      </c>
      <c r="C2495" s="4">
        <v>0</v>
      </c>
      <c r="D2495" s="21">
        <v>22</v>
      </c>
      <c r="F2495" s="57">
        <f>E2495+F2471</f>
        <v>0</v>
      </c>
    </row>
    <row r="2496" spans="1:6" x14ac:dyDescent="0.25">
      <c r="A2496" s="5" t="s">
        <v>40</v>
      </c>
      <c r="B2496" s="19">
        <v>43996</v>
      </c>
      <c r="C2496" s="4">
        <v>0</v>
      </c>
      <c r="D2496" s="21">
        <v>149</v>
      </c>
      <c r="F2496" s="57">
        <f t="shared" si="148"/>
        <v>0</v>
      </c>
    </row>
    <row r="2497" spans="1:6" x14ac:dyDescent="0.25">
      <c r="A2497" s="5" t="s">
        <v>41</v>
      </c>
      <c r="B2497" s="19">
        <v>43996</v>
      </c>
      <c r="C2497" s="4">
        <v>6</v>
      </c>
      <c r="D2497" s="21">
        <v>57</v>
      </c>
      <c r="F2497" s="57">
        <f>E2497+F2473</f>
        <v>4</v>
      </c>
    </row>
    <row r="2498" spans="1:6" x14ac:dyDescent="0.25">
      <c r="A2498" s="42" t="s">
        <v>17</v>
      </c>
      <c r="B2498" s="19">
        <v>43997</v>
      </c>
      <c r="C2498" s="4">
        <v>552</v>
      </c>
      <c r="D2498" s="21">
        <v>13746</v>
      </c>
      <c r="E2498" s="4">
        <v>12</v>
      </c>
      <c r="F2498" s="57">
        <f>E2498+F2474</f>
        <v>378</v>
      </c>
    </row>
    <row r="2499" spans="1:6" x14ac:dyDescent="0.25">
      <c r="A2499" s="5" t="s">
        <v>29</v>
      </c>
      <c r="B2499" s="19">
        <v>43997</v>
      </c>
      <c r="C2499" s="4">
        <v>0</v>
      </c>
      <c r="D2499" s="21">
        <v>0</v>
      </c>
      <c r="F2499" s="57">
        <f t="shared" ref="F2499:F2505" si="149">E2499+F2475</f>
        <v>0</v>
      </c>
    </row>
    <row r="2500" spans="1:6" x14ac:dyDescent="0.25">
      <c r="A2500" s="5" t="s">
        <v>16</v>
      </c>
      <c r="B2500" s="19">
        <v>43997</v>
      </c>
      <c r="C2500" s="4">
        <v>38</v>
      </c>
      <c r="D2500" s="21">
        <v>1364</v>
      </c>
      <c r="F2500" s="57">
        <f t="shared" si="149"/>
        <v>71</v>
      </c>
    </row>
    <row r="2501" spans="1:6" x14ac:dyDescent="0.25">
      <c r="A2501" s="5" t="s">
        <v>30</v>
      </c>
      <c r="B2501" s="19">
        <v>43997</v>
      </c>
      <c r="C2501" s="4">
        <v>22</v>
      </c>
      <c r="D2501" s="21">
        <v>63</v>
      </c>
      <c r="F2501" s="57">
        <f t="shared" si="149"/>
        <v>2</v>
      </c>
    </row>
    <row r="2502" spans="1:6" x14ac:dyDescent="0.25">
      <c r="A2502" s="5" t="s">
        <v>44</v>
      </c>
      <c r="B2502" s="19">
        <v>43997</v>
      </c>
      <c r="C2502" s="4">
        <v>575</v>
      </c>
      <c r="D2502" s="21">
        <v>15277</v>
      </c>
      <c r="E2502" s="4">
        <v>7</v>
      </c>
      <c r="F2502" s="57">
        <f t="shared" si="149"/>
        <v>303</v>
      </c>
    </row>
    <row r="2503" spans="1:6" x14ac:dyDescent="0.25">
      <c r="A2503" s="5" t="s">
        <v>21</v>
      </c>
      <c r="B2503" s="19">
        <v>43997</v>
      </c>
      <c r="C2503" s="4">
        <v>2</v>
      </c>
      <c r="D2503" s="21">
        <v>500</v>
      </c>
      <c r="E2503" s="4">
        <v>1</v>
      </c>
      <c r="F2503" s="57">
        <f t="shared" si="149"/>
        <v>33</v>
      </c>
    </row>
    <row r="2504" spans="1:6" x14ac:dyDescent="0.25">
      <c r="A2504" s="5" t="s">
        <v>31</v>
      </c>
      <c r="B2504" s="19">
        <v>43997</v>
      </c>
      <c r="C2504" s="4">
        <v>1</v>
      </c>
      <c r="D2504" s="21">
        <v>104</v>
      </c>
      <c r="F2504" s="57">
        <f t="shared" si="149"/>
        <v>0</v>
      </c>
    </row>
    <row r="2505" spans="1:6" x14ac:dyDescent="0.25">
      <c r="A2505" s="5" t="s">
        <v>32</v>
      </c>
      <c r="B2505" s="19">
        <v>43997</v>
      </c>
      <c r="C2505" s="4">
        <v>2</v>
      </c>
      <c r="D2505" s="21">
        <v>88</v>
      </c>
      <c r="F2505" s="57">
        <f t="shared" si="149"/>
        <v>0</v>
      </c>
    </row>
    <row r="2506" spans="1:6" x14ac:dyDescent="0.25">
      <c r="A2506" s="5" t="s">
        <v>42</v>
      </c>
      <c r="B2506" s="19">
        <v>43997</v>
      </c>
      <c r="C2506" s="4">
        <v>0</v>
      </c>
      <c r="D2506" s="21">
        <v>33</v>
      </c>
      <c r="F2506" s="57">
        <f t="shared" ref="F2506:F2520" si="150">E2506+F2481</f>
        <v>0</v>
      </c>
    </row>
    <row r="2507" spans="1:6" x14ac:dyDescent="0.25">
      <c r="A2507" s="5" t="s">
        <v>33</v>
      </c>
      <c r="B2507" s="19">
        <v>43997</v>
      </c>
      <c r="C2507" s="4">
        <v>0</v>
      </c>
      <c r="D2507" s="21">
        <v>8</v>
      </c>
      <c r="F2507" s="57">
        <f t="shared" si="150"/>
        <v>0</v>
      </c>
    </row>
    <row r="2508" spans="1:6" x14ac:dyDescent="0.25">
      <c r="A2508" s="5" t="s">
        <v>34</v>
      </c>
      <c r="B2508" s="19">
        <v>43997</v>
      </c>
      <c r="C2508" s="4">
        <v>0</v>
      </c>
      <c r="D2508" s="21">
        <v>6</v>
      </c>
      <c r="F2508" s="57">
        <f t="shared" si="150"/>
        <v>0</v>
      </c>
    </row>
    <row r="2509" spans="1:6" x14ac:dyDescent="0.25">
      <c r="A2509" s="5" t="s">
        <v>22</v>
      </c>
      <c r="B2509" s="19">
        <v>43997</v>
      </c>
      <c r="C2509" s="4">
        <v>0</v>
      </c>
      <c r="D2509" s="21">
        <v>64</v>
      </c>
      <c r="F2509" s="57">
        <f t="shared" si="150"/>
        <v>1</v>
      </c>
    </row>
    <row r="2510" spans="1:6" x14ac:dyDescent="0.25">
      <c r="A2510" s="5" t="s">
        <v>18</v>
      </c>
      <c r="B2510" s="19">
        <v>43997</v>
      </c>
      <c r="C2510" s="4">
        <v>0</v>
      </c>
      <c r="D2510" s="21">
        <v>113</v>
      </c>
      <c r="F2510" s="57">
        <f t="shared" si="150"/>
        <v>0</v>
      </c>
    </row>
    <row r="2511" spans="1:6" x14ac:dyDescent="0.25">
      <c r="A2511" s="5" t="s">
        <v>24</v>
      </c>
      <c r="B2511" s="19">
        <v>43997</v>
      </c>
      <c r="C2511" s="4">
        <v>1</v>
      </c>
      <c r="D2511" s="21">
        <v>40</v>
      </c>
      <c r="F2511" s="57">
        <f t="shared" si="150"/>
        <v>0</v>
      </c>
    </row>
    <row r="2512" spans="1:6" x14ac:dyDescent="0.25">
      <c r="A2512" s="5" t="s">
        <v>20</v>
      </c>
      <c r="B2512" s="19">
        <v>43997</v>
      </c>
      <c r="C2512" s="4">
        <v>3</v>
      </c>
      <c r="D2512" s="21">
        <v>212</v>
      </c>
      <c r="F2512" s="57">
        <f t="shared" si="150"/>
        <v>0</v>
      </c>
    </row>
    <row r="2513" spans="1:6" x14ac:dyDescent="0.25">
      <c r="A2513" s="5" t="s">
        <v>19</v>
      </c>
      <c r="B2513" s="19">
        <v>43997</v>
      </c>
      <c r="C2513" s="4">
        <v>12</v>
      </c>
      <c r="D2513" s="21">
        <v>564</v>
      </c>
      <c r="E2513" s="4">
        <v>1</v>
      </c>
      <c r="F2513" s="57">
        <f t="shared" si="150"/>
        <v>1</v>
      </c>
    </row>
    <row r="2514" spans="1:6" x14ac:dyDescent="0.25">
      <c r="A2514" s="5" t="s">
        <v>35</v>
      </c>
      <c r="B2514" s="19">
        <v>43997</v>
      </c>
      <c r="C2514" s="4">
        <v>0</v>
      </c>
      <c r="D2514" s="21">
        <v>21</v>
      </c>
      <c r="F2514" s="57">
        <f t="shared" si="150"/>
        <v>0</v>
      </c>
    </row>
    <row r="2515" spans="1:6" x14ac:dyDescent="0.25">
      <c r="A2515" s="5" t="s">
        <v>36</v>
      </c>
      <c r="B2515" s="19">
        <v>43997</v>
      </c>
      <c r="C2515" s="4">
        <v>0</v>
      </c>
      <c r="D2515" s="21">
        <v>7</v>
      </c>
      <c r="F2515" s="57">
        <f>E2515+F2491</f>
        <v>0</v>
      </c>
    </row>
    <row r="2516" spans="1:6" x14ac:dyDescent="0.25">
      <c r="A2516" s="5" t="s">
        <v>37</v>
      </c>
      <c r="B2516" s="19">
        <v>43997</v>
      </c>
      <c r="C2516" s="4">
        <v>0</v>
      </c>
      <c r="D2516" s="21">
        <v>11</v>
      </c>
      <c r="F2516" s="57">
        <f t="shared" si="150"/>
        <v>0</v>
      </c>
    </row>
    <row r="2517" spans="1:6" x14ac:dyDescent="0.25">
      <c r="A2517" s="5" t="s">
        <v>38</v>
      </c>
      <c r="B2517" s="19">
        <v>43997</v>
      </c>
      <c r="C2517" s="4">
        <v>0</v>
      </c>
      <c r="D2517" s="21">
        <v>51</v>
      </c>
      <c r="F2517" s="57">
        <f t="shared" si="150"/>
        <v>0</v>
      </c>
    </row>
    <row r="2518" spans="1:6" x14ac:dyDescent="0.25">
      <c r="A2518" s="5" t="s">
        <v>23</v>
      </c>
      <c r="B2518" s="19">
        <v>43997</v>
      </c>
      <c r="C2518" s="4">
        <v>0</v>
      </c>
      <c r="D2518" s="21">
        <v>285</v>
      </c>
      <c r="F2518" s="57">
        <f>E2518+F2494</f>
        <v>3</v>
      </c>
    </row>
    <row r="2519" spans="1:6" x14ac:dyDescent="0.25">
      <c r="A2519" s="5" t="s">
        <v>39</v>
      </c>
      <c r="B2519" s="19">
        <v>43997</v>
      </c>
      <c r="C2519" s="4">
        <v>0</v>
      </c>
      <c r="D2519" s="21">
        <v>22</v>
      </c>
      <c r="F2519" s="57">
        <f>E2519+F2495</f>
        <v>0</v>
      </c>
    </row>
    <row r="2520" spans="1:6" x14ac:dyDescent="0.25">
      <c r="A2520" s="5" t="s">
        <v>40</v>
      </c>
      <c r="B2520" s="19">
        <v>43997</v>
      </c>
      <c r="C2520" s="4">
        <v>0</v>
      </c>
      <c r="D2520" s="21">
        <v>149</v>
      </c>
      <c r="F2520" s="57">
        <f t="shared" si="150"/>
        <v>0</v>
      </c>
    </row>
    <row r="2521" spans="1:6" x14ac:dyDescent="0.25">
      <c r="A2521" s="5" t="s">
        <v>41</v>
      </c>
      <c r="B2521" s="19">
        <v>43997</v>
      </c>
      <c r="C2521" s="4">
        <v>0</v>
      </c>
      <c r="D2521" s="21">
        <v>57</v>
      </c>
      <c r="F2521" s="57">
        <f>E2521+F2497</f>
        <v>4</v>
      </c>
    </row>
    <row r="2522" spans="1:6" x14ac:dyDescent="0.25">
      <c r="A2522" s="42" t="s">
        <v>17</v>
      </c>
      <c r="B2522" s="19">
        <v>43998</v>
      </c>
      <c r="C2522" s="4">
        <v>798</v>
      </c>
      <c r="D2522" s="21">
        <v>14544</v>
      </c>
      <c r="E2522" s="4">
        <v>7</v>
      </c>
      <c r="F2522" s="57">
        <f>E2522+F2498</f>
        <v>385</v>
      </c>
    </row>
    <row r="2523" spans="1:6" x14ac:dyDescent="0.25">
      <c r="A2523" s="5" t="s">
        <v>29</v>
      </c>
      <c r="B2523" s="19">
        <v>43998</v>
      </c>
      <c r="C2523" s="4">
        <v>0</v>
      </c>
      <c r="D2523" s="21">
        <v>0</v>
      </c>
      <c r="F2523" s="57">
        <f t="shared" ref="F2523:F2529" si="151">E2523+F2499</f>
        <v>0</v>
      </c>
    </row>
    <row r="2524" spans="1:6" x14ac:dyDescent="0.25">
      <c r="A2524" s="5" t="s">
        <v>16</v>
      </c>
      <c r="B2524" s="19">
        <v>43998</v>
      </c>
      <c r="C2524" s="4">
        <v>23</v>
      </c>
      <c r="D2524" s="21">
        <v>1387</v>
      </c>
      <c r="E2524" s="4">
        <v>5</v>
      </c>
      <c r="F2524" s="57">
        <f t="shared" si="151"/>
        <v>76</v>
      </c>
    </row>
    <row r="2525" spans="1:6" x14ac:dyDescent="0.25">
      <c r="A2525" s="5" t="s">
        <v>30</v>
      </c>
      <c r="B2525" s="19">
        <v>43998</v>
      </c>
      <c r="C2525" s="4">
        <v>1</v>
      </c>
      <c r="D2525" s="21">
        <v>64</v>
      </c>
      <c r="F2525" s="57">
        <f t="shared" si="151"/>
        <v>2</v>
      </c>
    </row>
    <row r="2526" spans="1:6" x14ac:dyDescent="0.25">
      <c r="A2526" s="5" t="s">
        <v>44</v>
      </c>
      <c r="B2526" s="19">
        <v>43998</v>
      </c>
      <c r="C2526" s="4">
        <v>488</v>
      </c>
      <c r="D2526" s="21">
        <v>15765</v>
      </c>
      <c r="E2526" s="4">
        <v>10</v>
      </c>
      <c r="F2526" s="57">
        <f>E2526+F2502</f>
        <v>313</v>
      </c>
    </row>
    <row r="2527" spans="1:6" x14ac:dyDescent="0.25">
      <c r="A2527" s="5" t="s">
        <v>21</v>
      </c>
      <c r="B2527" s="19">
        <v>43998</v>
      </c>
      <c r="C2527" s="4">
        <v>1</v>
      </c>
      <c r="D2527" s="21">
        <v>501</v>
      </c>
      <c r="F2527" s="57">
        <f t="shared" si="151"/>
        <v>33</v>
      </c>
    </row>
    <row r="2528" spans="1:6" x14ac:dyDescent="0.25">
      <c r="A2528" s="5" t="s">
        <v>31</v>
      </c>
      <c r="B2528" s="19">
        <v>43998</v>
      </c>
      <c r="C2528" s="4">
        <v>1</v>
      </c>
      <c r="D2528" s="21">
        <v>105</v>
      </c>
      <c r="F2528" s="57">
        <f t="shared" si="151"/>
        <v>0</v>
      </c>
    </row>
    <row r="2529" spans="1:6" x14ac:dyDescent="0.25">
      <c r="A2529" s="5" t="s">
        <v>32</v>
      </c>
      <c r="B2529" s="19">
        <v>43998</v>
      </c>
      <c r="C2529" s="4">
        <v>12</v>
      </c>
      <c r="D2529" s="21">
        <v>100</v>
      </c>
      <c r="F2529" s="57">
        <f t="shared" si="151"/>
        <v>0</v>
      </c>
    </row>
    <row r="2530" spans="1:6" x14ac:dyDescent="0.25">
      <c r="A2530" s="5" t="s">
        <v>42</v>
      </c>
      <c r="B2530" s="19">
        <v>43998</v>
      </c>
      <c r="C2530" s="4">
        <v>0</v>
      </c>
      <c r="D2530" s="21">
        <v>33</v>
      </c>
      <c r="F2530" s="57">
        <f t="shared" ref="F2530:F2544" si="152">E2530+F2505</f>
        <v>0</v>
      </c>
    </row>
    <row r="2531" spans="1:6" x14ac:dyDescent="0.25">
      <c r="A2531" s="5" t="s">
        <v>33</v>
      </c>
      <c r="B2531" s="19">
        <v>43998</v>
      </c>
      <c r="C2531" s="4">
        <v>0</v>
      </c>
      <c r="D2531" s="21">
        <v>8</v>
      </c>
      <c r="F2531" s="57">
        <f t="shared" si="152"/>
        <v>0</v>
      </c>
    </row>
    <row r="2532" spans="1:6" x14ac:dyDescent="0.25">
      <c r="A2532" s="5" t="s">
        <v>34</v>
      </c>
      <c r="B2532" s="19">
        <v>43998</v>
      </c>
      <c r="C2532" s="4">
        <v>0</v>
      </c>
      <c r="D2532" s="21">
        <v>6</v>
      </c>
      <c r="F2532" s="57">
        <f t="shared" si="152"/>
        <v>0</v>
      </c>
    </row>
    <row r="2533" spans="1:6" x14ac:dyDescent="0.25">
      <c r="A2533" s="5" t="s">
        <v>22</v>
      </c>
      <c r="B2533" s="19">
        <v>43998</v>
      </c>
      <c r="C2533" s="4">
        <v>0</v>
      </c>
      <c r="D2533" s="21">
        <v>64</v>
      </c>
      <c r="F2533" s="57">
        <f t="shared" si="152"/>
        <v>0</v>
      </c>
    </row>
    <row r="2534" spans="1:6" x14ac:dyDescent="0.25">
      <c r="A2534" s="5" t="s">
        <v>18</v>
      </c>
      <c r="B2534" s="19">
        <v>43998</v>
      </c>
      <c r="C2534" s="4">
        <v>3</v>
      </c>
      <c r="D2534" s="21">
        <v>116</v>
      </c>
      <c r="F2534" s="57">
        <f t="shared" si="152"/>
        <v>1</v>
      </c>
    </row>
    <row r="2535" spans="1:6" x14ac:dyDescent="0.25">
      <c r="A2535" s="5" t="s">
        <v>24</v>
      </c>
      <c r="B2535" s="19">
        <v>43998</v>
      </c>
      <c r="C2535" s="4">
        <v>0</v>
      </c>
      <c r="D2535" s="21">
        <v>40</v>
      </c>
      <c r="F2535" s="57">
        <f t="shared" si="152"/>
        <v>0</v>
      </c>
    </row>
    <row r="2536" spans="1:6" x14ac:dyDescent="0.25">
      <c r="A2536" s="5" t="s">
        <v>20</v>
      </c>
      <c r="B2536" s="19">
        <v>43998</v>
      </c>
      <c r="C2536" s="4">
        <v>28</v>
      </c>
      <c r="D2536" s="21">
        <v>240</v>
      </c>
      <c r="E2536" s="4">
        <v>1</v>
      </c>
      <c r="F2536" s="57">
        <f t="shared" si="152"/>
        <v>1</v>
      </c>
    </row>
    <row r="2537" spans="1:6" x14ac:dyDescent="0.25">
      <c r="A2537" s="5" t="s">
        <v>19</v>
      </c>
      <c r="B2537" s="19">
        <v>43998</v>
      </c>
      <c r="C2537" s="4">
        <v>17</v>
      </c>
      <c r="D2537" s="21">
        <v>581</v>
      </c>
      <c r="F2537" s="57">
        <f t="shared" si="152"/>
        <v>0</v>
      </c>
    </row>
    <row r="2538" spans="1:6" x14ac:dyDescent="0.25">
      <c r="A2538" s="5" t="s">
        <v>35</v>
      </c>
      <c r="B2538" s="19">
        <v>43998</v>
      </c>
      <c r="C2538" s="4">
        <v>-1</v>
      </c>
      <c r="D2538" s="21">
        <v>20</v>
      </c>
      <c r="F2538" s="57">
        <f t="shared" si="152"/>
        <v>1</v>
      </c>
    </row>
    <row r="2539" spans="1:6" x14ac:dyDescent="0.25">
      <c r="A2539" s="5" t="s">
        <v>36</v>
      </c>
      <c r="B2539" s="19">
        <v>43998</v>
      </c>
      <c r="C2539" s="4">
        <v>0</v>
      </c>
      <c r="D2539" s="21">
        <v>7</v>
      </c>
      <c r="F2539" s="57">
        <f>E2539+F2515</f>
        <v>0</v>
      </c>
    </row>
    <row r="2540" spans="1:6" x14ac:dyDescent="0.25">
      <c r="A2540" s="5" t="s">
        <v>37</v>
      </c>
      <c r="B2540" s="19">
        <v>43998</v>
      </c>
      <c r="C2540" s="4">
        <v>0</v>
      </c>
      <c r="D2540" s="21">
        <v>11</v>
      </c>
      <c r="F2540" s="57">
        <f t="shared" si="152"/>
        <v>0</v>
      </c>
    </row>
    <row r="2541" spans="1:6" x14ac:dyDescent="0.25">
      <c r="A2541" s="5" t="s">
        <v>38</v>
      </c>
      <c r="B2541" s="19">
        <v>43998</v>
      </c>
      <c r="C2541" s="4">
        <v>0</v>
      </c>
      <c r="D2541" s="21">
        <v>51</v>
      </c>
      <c r="F2541" s="57">
        <f t="shared" si="152"/>
        <v>0</v>
      </c>
    </row>
    <row r="2542" spans="1:6" x14ac:dyDescent="0.25">
      <c r="A2542" s="5" t="s">
        <v>23</v>
      </c>
      <c r="B2542" s="19">
        <v>43998</v>
      </c>
      <c r="C2542" s="4">
        <v>3</v>
      </c>
      <c r="D2542" s="21">
        <v>288</v>
      </c>
      <c r="E2542" s="4">
        <v>1</v>
      </c>
      <c r="F2542" s="57">
        <f>E2542+F2518</f>
        <v>4</v>
      </c>
    </row>
    <row r="2543" spans="1:6" x14ac:dyDescent="0.25">
      <c r="A2543" s="5" t="s">
        <v>39</v>
      </c>
      <c r="B2543" s="19">
        <v>43998</v>
      </c>
      <c r="C2543" s="4">
        <v>0</v>
      </c>
      <c r="D2543" s="21">
        <v>22</v>
      </c>
      <c r="F2543" s="57">
        <f>E2543+F2519</f>
        <v>0</v>
      </c>
    </row>
    <row r="2544" spans="1:6" x14ac:dyDescent="0.25">
      <c r="A2544" s="5" t="s">
        <v>40</v>
      </c>
      <c r="B2544" s="19">
        <v>43998</v>
      </c>
      <c r="C2544" s="4">
        <v>0</v>
      </c>
      <c r="D2544" s="21">
        <v>149</v>
      </c>
      <c r="F2544" s="57">
        <f t="shared" si="152"/>
        <v>0</v>
      </c>
    </row>
    <row r="2545" spans="1:6" x14ac:dyDescent="0.25">
      <c r="A2545" s="5" t="s">
        <v>41</v>
      </c>
      <c r="B2545" s="19">
        <v>43998</v>
      </c>
      <c r="C2545" s="4">
        <v>0</v>
      </c>
      <c r="D2545" s="21">
        <v>57</v>
      </c>
      <c r="F2545" s="57">
        <f>E2545+F2521</f>
        <v>4</v>
      </c>
    </row>
    <row r="2546" spans="1:6" x14ac:dyDescent="0.25">
      <c r="A2546" s="42" t="s">
        <v>17</v>
      </c>
      <c r="B2546" s="19">
        <v>43999</v>
      </c>
      <c r="C2546" s="4">
        <v>799</v>
      </c>
      <c r="D2546" s="21">
        <v>15343</v>
      </c>
      <c r="E2546" s="4">
        <v>12</v>
      </c>
      <c r="F2546" s="57">
        <f>E2546+F2522</f>
        <v>397</v>
      </c>
    </row>
    <row r="2547" spans="1:6" x14ac:dyDescent="0.25">
      <c r="A2547" s="5" t="s">
        <v>29</v>
      </c>
      <c r="B2547" s="19">
        <v>43999</v>
      </c>
      <c r="C2547" s="4">
        <v>0</v>
      </c>
      <c r="D2547" s="21">
        <v>0</v>
      </c>
      <c r="F2547" s="57">
        <f t="shared" ref="F2547:F2553" si="153">E2547+F2523</f>
        <v>0</v>
      </c>
    </row>
    <row r="2548" spans="1:6" x14ac:dyDescent="0.25">
      <c r="A2548" s="5" t="s">
        <v>16</v>
      </c>
      <c r="B2548" s="19">
        <v>43999</v>
      </c>
      <c r="C2548" s="4">
        <v>20</v>
      </c>
      <c r="D2548" s="21">
        <v>1407</v>
      </c>
      <c r="F2548" s="57">
        <f t="shared" si="153"/>
        <v>76</v>
      </c>
    </row>
    <row r="2549" spans="1:6" x14ac:dyDescent="0.25">
      <c r="A2549" s="5" t="s">
        <v>30</v>
      </c>
      <c r="B2549" s="19">
        <v>43999</v>
      </c>
      <c r="C2549" s="4">
        <v>8</v>
      </c>
      <c r="D2549" s="21">
        <v>72</v>
      </c>
      <c r="F2549" s="57">
        <f t="shared" si="153"/>
        <v>2</v>
      </c>
    </row>
    <row r="2550" spans="1:6" x14ac:dyDescent="0.25">
      <c r="A2550" s="5" t="s">
        <v>44</v>
      </c>
      <c r="B2550" s="19">
        <v>43999</v>
      </c>
      <c r="C2550" s="4">
        <v>522</v>
      </c>
      <c r="D2550" s="21">
        <v>16287</v>
      </c>
      <c r="E2550" s="4">
        <v>23</v>
      </c>
      <c r="F2550" s="57">
        <f t="shared" si="153"/>
        <v>336</v>
      </c>
    </row>
    <row r="2551" spans="1:6" x14ac:dyDescent="0.25">
      <c r="A2551" s="5" t="s">
        <v>21</v>
      </c>
      <c r="B2551" s="19">
        <v>43999</v>
      </c>
      <c r="C2551" s="4">
        <v>6</v>
      </c>
      <c r="D2551" s="21">
        <v>507</v>
      </c>
      <c r="F2551" s="57">
        <f t="shared" si="153"/>
        <v>33</v>
      </c>
    </row>
    <row r="2552" spans="1:6" x14ac:dyDescent="0.25">
      <c r="A2552" s="5" t="s">
        <v>31</v>
      </c>
      <c r="B2552" s="19">
        <v>43999</v>
      </c>
      <c r="C2552" s="4">
        <v>2</v>
      </c>
      <c r="D2552" s="21">
        <v>107</v>
      </c>
      <c r="F2552" s="57">
        <f t="shared" si="153"/>
        <v>0</v>
      </c>
    </row>
    <row r="2553" spans="1:6" x14ac:dyDescent="0.25">
      <c r="A2553" s="5" t="s">
        <v>32</v>
      </c>
      <c r="B2553" s="19">
        <v>43999</v>
      </c>
      <c r="C2553" s="4">
        <v>5</v>
      </c>
      <c r="D2553" s="21">
        <v>105</v>
      </c>
      <c r="F2553" s="57">
        <f t="shared" si="153"/>
        <v>0</v>
      </c>
    </row>
    <row r="2554" spans="1:6" x14ac:dyDescent="0.25">
      <c r="A2554" s="5" t="s">
        <v>42</v>
      </c>
      <c r="B2554" s="19">
        <v>43999</v>
      </c>
      <c r="C2554" s="4">
        <v>0</v>
      </c>
      <c r="D2554" s="21">
        <v>33</v>
      </c>
      <c r="F2554" s="57">
        <f t="shared" ref="F2554:F2568" si="154">E2554+F2529</f>
        <v>0</v>
      </c>
    </row>
    <row r="2555" spans="1:6" x14ac:dyDescent="0.25">
      <c r="A2555" s="5" t="s">
        <v>33</v>
      </c>
      <c r="B2555" s="19">
        <v>43999</v>
      </c>
      <c r="C2555" s="4">
        <v>1</v>
      </c>
      <c r="D2555" s="21">
        <v>9</v>
      </c>
      <c r="F2555" s="57">
        <f t="shared" si="154"/>
        <v>0</v>
      </c>
    </row>
    <row r="2556" spans="1:6" x14ac:dyDescent="0.25">
      <c r="A2556" s="5" t="s">
        <v>34</v>
      </c>
      <c r="B2556" s="19">
        <v>43999</v>
      </c>
      <c r="C2556" s="4">
        <v>0</v>
      </c>
      <c r="D2556" s="21">
        <v>6</v>
      </c>
      <c r="F2556" s="57">
        <f t="shared" si="154"/>
        <v>0</v>
      </c>
    </row>
    <row r="2557" spans="1:6" x14ac:dyDescent="0.25">
      <c r="A2557" s="5" t="s">
        <v>22</v>
      </c>
      <c r="B2557" s="19">
        <v>43999</v>
      </c>
      <c r="C2557" s="4">
        <v>0</v>
      </c>
      <c r="D2557" s="21">
        <v>64</v>
      </c>
      <c r="F2557" s="57">
        <f t="shared" si="154"/>
        <v>0</v>
      </c>
    </row>
    <row r="2558" spans="1:6" x14ac:dyDescent="0.25">
      <c r="A2558" s="5" t="s">
        <v>18</v>
      </c>
      <c r="B2558" s="19">
        <v>43999</v>
      </c>
      <c r="C2558" s="4">
        <v>1</v>
      </c>
      <c r="D2558" s="21">
        <v>117</v>
      </c>
      <c r="F2558" s="57">
        <f t="shared" si="154"/>
        <v>0</v>
      </c>
    </row>
    <row r="2559" spans="1:6" x14ac:dyDescent="0.25">
      <c r="A2559" s="5" t="s">
        <v>24</v>
      </c>
      <c r="B2559" s="19">
        <v>43999</v>
      </c>
      <c r="C2559" s="4">
        <v>0</v>
      </c>
      <c r="D2559" s="21">
        <v>40</v>
      </c>
      <c r="F2559" s="57">
        <f t="shared" si="154"/>
        <v>1</v>
      </c>
    </row>
    <row r="2560" spans="1:6" x14ac:dyDescent="0.25">
      <c r="A2560" s="5" t="s">
        <v>20</v>
      </c>
      <c r="B2560" s="19">
        <v>43999</v>
      </c>
      <c r="C2560" s="4">
        <v>11</v>
      </c>
      <c r="D2560" s="21">
        <v>251</v>
      </c>
      <c r="F2560" s="57">
        <f t="shared" si="154"/>
        <v>0</v>
      </c>
    </row>
    <row r="2561" spans="1:6" x14ac:dyDescent="0.25">
      <c r="A2561" s="5" t="s">
        <v>19</v>
      </c>
      <c r="B2561" s="19">
        <v>43999</v>
      </c>
      <c r="C2561" s="4">
        <v>14</v>
      </c>
      <c r="D2561" s="21">
        <v>595</v>
      </c>
      <c r="F2561" s="57">
        <f t="shared" si="154"/>
        <v>1</v>
      </c>
    </row>
    <row r="2562" spans="1:6" x14ac:dyDescent="0.25">
      <c r="A2562" s="5" t="s">
        <v>35</v>
      </c>
      <c r="B2562" s="19">
        <v>43999</v>
      </c>
      <c r="C2562" s="4">
        <v>1</v>
      </c>
      <c r="D2562" s="21">
        <v>21</v>
      </c>
      <c r="F2562" s="57">
        <f t="shared" si="154"/>
        <v>0</v>
      </c>
    </row>
    <row r="2563" spans="1:6" x14ac:dyDescent="0.25">
      <c r="A2563" s="5" t="s">
        <v>36</v>
      </c>
      <c r="B2563" s="19">
        <v>43999</v>
      </c>
      <c r="C2563" s="4">
        <v>0</v>
      </c>
      <c r="D2563" s="21">
        <v>7</v>
      </c>
      <c r="F2563" s="57">
        <f>E2563+F2539</f>
        <v>0</v>
      </c>
    </row>
    <row r="2564" spans="1:6" x14ac:dyDescent="0.25">
      <c r="A2564" s="5" t="s">
        <v>37</v>
      </c>
      <c r="B2564" s="19">
        <v>43999</v>
      </c>
      <c r="C2564" s="4">
        <v>0</v>
      </c>
      <c r="D2564" s="21">
        <v>11</v>
      </c>
      <c r="F2564" s="57">
        <f t="shared" si="154"/>
        <v>0</v>
      </c>
    </row>
    <row r="2565" spans="1:6" x14ac:dyDescent="0.25">
      <c r="A2565" s="5" t="s">
        <v>38</v>
      </c>
      <c r="B2565" s="19">
        <v>43999</v>
      </c>
      <c r="C2565" s="4">
        <v>0</v>
      </c>
      <c r="D2565" s="21">
        <v>51</v>
      </c>
      <c r="F2565" s="57">
        <f t="shared" si="154"/>
        <v>0</v>
      </c>
    </row>
    <row r="2566" spans="1:6" x14ac:dyDescent="0.25">
      <c r="A2566" s="5" t="s">
        <v>23</v>
      </c>
      <c r="B2566" s="19">
        <v>43999</v>
      </c>
      <c r="C2566" s="4">
        <v>2</v>
      </c>
      <c r="D2566" s="21">
        <v>290</v>
      </c>
      <c r="F2566" s="57">
        <f>E2566+F2542</f>
        <v>4</v>
      </c>
    </row>
    <row r="2567" spans="1:6" x14ac:dyDescent="0.25">
      <c r="A2567" s="5" t="s">
        <v>39</v>
      </c>
      <c r="B2567" s="19">
        <v>43999</v>
      </c>
      <c r="C2567" s="4">
        <v>0</v>
      </c>
      <c r="D2567" s="21">
        <v>22</v>
      </c>
      <c r="F2567" s="57">
        <f>E2567+F2543</f>
        <v>0</v>
      </c>
    </row>
    <row r="2568" spans="1:6" x14ac:dyDescent="0.25">
      <c r="A2568" s="5" t="s">
        <v>40</v>
      </c>
      <c r="B2568" s="19">
        <v>43999</v>
      </c>
      <c r="C2568" s="4">
        <v>0</v>
      </c>
      <c r="D2568" s="21">
        <v>149</v>
      </c>
      <c r="F2568" s="57">
        <f t="shared" si="154"/>
        <v>0</v>
      </c>
    </row>
    <row r="2569" spans="1:6" x14ac:dyDescent="0.25">
      <c r="A2569" s="5" t="s">
        <v>41</v>
      </c>
      <c r="B2569" s="19">
        <v>43999</v>
      </c>
      <c r="C2569" s="4">
        <v>1</v>
      </c>
      <c r="D2569" s="21">
        <v>58</v>
      </c>
      <c r="F2569" s="57">
        <f>E2569+F2545</f>
        <v>4</v>
      </c>
    </row>
    <row r="2570" spans="1:6" x14ac:dyDescent="0.25">
      <c r="A2570" s="42" t="s">
        <v>17</v>
      </c>
      <c r="B2570" s="19">
        <v>44000</v>
      </c>
      <c r="C2570" s="4">
        <v>1106</v>
      </c>
      <c r="D2570" s="21">
        <v>16449</v>
      </c>
      <c r="E2570" s="4">
        <v>13</v>
      </c>
      <c r="F2570" s="57">
        <f>E2570+F2546</f>
        <v>410</v>
      </c>
    </row>
    <row r="2571" spans="1:6" x14ac:dyDescent="0.25">
      <c r="A2571" s="5" t="s">
        <v>29</v>
      </c>
      <c r="B2571" s="19">
        <v>44000</v>
      </c>
      <c r="C2571" s="4">
        <v>0</v>
      </c>
      <c r="D2571" s="21">
        <v>0</v>
      </c>
      <c r="F2571" s="57">
        <f t="shared" ref="F2571:F2577" si="155">E2571+F2547</f>
        <v>0</v>
      </c>
    </row>
    <row r="2572" spans="1:6" x14ac:dyDescent="0.25">
      <c r="A2572" s="5" t="s">
        <v>16</v>
      </c>
      <c r="B2572" s="19">
        <v>44000</v>
      </c>
      <c r="C2572" s="4">
        <v>68</v>
      </c>
      <c r="D2572" s="21">
        <v>1475</v>
      </c>
      <c r="E2572" s="4">
        <v>2</v>
      </c>
      <c r="F2572" s="57">
        <f t="shared" si="155"/>
        <v>78</v>
      </c>
    </row>
    <row r="2573" spans="1:6" x14ac:dyDescent="0.25">
      <c r="A2573" s="5" t="s">
        <v>30</v>
      </c>
      <c r="B2573" s="19">
        <v>44000</v>
      </c>
      <c r="C2573" s="4">
        <v>10</v>
      </c>
      <c r="D2573" s="21">
        <v>82</v>
      </c>
      <c r="F2573" s="57">
        <f t="shared" si="155"/>
        <v>2</v>
      </c>
    </row>
    <row r="2574" spans="1:6" x14ac:dyDescent="0.25">
      <c r="A2574" s="5" t="s">
        <v>44</v>
      </c>
      <c r="B2574" s="19">
        <v>44000</v>
      </c>
      <c r="C2574" s="4">
        <v>692</v>
      </c>
      <c r="D2574" s="21">
        <v>16979</v>
      </c>
      <c r="E2574" s="4">
        <v>15</v>
      </c>
      <c r="F2574" s="57">
        <f t="shared" si="155"/>
        <v>351</v>
      </c>
    </row>
    <row r="2575" spans="1:6" x14ac:dyDescent="0.25">
      <c r="A2575" s="5" t="s">
        <v>21</v>
      </c>
      <c r="B2575" s="19">
        <v>44000</v>
      </c>
      <c r="C2575" s="4">
        <v>9</v>
      </c>
      <c r="D2575" s="21">
        <v>516</v>
      </c>
      <c r="F2575" s="57">
        <f t="shared" si="155"/>
        <v>33</v>
      </c>
    </row>
    <row r="2576" spans="1:6" x14ac:dyDescent="0.25">
      <c r="A2576" s="5" t="s">
        <v>31</v>
      </c>
      <c r="B2576" s="19">
        <v>44000</v>
      </c>
      <c r="C2576" s="4">
        <v>1</v>
      </c>
      <c r="D2576" s="21">
        <v>108</v>
      </c>
      <c r="F2576" s="57">
        <f t="shared" si="155"/>
        <v>0</v>
      </c>
    </row>
    <row r="2577" spans="1:6" x14ac:dyDescent="0.25">
      <c r="A2577" s="5" t="s">
        <v>32</v>
      </c>
      <c r="B2577" s="19">
        <v>44000</v>
      </c>
      <c r="C2577" s="4">
        <v>6</v>
      </c>
      <c r="D2577" s="21">
        <v>111</v>
      </c>
      <c r="F2577" s="57">
        <f t="shared" si="155"/>
        <v>0</v>
      </c>
    </row>
    <row r="2578" spans="1:6" x14ac:dyDescent="0.25">
      <c r="A2578" s="5" t="s">
        <v>42</v>
      </c>
      <c r="B2578" s="19">
        <v>44000</v>
      </c>
      <c r="C2578" s="4">
        <v>4</v>
      </c>
      <c r="D2578" s="21">
        <v>37</v>
      </c>
      <c r="F2578" s="57">
        <f t="shared" ref="F2578:F2592" si="156">E2578+F2553</f>
        <v>0</v>
      </c>
    </row>
    <row r="2579" spans="1:6" x14ac:dyDescent="0.25">
      <c r="A2579" s="5" t="s">
        <v>33</v>
      </c>
      <c r="B2579" s="19">
        <v>44000</v>
      </c>
      <c r="C2579" s="4">
        <v>3</v>
      </c>
      <c r="D2579" s="21">
        <v>12</v>
      </c>
      <c r="F2579" s="57">
        <f t="shared" si="156"/>
        <v>0</v>
      </c>
    </row>
    <row r="2580" spans="1:6" x14ac:dyDescent="0.25">
      <c r="A2580" s="5" t="s">
        <v>34</v>
      </c>
      <c r="B2580" s="19">
        <v>44000</v>
      </c>
      <c r="C2580" s="4">
        <v>0</v>
      </c>
      <c r="D2580" s="21">
        <v>6</v>
      </c>
      <c r="F2580" s="57">
        <f t="shared" si="156"/>
        <v>0</v>
      </c>
    </row>
    <row r="2581" spans="1:6" x14ac:dyDescent="0.25">
      <c r="A2581" s="5" t="s">
        <v>22</v>
      </c>
      <c r="B2581" s="19">
        <v>44000</v>
      </c>
      <c r="C2581" s="4">
        <v>0</v>
      </c>
      <c r="D2581" s="21">
        <v>64</v>
      </c>
      <c r="F2581" s="57">
        <f t="shared" si="156"/>
        <v>0</v>
      </c>
    </row>
    <row r="2582" spans="1:6" x14ac:dyDescent="0.25">
      <c r="A2582" s="5" t="s">
        <v>18</v>
      </c>
      <c r="B2582" s="19">
        <v>44000</v>
      </c>
      <c r="C2582" s="4">
        <v>3</v>
      </c>
      <c r="D2582" s="21">
        <v>120</v>
      </c>
      <c r="F2582" s="57">
        <f t="shared" si="156"/>
        <v>0</v>
      </c>
    </row>
    <row r="2583" spans="1:6" x14ac:dyDescent="0.25">
      <c r="A2583" s="5" t="s">
        <v>24</v>
      </c>
      <c r="B2583" s="19">
        <v>44000</v>
      </c>
      <c r="C2583" s="4">
        <v>1</v>
      </c>
      <c r="D2583" s="21">
        <v>41</v>
      </c>
      <c r="F2583" s="57">
        <f t="shared" si="156"/>
        <v>0</v>
      </c>
    </row>
    <row r="2584" spans="1:6" x14ac:dyDescent="0.25">
      <c r="A2584" s="5" t="s">
        <v>20</v>
      </c>
      <c r="B2584" s="19">
        <v>44000</v>
      </c>
      <c r="C2584" s="4">
        <v>16</v>
      </c>
      <c r="D2584" s="21">
        <v>267</v>
      </c>
      <c r="E2584" s="4">
        <v>1</v>
      </c>
      <c r="F2584" s="57">
        <f t="shared" si="156"/>
        <v>2</v>
      </c>
    </row>
    <row r="2585" spans="1:6" x14ac:dyDescent="0.25">
      <c r="A2585" s="5" t="s">
        <v>19</v>
      </c>
      <c r="B2585" s="19">
        <v>44000</v>
      </c>
      <c r="C2585" s="4">
        <v>27</v>
      </c>
      <c r="D2585" s="21">
        <v>622</v>
      </c>
      <c r="E2585" s="4">
        <v>3</v>
      </c>
      <c r="F2585" s="57">
        <f t="shared" si="156"/>
        <v>3</v>
      </c>
    </row>
    <row r="2586" spans="1:6" x14ac:dyDescent="0.25">
      <c r="A2586" s="5" t="s">
        <v>35</v>
      </c>
      <c r="B2586" s="19">
        <v>44000</v>
      </c>
      <c r="C2586" s="4">
        <v>0</v>
      </c>
      <c r="D2586" s="21">
        <v>21</v>
      </c>
      <c r="F2586" s="57">
        <f t="shared" si="156"/>
        <v>1</v>
      </c>
    </row>
    <row r="2587" spans="1:6" x14ac:dyDescent="0.25">
      <c r="A2587" s="5" t="s">
        <v>36</v>
      </c>
      <c r="B2587" s="19">
        <v>44000</v>
      </c>
      <c r="C2587" s="4">
        <v>0</v>
      </c>
      <c r="D2587" s="21">
        <v>7</v>
      </c>
      <c r="F2587" s="57">
        <f>E2587+F2563</f>
        <v>0</v>
      </c>
    </row>
    <row r="2588" spans="1:6" x14ac:dyDescent="0.25">
      <c r="A2588" s="5" t="s">
        <v>37</v>
      </c>
      <c r="B2588" s="19">
        <v>44000</v>
      </c>
      <c r="C2588" s="4">
        <v>0</v>
      </c>
      <c r="D2588" s="21">
        <v>11</v>
      </c>
      <c r="F2588" s="57">
        <f t="shared" si="156"/>
        <v>0</v>
      </c>
    </row>
    <row r="2589" spans="1:6" x14ac:dyDescent="0.25">
      <c r="A2589" s="5" t="s">
        <v>38</v>
      </c>
      <c r="B2589" s="19">
        <v>44000</v>
      </c>
      <c r="C2589" s="4">
        <v>0</v>
      </c>
      <c r="D2589" s="21">
        <v>51</v>
      </c>
      <c r="F2589" s="57">
        <f t="shared" si="156"/>
        <v>0</v>
      </c>
    </row>
    <row r="2590" spans="1:6" x14ac:dyDescent="0.25">
      <c r="A2590" s="5" t="s">
        <v>23</v>
      </c>
      <c r="B2590" s="19">
        <v>44000</v>
      </c>
      <c r="C2590" s="4">
        <v>11</v>
      </c>
      <c r="D2590" s="21">
        <v>301</v>
      </c>
      <c r="F2590" s="57">
        <f>E2590+F2566</f>
        <v>4</v>
      </c>
    </row>
    <row r="2591" spans="1:6" x14ac:dyDescent="0.25">
      <c r="A2591" s="5" t="s">
        <v>39</v>
      </c>
      <c r="B2591" s="19">
        <v>44000</v>
      </c>
      <c r="C2591" s="4">
        <v>0</v>
      </c>
      <c r="D2591" s="21">
        <v>22</v>
      </c>
      <c r="F2591" s="57">
        <f>E2591+F2567</f>
        <v>0</v>
      </c>
    </row>
    <row r="2592" spans="1:6" x14ac:dyDescent="0.25">
      <c r="A2592" s="5" t="s">
        <v>40</v>
      </c>
      <c r="B2592" s="19">
        <v>44000</v>
      </c>
      <c r="C2592" s="4">
        <v>0</v>
      </c>
      <c r="D2592" s="21">
        <v>149</v>
      </c>
      <c r="F2592" s="57">
        <f t="shared" si="156"/>
        <v>0</v>
      </c>
    </row>
    <row r="2593" spans="1:6" x14ac:dyDescent="0.25">
      <c r="A2593" s="5" t="s">
        <v>41</v>
      </c>
      <c r="B2593" s="19">
        <v>44000</v>
      </c>
      <c r="C2593" s="4">
        <v>1</v>
      </c>
      <c r="D2593" s="21">
        <v>59</v>
      </c>
      <c r="F2593" s="57">
        <f>E2593+F2569</f>
        <v>4</v>
      </c>
    </row>
    <row r="2594" spans="1:6" x14ac:dyDescent="0.25">
      <c r="A2594" s="42" t="s">
        <v>17</v>
      </c>
      <c r="B2594" s="19">
        <v>44001</v>
      </c>
      <c r="C2594" s="4">
        <v>1119</v>
      </c>
      <c r="D2594" s="21">
        <v>17568</v>
      </c>
      <c r="E2594" s="4">
        <v>16</v>
      </c>
      <c r="F2594" s="57">
        <f>E2594+F2570</f>
        <v>426</v>
      </c>
    </row>
    <row r="2595" spans="1:6" x14ac:dyDescent="0.25">
      <c r="A2595" s="5" t="s">
        <v>29</v>
      </c>
      <c r="B2595" s="19">
        <v>44001</v>
      </c>
      <c r="C2595" s="4">
        <v>0</v>
      </c>
      <c r="D2595" s="21">
        <v>0</v>
      </c>
      <c r="F2595" s="57">
        <f t="shared" ref="F2595:F2601" si="157">E2595+F2571</f>
        <v>0</v>
      </c>
    </row>
    <row r="2596" spans="1:6" x14ac:dyDescent="0.25">
      <c r="A2596" s="5" t="s">
        <v>16</v>
      </c>
      <c r="B2596" s="19">
        <v>44001</v>
      </c>
      <c r="C2596" s="4">
        <v>31</v>
      </c>
      <c r="D2596" s="21">
        <v>1506</v>
      </c>
      <c r="E2596" s="4">
        <v>5</v>
      </c>
      <c r="F2596" s="57">
        <f t="shared" si="157"/>
        <v>83</v>
      </c>
    </row>
    <row r="2597" spans="1:6" x14ac:dyDescent="0.25">
      <c r="A2597" s="5" t="s">
        <v>30</v>
      </c>
      <c r="B2597" s="19">
        <v>44001</v>
      </c>
      <c r="C2597" s="4">
        <v>3</v>
      </c>
      <c r="D2597" s="21">
        <v>85</v>
      </c>
      <c r="F2597" s="57">
        <f t="shared" si="157"/>
        <v>2</v>
      </c>
    </row>
    <row r="2598" spans="1:6" x14ac:dyDescent="0.25">
      <c r="A2598" s="5" t="s">
        <v>44</v>
      </c>
      <c r="B2598" s="19">
        <v>44001</v>
      </c>
      <c r="C2598" s="4">
        <v>804</v>
      </c>
      <c r="D2598" s="21">
        <v>17783</v>
      </c>
      <c r="E2598" s="4">
        <v>11</v>
      </c>
      <c r="F2598" s="57">
        <f t="shared" si="157"/>
        <v>362</v>
      </c>
    </row>
    <row r="2599" spans="1:6" x14ac:dyDescent="0.25">
      <c r="A2599" s="5" t="s">
        <v>21</v>
      </c>
      <c r="B2599" s="19">
        <v>44001</v>
      </c>
      <c r="C2599" s="4">
        <v>19</v>
      </c>
      <c r="D2599" s="21">
        <v>535</v>
      </c>
      <c r="F2599" s="57">
        <f t="shared" si="157"/>
        <v>33</v>
      </c>
    </row>
    <row r="2600" spans="1:6" x14ac:dyDescent="0.25">
      <c r="A2600" s="5" t="s">
        <v>31</v>
      </c>
      <c r="B2600" s="19">
        <v>44001</v>
      </c>
      <c r="C2600" s="4">
        <v>5</v>
      </c>
      <c r="D2600" s="21">
        <v>113</v>
      </c>
      <c r="F2600" s="57">
        <f t="shared" si="157"/>
        <v>0</v>
      </c>
    </row>
    <row r="2601" spans="1:6" x14ac:dyDescent="0.25">
      <c r="A2601" s="5" t="s">
        <v>32</v>
      </c>
      <c r="B2601" s="19">
        <v>44001</v>
      </c>
      <c r="C2601" s="4">
        <v>4</v>
      </c>
      <c r="D2601" s="21">
        <v>115</v>
      </c>
      <c r="F2601" s="57">
        <f t="shared" si="157"/>
        <v>0</v>
      </c>
    </row>
    <row r="2602" spans="1:6" x14ac:dyDescent="0.25">
      <c r="A2602" s="5" t="s">
        <v>42</v>
      </c>
      <c r="B2602" s="19">
        <v>44001</v>
      </c>
      <c r="C2602" s="4">
        <v>0</v>
      </c>
      <c r="D2602" s="21">
        <v>37</v>
      </c>
      <c r="F2602" s="57">
        <f t="shared" ref="F2602:F2616" si="158">E2602+F2577</f>
        <v>0</v>
      </c>
    </row>
    <row r="2603" spans="1:6" x14ac:dyDescent="0.25">
      <c r="A2603" s="5" t="s">
        <v>33</v>
      </c>
      <c r="B2603" s="19">
        <v>44001</v>
      </c>
      <c r="C2603" s="4">
        <v>1</v>
      </c>
      <c r="D2603" s="21">
        <v>13</v>
      </c>
      <c r="F2603" s="57">
        <f t="shared" si="158"/>
        <v>0</v>
      </c>
    </row>
    <row r="2604" spans="1:6" x14ac:dyDescent="0.25">
      <c r="A2604" s="5" t="s">
        <v>34</v>
      </c>
      <c r="B2604" s="19">
        <v>44001</v>
      </c>
      <c r="C2604" s="4">
        <v>0</v>
      </c>
      <c r="D2604" s="21">
        <v>6</v>
      </c>
      <c r="F2604" s="57">
        <f t="shared" si="158"/>
        <v>0</v>
      </c>
    </row>
    <row r="2605" spans="1:6" x14ac:dyDescent="0.25">
      <c r="A2605" s="5" t="s">
        <v>22</v>
      </c>
      <c r="B2605" s="19">
        <v>44001</v>
      </c>
      <c r="C2605" s="4">
        <v>0</v>
      </c>
      <c r="D2605" s="21">
        <v>64</v>
      </c>
      <c r="F2605" s="57">
        <f t="shared" si="158"/>
        <v>0</v>
      </c>
    </row>
    <row r="2606" spans="1:6" x14ac:dyDescent="0.25">
      <c r="A2606" s="5" t="s">
        <v>18</v>
      </c>
      <c r="B2606" s="19">
        <v>44001</v>
      </c>
      <c r="C2606" s="4">
        <v>3</v>
      </c>
      <c r="D2606" s="21">
        <v>123</v>
      </c>
      <c r="F2606" s="57">
        <f t="shared" si="158"/>
        <v>0</v>
      </c>
    </row>
    <row r="2607" spans="1:6" x14ac:dyDescent="0.25">
      <c r="A2607" s="5" t="s">
        <v>24</v>
      </c>
      <c r="B2607" s="19">
        <v>44001</v>
      </c>
      <c r="C2607" s="4">
        <v>-1</v>
      </c>
      <c r="D2607" s="21">
        <v>40</v>
      </c>
      <c r="F2607" s="57">
        <f t="shared" si="158"/>
        <v>0</v>
      </c>
    </row>
    <row r="2608" spans="1:6" x14ac:dyDescent="0.25">
      <c r="A2608" s="5" t="s">
        <v>20</v>
      </c>
      <c r="B2608" s="19">
        <v>44001</v>
      </c>
      <c r="C2608" s="4">
        <v>27</v>
      </c>
      <c r="D2608" s="21">
        <v>294</v>
      </c>
      <c r="F2608" s="57">
        <f t="shared" si="158"/>
        <v>0</v>
      </c>
    </row>
    <row r="2609" spans="1:6" x14ac:dyDescent="0.25">
      <c r="A2609" s="5" t="s">
        <v>19</v>
      </c>
      <c r="B2609" s="19">
        <v>44001</v>
      </c>
      <c r="C2609" s="4">
        <v>34</v>
      </c>
      <c r="D2609" s="21">
        <v>656</v>
      </c>
      <c r="F2609" s="57">
        <f t="shared" si="158"/>
        <v>2</v>
      </c>
    </row>
    <row r="2610" spans="1:6" x14ac:dyDescent="0.25">
      <c r="A2610" s="5" t="s">
        <v>35</v>
      </c>
      <c r="B2610" s="19">
        <v>44001</v>
      </c>
      <c r="C2610" s="4">
        <v>0</v>
      </c>
      <c r="D2610" s="21">
        <v>21</v>
      </c>
      <c r="F2610" s="57">
        <f t="shared" si="158"/>
        <v>3</v>
      </c>
    </row>
    <row r="2611" spans="1:6" x14ac:dyDescent="0.25">
      <c r="A2611" s="5" t="s">
        <v>36</v>
      </c>
      <c r="B2611" s="19">
        <v>44001</v>
      </c>
      <c r="C2611" s="4">
        <v>0</v>
      </c>
      <c r="D2611" s="21">
        <v>7</v>
      </c>
      <c r="F2611" s="57">
        <f>E2611+F2587</f>
        <v>0</v>
      </c>
    </row>
    <row r="2612" spans="1:6" x14ac:dyDescent="0.25">
      <c r="A2612" s="5" t="s">
        <v>37</v>
      </c>
      <c r="B2612" s="19">
        <v>44001</v>
      </c>
      <c r="C2612" s="4">
        <v>0</v>
      </c>
      <c r="D2612" s="21">
        <v>11</v>
      </c>
      <c r="F2612" s="57">
        <f t="shared" si="158"/>
        <v>0</v>
      </c>
    </row>
    <row r="2613" spans="1:6" x14ac:dyDescent="0.25">
      <c r="A2613" s="5" t="s">
        <v>38</v>
      </c>
      <c r="B2613" s="19">
        <v>44001</v>
      </c>
      <c r="C2613" s="4">
        <v>0</v>
      </c>
      <c r="D2613" s="21">
        <v>51</v>
      </c>
      <c r="F2613" s="57">
        <f t="shared" si="158"/>
        <v>0</v>
      </c>
    </row>
    <row r="2614" spans="1:6" x14ac:dyDescent="0.25">
      <c r="A2614" s="5" t="s">
        <v>23</v>
      </c>
      <c r="B2614" s="19">
        <v>44001</v>
      </c>
      <c r="C2614" s="4">
        <v>11</v>
      </c>
      <c r="D2614" s="21">
        <v>312</v>
      </c>
      <c r="F2614" s="57">
        <f>E2614+F2590</f>
        <v>4</v>
      </c>
    </row>
    <row r="2615" spans="1:6" x14ac:dyDescent="0.25">
      <c r="A2615" s="5" t="s">
        <v>39</v>
      </c>
      <c r="B2615" s="19">
        <v>44001</v>
      </c>
      <c r="C2615" s="4">
        <v>0</v>
      </c>
      <c r="D2615" s="21">
        <v>22</v>
      </c>
      <c r="F2615" s="57">
        <f>E2615+F2591</f>
        <v>0</v>
      </c>
    </row>
    <row r="2616" spans="1:6" x14ac:dyDescent="0.25">
      <c r="A2616" s="5" t="s">
        <v>40</v>
      </c>
      <c r="B2616" s="19">
        <v>44001</v>
      </c>
      <c r="C2616" s="4">
        <v>0</v>
      </c>
      <c r="D2616" s="21">
        <v>149</v>
      </c>
      <c r="F2616" s="57">
        <f t="shared" si="158"/>
        <v>0</v>
      </c>
    </row>
    <row r="2617" spans="1:6" x14ac:dyDescent="0.25">
      <c r="A2617" s="5" t="s">
        <v>41</v>
      </c>
      <c r="B2617" s="19">
        <v>44001</v>
      </c>
      <c r="C2617" s="4">
        <v>0</v>
      </c>
      <c r="D2617" s="21">
        <v>59</v>
      </c>
      <c r="F2617" s="57">
        <f>E2617+F2593</f>
        <v>4</v>
      </c>
    </row>
    <row r="2618" spans="1:6" x14ac:dyDescent="0.25">
      <c r="A2618" s="42" t="s">
        <v>17</v>
      </c>
      <c r="B2618" s="19">
        <v>44002</v>
      </c>
      <c r="C2618" s="4">
        <v>1013</v>
      </c>
      <c r="D2618" s="21">
        <v>18581</v>
      </c>
      <c r="E2618" s="4">
        <v>6</v>
      </c>
      <c r="F2618" s="57">
        <f>E2618+F2594</f>
        <v>432</v>
      </c>
    </row>
    <row r="2619" spans="1:6" x14ac:dyDescent="0.25">
      <c r="A2619" s="5" t="s">
        <v>29</v>
      </c>
      <c r="B2619" s="19">
        <v>44002</v>
      </c>
      <c r="C2619" s="4">
        <v>0</v>
      </c>
      <c r="D2619" s="21">
        <v>0</v>
      </c>
      <c r="F2619" s="57">
        <f t="shared" ref="F2619:F2625" si="159">E2619+F2595</f>
        <v>0</v>
      </c>
    </row>
    <row r="2620" spans="1:6" x14ac:dyDescent="0.25">
      <c r="A2620" s="5" t="s">
        <v>16</v>
      </c>
      <c r="B2620" s="19">
        <v>44002</v>
      </c>
      <c r="C2620" s="4">
        <v>24</v>
      </c>
      <c r="D2620" s="21">
        <v>1530</v>
      </c>
      <c r="F2620" s="57">
        <f t="shared" si="159"/>
        <v>83</v>
      </c>
    </row>
    <row r="2621" spans="1:6" x14ac:dyDescent="0.25">
      <c r="A2621" s="5" t="s">
        <v>30</v>
      </c>
      <c r="B2621" s="19">
        <v>44002</v>
      </c>
      <c r="C2621" s="4">
        <v>3</v>
      </c>
      <c r="D2621" s="21">
        <v>88</v>
      </c>
      <c r="F2621" s="57">
        <f t="shared" si="159"/>
        <v>2</v>
      </c>
    </row>
    <row r="2622" spans="1:6" x14ac:dyDescent="0.25">
      <c r="A2622" s="5" t="s">
        <v>44</v>
      </c>
      <c r="B2622" s="19">
        <v>44002</v>
      </c>
      <c r="C2622" s="4">
        <v>512</v>
      </c>
      <c r="D2622" s="21">
        <v>18295</v>
      </c>
      <c r="E2622" s="4">
        <v>7</v>
      </c>
      <c r="F2622" s="57">
        <f t="shared" si="159"/>
        <v>369</v>
      </c>
    </row>
    <row r="2623" spans="1:6" x14ac:dyDescent="0.25">
      <c r="A2623" s="5" t="s">
        <v>21</v>
      </c>
      <c r="B2623" s="19">
        <v>44002</v>
      </c>
      <c r="C2623" s="4">
        <v>20</v>
      </c>
      <c r="D2623" s="21">
        <v>555</v>
      </c>
      <c r="F2623" s="57">
        <f t="shared" si="159"/>
        <v>33</v>
      </c>
    </row>
    <row r="2624" spans="1:6" x14ac:dyDescent="0.25">
      <c r="A2624" s="5" t="s">
        <v>31</v>
      </c>
      <c r="B2624" s="19">
        <v>44002</v>
      </c>
      <c r="C2624" s="4">
        <v>2</v>
      </c>
      <c r="D2624" s="21">
        <v>115</v>
      </c>
      <c r="F2624" s="57">
        <f t="shared" si="159"/>
        <v>0</v>
      </c>
    </row>
    <row r="2625" spans="1:6" x14ac:dyDescent="0.25">
      <c r="A2625" s="5" t="s">
        <v>32</v>
      </c>
      <c r="B2625" s="19">
        <v>44002</v>
      </c>
      <c r="C2625" s="4">
        <v>19</v>
      </c>
      <c r="D2625" s="21">
        <v>134</v>
      </c>
      <c r="F2625" s="57">
        <f t="shared" si="159"/>
        <v>0</v>
      </c>
    </row>
    <row r="2626" spans="1:6" x14ac:dyDescent="0.25">
      <c r="A2626" s="5" t="s">
        <v>42</v>
      </c>
      <c r="B2626" s="19">
        <v>44002</v>
      </c>
      <c r="C2626" s="4">
        <v>2</v>
      </c>
      <c r="D2626" s="21">
        <v>39</v>
      </c>
      <c r="F2626" s="57">
        <f t="shared" ref="F2626:F2640" si="160">E2626+F2601</f>
        <v>0</v>
      </c>
    </row>
    <row r="2627" spans="1:6" x14ac:dyDescent="0.25">
      <c r="A2627" s="5" t="s">
        <v>33</v>
      </c>
      <c r="B2627" s="19">
        <v>44002</v>
      </c>
      <c r="C2627" s="4">
        <v>0</v>
      </c>
      <c r="D2627" s="21">
        <v>13</v>
      </c>
      <c r="F2627" s="57">
        <f t="shared" si="160"/>
        <v>0</v>
      </c>
    </row>
    <row r="2628" spans="1:6" x14ac:dyDescent="0.25">
      <c r="A2628" s="5" t="s">
        <v>34</v>
      </c>
      <c r="B2628" s="19">
        <v>44002</v>
      </c>
      <c r="C2628" s="4">
        <v>0</v>
      </c>
      <c r="D2628" s="21">
        <v>6</v>
      </c>
      <c r="F2628" s="57">
        <f t="shared" si="160"/>
        <v>0</v>
      </c>
    </row>
    <row r="2629" spans="1:6" x14ac:dyDescent="0.25">
      <c r="A2629" s="5" t="s">
        <v>22</v>
      </c>
      <c r="B2629" s="19">
        <v>44002</v>
      </c>
      <c r="C2629" s="4">
        <v>0</v>
      </c>
      <c r="D2629" s="21">
        <v>64</v>
      </c>
      <c r="F2629" s="57">
        <f t="shared" si="160"/>
        <v>0</v>
      </c>
    </row>
    <row r="2630" spans="1:6" x14ac:dyDescent="0.25">
      <c r="A2630" s="5" t="s">
        <v>18</v>
      </c>
      <c r="B2630" s="19">
        <v>44002</v>
      </c>
      <c r="C2630" s="4">
        <v>0</v>
      </c>
      <c r="D2630" s="21">
        <v>123</v>
      </c>
      <c r="F2630" s="57">
        <f t="shared" si="160"/>
        <v>0</v>
      </c>
    </row>
    <row r="2631" spans="1:6" x14ac:dyDescent="0.25">
      <c r="A2631" s="5" t="s">
        <v>24</v>
      </c>
      <c r="B2631" s="19">
        <v>44002</v>
      </c>
      <c r="C2631" s="4">
        <v>5</v>
      </c>
      <c r="D2631" s="21">
        <v>45</v>
      </c>
      <c r="F2631" s="57">
        <f t="shared" si="160"/>
        <v>0</v>
      </c>
    </row>
    <row r="2632" spans="1:6" x14ac:dyDescent="0.25">
      <c r="A2632" s="5" t="s">
        <v>20</v>
      </c>
      <c r="B2632" s="19">
        <v>44002</v>
      </c>
      <c r="C2632" s="4">
        <v>0</v>
      </c>
      <c r="D2632" s="21">
        <v>294</v>
      </c>
      <c r="F2632" s="57">
        <f t="shared" si="160"/>
        <v>0</v>
      </c>
    </row>
    <row r="2633" spans="1:6" x14ac:dyDescent="0.25">
      <c r="A2633" s="5" t="s">
        <v>19</v>
      </c>
      <c r="B2633" s="19">
        <v>44002</v>
      </c>
      <c r="C2633" s="4">
        <v>19</v>
      </c>
      <c r="D2633" s="21">
        <v>675</v>
      </c>
      <c r="F2633" s="57">
        <f t="shared" si="160"/>
        <v>0</v>
      </c>
    </row>
    <row r="2634" spans="1:6" x14ac:dyDescent="0.25">
      <c r="A2634" s="5" t="s">
        <v>35</v>
      </c>
      <c r="B2634" s="19">
        <v>44002</v>
      </c>
      <c r="C2634" s="4">
        <v>0</v>
      </c>
      <c r="D2634" s="21">
        <v>21</v>
      </c>
      <c r="F2634" s="57">
        <f t="shared" si="160"/>
        <v>2</v>
      </c>
    </row>
    <row r="2635" spans="1:6" x14ac:dyDescent="0.25">
      <c r="A2635" s="5" t="s">
        <v>36</v>
      </c>
      <c r="B2635" s="19">
        <v>44002</v>
      </c>
      <c r="C2635" s="4">
        <v>0</v>
      </c>
      <c r="D2635" s="21">
        <v>7</v>
      </c>
      <c r="F2635" s="57">
        <f>E2635+F2611</f>
        <v>0</v>
      </c>
    </row>
    <row r="2636" spans="1:6" x14ac:dyDescent="0.25">
      <c r="A2636" s="5" t="s">
        <v>37</v>
      </c>
      <c r="B2636" s="19">
        <v>44002</v>
      </c>
      <c r="C2636" s="4">
        <v>0</v>
      </c>
      <c r="D2636" s="21">
        <v>11</v>
      </c>
      <c r="F2636" s="57">
        <f t="shared" si="160"/>
        <v>0</v>
      </c>
    </row>
    <row r="2637" spans="1:6" x14ac:dyDescent="0.25">
      <c r="A2637" s="5" t="s">
        <v>38</v>
      </c>
      <c r="B2637" s="19">
        <v>44002</v>
      </c>
      <c r="C2637" s="4">
        <v>0</v>
      </c>
      <c r="D2637" s="21">
        <v>51</v>
      </c>
      <c r="F2637" s="57">
        <f t="shared" si="160"/>
        <v>0</v>
      </c>
    </row>
    <row r="2638" spans="1:6" x14ac:dyDescent="0.25">
      <c r="A2638" s="5" t="s">
        <v>23</v>
      </c>
      <c r="B2638" s="19">
        <v>44002</v>
      </c>
      <c r="C2638" s="4">
        <v>6</v>
      </c>
      <c r="D2638" s="21">
        <v>318</v>
      </c>
      <c r="F2638" s="57">
        <f>E2638+F2614</f>
        <v>4</v>
      </c>
    </row>
    <row r="2639" spans="1:6" x14ac:dyDescent="0.25">
      <c r="A2639" s="5" t="s">
        <v>39</v>
      </c>
      <c r="B2639" s="19">
        <v>44002</v>
      </c>
      <c r="C2639" s="4">
        <v>0</v>
      </c>
      <c r="D2639" s="21">
        <v>22</v>
      </c>
      <c r="F2639" s="57">
        <f>E2639+F2615</f>
        <v>0</v>
      </c>
    </row>
    <row r="2640" spans="1:6" x14ac:dyDescent="0.25">
      <c r="A2640" s="5" t="s">
        <v>40</v>
      </c>
      <c r="B2640" s="19">
        <v>44002</v>
      </c>
      <c r="C2640" s="4">
        <v>0</v>
      </c>
      <c r="D2640" s="21">
        <v>149</v>
      </c>
      <c r="F2640" s="57">
        <f t="shared" si="160"/>
        <v>0</v>
      </c>
    </row>
    <row r="2641" spans="1:6" x14ac:dyDescent="0.25">
      <c r="A2641" s="5" t="s">
        <v>41</v>
      </c>
      <c r="B2641" s="19">
        <v>44002</v>
      </c>
      <c r="C2641" s="4">
        <v>0</v>
      </c>
      <c r="D2641" s="21">
        <v>59</v>
      </c>
      <c r="F2641" s="57">
        <f>E2641+F2617</f>
        <v>4</v>
      </c>
    </row>
    <row r="2642" spans="1:6" x14ac:dyDescent="0.25">
      <c r="A2642" s="42" t="s">
        <v>17</v>
      </c>
      <c r="B2642" s="19">
        <v>44003</v>
      </c>
      <c r="C2642" s="4">
        <v>746</v>
      </c>
      <c r="D2642" s="21">
        <v>19327</v>
      </c>
      <c r="E2642" s="4">
        <v>9</v>
      </c>
      <c r="F2642" s="57">
        <f>E2642+F2618</f>
        <v>441</v>
      </c>
    </row>
    <row r="2643" spans="1:6" x14ac:dyDescent="0.25">
      <c r="A2643" s="5" t="s">
        <v>29</v>
      </c>
      <c r="B2643" s="19">
        <v>44003</v>
      </c>
      <c r="C2643" s="4">
        <v>0</v>
      </c>
      <c r="D2643" s="21">
        <v>0</v>
      </c>
      <c r="F2643" s="57">
        <f t="shared" ref="F2643:F2649" si="161">E2643+F2619</f>
        <v>0</v>
      </c>
    </row>
    <row r="2644" spans="1:6" x14ac:dyDescent="0.25">
      <c r="A2644" s="5" t="s">
        <v>16</v>
      </c>
      <c r="B2644" s="19">
        <v>44003</v>
      </c>
      <c r="C2644" s="4">
        <v>52</v>
      </c>
      <c r="D2644" s="21">
        <v>1582</v>
      </c>
      <c r="F2644" s="57">
        <f t="shared" si="161"/>
        <v>83</v>
      </c>
    </row>
    <row r="2645" spans="1:6" x14ac:dyDescent="0.25">
      <c r="A2645" s="5" t="s">
        <v>30</v>
      </c>
      <c r="B2645" s="19">
        <v>44003</v>
      </c>
      <c r="C2645" s="4">
        <v>6</v>
      </c>
      <c r="D2645" s="21">
        <v>94</v>
      </c>
      <c r="F2645" s="57">
        <f t="shared" si="161"/>
        <v>2</v>
      </c>
    </row>
    <row r="2646" spans="1:6" x14ac:dyDescent="0.25">
      <c r="A2646" s="5" t="s">
        <v>44</v>
      </c>
      <c r="B2646" s="19">
        <v>44003</v>
      </c>
      <c r="C2646" s="4">
        <v>707</v>
      </c>
      <c r="D2646" s="21">
        <v>19002</v>
      </c>
      <c r="E2646" s="4">
        <v>8</v>
      </c>
      <c r="F2646" s="57">
        <f t="shared" si="161"/>
        <v>377</v>
      </c>
    </row>
    <row r="2647" spans="1:6" x14ac:dyDescent="0.25">
      <c r="A2647" s="5" t="s">
        <v>21</v>
      </c>
      <c r="B2647" s="19">
        <v>44003</v>
      </c>
      <c r="C2647" s="4">
        <v>13</v>
      </c>
      <c r="D2647" s="21">
        <v>568</v>
      </c>
      <c r="F2647" s="57">
        <f t="shared" si="161"/>
        <v>33</v>
      </c>
    </row>
    <row r="2648" spans="1:6" x14ac:dyDescent="0.25">
      <c r="A2648" s="5" t="s">
        <v>31</v>
      </c>
      <c r="B2648" s="19">
        <v>44003</v>
      </c>
      <c r="C2648" s="4">
        <v>0</v>
      </c>
      <c r="D2648" s="21">
        <v>115</v>
      </c>
      <c r="F2648" s="57">
        <f t="shared" si="161"/>
        <v>0</v>
      </c>
    </row>
    <row r="2649" spans="1:6" x14ac:dyDescent="0.25">
      <c r="A2649" s="5" t="s">
        <v>32</v>
      </c>
      <c r="B2649" s="19">
        <v>44003</v>
      </c>
      <c r="C2649" s="4">
        <v>10</v>
      </c>
      <c r="D2649" s="21">
        <v>144</v>
      </c>
      <c r="F2649" s="57">
        <f t="shared" si="161"/>
        <v>0</v>
      </c>
    </row>
    <row r="2650" spans="1:6" x14ac:dyDescent="0.25">
      <c r="A2650" s="5" t="s">
        <v>42</v>
      </c>
      <c r="B2650" s="19">
        <v>44003</v>
      </c>
      <c r="C2650" s="4">
        <v>0</v>
      </c>
      <c r="D2650" s="21">
        <v>39</v>
      </c>
      <c r="F2650" s="57">
        <f t="shared" ref="F2650:F2664" si="162">E2650+F2625</f>
        <v>0</v>
      </c>
    </row>
    <row r="2651" spans="1:6" x14ac:dyDescent="0.25">
      <c r="A2651" s="5" t="s">
        <v>33</v>
      </c>
      <c r="B2651" s="19">
        <v>44003</v>
      </c>
      <c r="C2651" s="4">
        <v>0</v>
      </c>
      <c r="D2651" s="21">
        <v>13</v>
      </c>
      <c r="F2651" s="57">
        <f t="shared" si="162"/>
        <v>0</v>
      </c>
    </row>
    <row r="2652" spans="1:6" x14ac:dyDescent="0.25">
      <c r="A2652" s="5" t="s">
        <v>34</v>
      </c>
      <c r="B2652" s="19">
        <v>44003</v>
      </c>
      <c r="C2652" s="4">
        <v>0</v>
      </c>
      <c r="D2652" s="21">
        <v>6</v>
      </c>
      <c r="F2652" s="57">
        <f t="shared" si="162"/>
        <v>0</v>
      </c>
    </row>
    <row r="2653" spans="1:6" x14ac:dyDescent="0.25">
      <c r="A2653" s="5" t="s">
        <v>22</v>
      </c>
      <c r="B2653" s="19">
        <v>44003</v>
      </c>
      <c r="C2653" s="4">
        <v>0</v>
      </c>
      <c r="D2653" s="21">
        <v>64</v>
      </c>
      <c r="F2653" s="57">
        <f t="shared" si="162"/>
        <v>0</v>
      </c>
    </row>
    <row r="2654" spans="1:6" x14ac:dyDescent="0.25">
      <c r="A2654" s="5" t="s">
        <v>18</v>
      </c>
      <c r="B2654" s="19">
        <v>44003</v>
      </c>
      <c r="C2654" s="4">
        <v>5</v>
      </c>
      <c r="D2654" s="21">
        <v>128</v>
      </c>
      <c r="F2654" s="57">
        <f t="shared" si="162"/>
        <v>0</v>
      </c>
    </row>
    <row r="2655" spans="1:6" x14ac:dyDescent="0.25">
      <c r="A2655" s="5" t="s">
        <v>24</v>
      </c>
      <c r="B2655" s="19">
        <v>44003</v>
      </c>
      <c r="C2655" s="4">
        <v>0</v>
      </c>
      <c r="D2655" s="21">
        <v>45</v>
      </c>
      <c r="F2655" s="57">
        <f t="shared" si="162"/>
        <v>0</v>
      </c>
    </row>
    <row r="2656" spans="1:6" x14ac:dyDescent="0.25">
      <c r="A2656" s="5" t="s">
        <v>20</v>
      </c>
      <c r="B2656" s="19">
        <v>44003</v>
      </c>
      <c r="C2656" s="4">
        <v>9</v>
      </c>
      <c r="D2656" s="21">
        <v>303</v>
      </c>
      <c r="F2656" s="57">
        <f t="shared" si="162"/>
        <v>0</v>
      </c>
    </row>
    <row r="2657" spans="1:6" x14ac:dyDescent="0.25">
      <c r="A2657" s="5" t="s">
        <v>19</v>
      </c>
      <c r="B2657" s="19">
        <v>44003</v>
      </c>
      <c r="C2657" s="4">
        <v>16</v>
      </c>
      <c r="D2657" s="21">
        <v>691</v>
      </c>
      <c r="E2657" s="4">
        <v>2</v>
      </c>
      <c r="F2657" s="57">
        <f t="shared" si="162"/>
        <v>2</v>
      </c>
    </row>
    <row r="2658" spans="1:6" x14ac:dyDescent="0.25">
      <c r="A2658" s="5" t="s">
        <v>35</v>
      </c>
      <c r="B2658" s="19">
        <v>44003</v>
      </c>
      <c r="C2658" s="4">
        <v>0</v>
      </c>
      <c r="D2658" s="21">
        <v>21</v>
      </c>
      <c r="F2658" s="57">
        <f t="shared" si="162"/>
        <v>0</v>
      </c>
    </row>
    <row r="2659" spans="1:6" x14ac:dyDescent="0.25">
      <c r="A2659" s="5" t="s">
        <v>36</v>
      </c>
      <c r="B2659" s="19">
        <v>44003</v>
      </c>
      <c r="C2659" s="4">
        <v>0</v>
      </c>
      <c r="D2659" s="21">
        <v>7</v>
      </c>
      <c r="F2659" s="57">
        <f>E2659+F2635</f>
        <v>0</v>
      </c>
    </row>
    <row r="2660" spans="1:6" x14ac:dyDescent="0.25">
      <c r="A2660" s="5" t="s">
        <v>37</v>
      </c>
      <c r="B2660" s="19">
        <v>44003</v>
      </c>
      <c r="C2660" s="4">
        <v>0</v>
      </c>
      <c r="D2660" s="21">
        <v>11</v>
      </c>
      <c r="F2660" s="57">
        <f t="shared" si="162"/>
        <v>0</v>
      </c>
    </row>
    <row r="2661" spans="1:6" x14ac:dyDescent="0.25">
      <c r="A2661" s="5" t="s">
        <v>38</v>
      </c>
      <c r="B2661" s="19">
        <v>44003</v>
      </c>
      <c r="C2661" s="4">
        <v>0</v>
      </c>
      <c r="D2661" s="21">
        <v>51</v>
      </c>
      <c r="F2661" s="57">
        <f t="shared" si="162"/>
        <v>0</v>
      </c>
    </row>
    <row r="2662" spans="1:6" x14ac:dyDescent="0.25">
      <c r="A2662" s="5" t="s">
        <v>23</v>
      </c>
      <c r="B2662" s="19">
        <v>44003</v>
      </c>
      <c r="C2662" s="4">
        <v>17</v>
      </c>
      <c r="D2662" s="21">
        <v>335</v>
      </c>
      <c r="F2662" s="57">
        <f>E2662+F2638</f>
        <v>4</v>
      </c>
    </row>
    <row r="2663" spans="1:6" x14ac:dyDescent="0.25">
      <c r="A2663" s="5" t="s">
        <v>39</v>
      </c>
      <c r="B2663" s="19">
        <v>44003</v>
      </c>
      <c r="C2663" s="4">
        <v>0</v>
      </c>
      <c r="D2663" s="21">
        <v>22</v>
      </c>
      <c r="F2663" s="57">
        <f>E2663+F2639</f>
        <v>0</v>
      </c>
    </row>
    <row r="2664" spans="1:6" x14ac:dyDescent="0.25">
      <c r="A2664" s="5" t="s">
        <v>40</v>
      </c>
      <c r="B2664" s="19">
        <v>44003</v>
      </c>
      <c r="C2664" s="4">
        <v>0</v>
      </c>
      <c r="D2664" s="21">
        <v>149</v>
      </c>
      <c r="F2664" s="57">
        <f t="shared" si="162"/>
        <v>0</v>
      </c>
    </row>
    <row r="2665" spans="1:6" x14ac:dyDescent="0.25">
      <c r="A2665" s="5" t="s">
        <v>41</v>
      </c>
      <c r="B2665" s="19">
        <v>44003</v>
      </c>
      <c r="C2665" s="4">
        <v>0</v>
      </c>
      <c r="D2665" s="21">
        <v>59</v>
      </c>
      <c r="F2665" s="57">
        <f>E2665+F2641</f>
        <v>4</v>
      </c>
    </row>
    <row r="2666" spans="1:6" x14ac:dyDescent="0.25">
      <c r="A2666" s="42" t="s">
        <v>17</v>
      </c>
      <c r="B2666" s="19">
        <v>44004</v>
      </c>
      <c r="C2666" s="4">
        <v>1037</v>
      </c>
      <c r="D2666" s="21">
        <v>20364</v>
      </c>
      <c r="E2666" s="4">
        <v>8</v>
      </c>
      <c r="F2666" s="57">
        <f>E2666+F2642</f>
        <v>449</v>
      </c>
    </row>
    <row r="2667" spans="1:6" x14ac:dyDescent="0.25">
      <c r="A2667" s="5" t="s">
        <v>29</v>
      </c>
      <c r="B2667" s="19">
        <v>44004</v>
      </c>
      <c r="C2667" s="4">
        <v>0</v>
      </c>
      <c r="D2667" s="21">
        <v>0</v>
      </c>
      <c r="F2667" s="57">
        <f t="shared" ref="F2667:F2673" si="163">E2667+F2643</f>
        <v>0</v>
      </c>
    </row>
    <row r="2668" spans="1:6" x14ac:dyDescent="0.25">
      <c r="A2668" s="5" t="s">
        <v>16</v>
      </c>
      <c r="B2668" s="19">
        <v>44004</v>
      </c>
      <c r="C2668" s="4">
        <v>20</v>
      </c>
      <c r="D2668" s="21">
        <v>1602</v>
      </c>
      <c r="E2668" s="4">
        <v>1</v>
      </c>
      <c r="F2668" s="57">
        <f>E2668+F2644</f>
        <v>84</v>
      </c>
    </row>
    <row r="2669" spans="1:6" x14ac:dyDescent="0.25">
      <c r="A2669" s="5" t="s">
        <v>30</v>
      </c>
      <c r="B2669" s="19">
        <v>44004</v>
      </c>
      <c r="C2669" s="4">
        <v>5</v>
      </c>
      <c r="D2669" s="21">
        <v>99</v>
      </c>
      <c r="F2669" s="57">
        <f t="shared" si="163"/>
        <v>2</v>
      </c>
    </row>
    <row r="2670" spans="1:6" x14ac:dyDescent="0.25">
      <c r="A2670" s="5" t="s">
        <v>44</v>
      </c>
      <c r="B2670" s="19">
        <v>44004</v>
      </c>
      <c r="C2670" s="4">
        <v>1024</v>
      </c>
      <c r="D2670" s="21">
        <v>20026</v>
      </c>
      <c r="E2670" s="4">
        <v>18</v>
      </c>
      <c r="F2670" s="57">
        <f t="shared" si="163"/>
        <v>395</v>
      </c>
    </row>
    <row r="2671" spans="1:6" x14ac:dyDescent="0.25">
      <c r="A2671" s="5" t="s">
        <v>21</v>
      </c>
      <c r="B2671" s="19">
        <v>44004</v>
      </c>
      <c r="C2671" s="4">
        <v>11</v>
      </c>
      <c r="D2671" s="21">
        <v>579</v>
      </c>
      <c r="F2671" s="57">
        <f t="shared" si="163"/>
        <v>33</v>
      </c>
    </row>
    <row r="2672" spans="1:6" x14ac:dyDescent="0.25">
      <c r="A2672" s="5" t="s">
        <v>31</v>
      </c>
      <c r="B2672" s="19">
        <v>44004</v>
      </c>
      <c r="C2672" s="4">
        <v>0</v>
      </c>
      <c r="D2672" s="21">
        <v>115</v>
      </c>
      <c r="F2672" s="57">
        <f t="shared" si="163"/>
        <v>0</v>
      </c>
    </row>
    <row r="2673" spans="1:6" x14ac:dyDescent="0.25">
      <c r="A2673" s="5" t="s">
        <v>32</v>
      </c>
      <c r="B2673" s="19">
        <v>44004</v>
      </c>
      <c r="C2673" s="4">
        <v>16</v>
      </c>
      <c r="D2673" s="21">
        <v>160</v>
      </c>
      <c r="F2673" s="57">
        <f t="shared" si="163"/>
        <v>0</v>
      </c>
    </row>
    <row r="2674" spans="1:6" x14ac:dyDescent="0.25">
      <c r="A2674" s="5" t="s">
        <v>42</v>
      </c>
      <c r="B2674" s="19">
        <v>44004</v>
      </c>
      <c r="C2674" s="4">
        <v>0</v>
      </c>
      <c r="D2674" s="21">
        <v>39</v>
      </c>
      <c r="F2674" s="57">
        <f t="shared" ref="F2674:F2688" si="164">E2674+F2649</f>
        <v>0</v>
      </c>
    </row>
    <row r="2675" spans="1:6" x14ac:dyDescent="0.25">
      <c r="A2675" s="5" t="s">
        <v>33</v>
      </c>
      <c r="B2675" s="19">
        <v>44004</v>
      </c>
      <c r="C2675" s="4">
        <v>2</v>
      </c>
      <c r="D2675" s="21">
        <v>15</v>
      </c>
      <c r="F2675" s="57">
        <f t="shared" si="164"/>
        <v>0</v>
      </c>
    </row>
    <row r="2676" spans="1:6" x14ac:dyDescent="0.25">
      <c r="A2676" s="5" t="s">
        <v>34</v>
      </c>
      <c r="B2676" s="19">
        <v>44004</v>
      </c>
      <c r="C2676" s="4">
        <v>0</v>
      </c>
      <c r="D2676" s="21">
        <v>6</v>
      </c>
      <c r="F2676" s="57">
        <f t="shared" si="164"/>
        <v>0</v>
      </c>
    </row>
    <row r="2677" spans="1:6" x14ac:dyDescent="0.25">
      <c r="A2677" s="5" t="s">
        <v>22</v>
      </c>
      <c r="B2677" s="19">
        <v>44004</v>
      </c>
      <c r="C2677" s="4">
        <v>0</v>
      </c>
      <c r="D2677" s="21">
        <v>64</v>
      </c>
      <c r="F2677" s="57">
        <f t="shared" si="164"/>
        <v>0</v>
      </c>
    </row>
    <row r="2678" spans="1:6" x14ac:dyDescent="0.25">
      <c r="A2678" s="5" t="s">
        <v>18</v>
      </c>
      <c r="B2678" s="19">
        <v>44004</v>
      </c>
      <c r="C2678" s="4">
        <v>3</v>
      </c>
      <c r="D2678" s="21">
        <v>131</v>
      </c>
      <c r="F2678" s="57">
        <f t="shared" si="164"/>
        <v>0</v>
      </c>
    </row>
    <row r="2679" spans="1:6" x14ac:dyDescent="0.25">
      <c r="A2679" s="5" t="s">
        <v>24</v>
      </c>
      <c r="B2679" s="19">
        <v>44004</v>
      </c>
      <c r="C2679" s="4">
        <v>0</v>
      </c>
      <c r="D2679" s="21">
        <v>45</v>
      </c>
      <c r="F2679" s="57">
        <f t="shared" si="164"/>
        <v>0</v>
      </c>
    </row>
    <row r="2680" spans="1:6" x14ac:dyDescent="0.25">
      <c r="A2680" s="5" t="s">
        <v>20</v>
      </c>
      <c r="B2680" s="19">
        <v>44004</v>
      </c>
      <c r="C2680" s="4">
        <v>11</v>
      </c>
      <c r="D2680" s="21">
        <v>314</v>
      </c>
      <c r="E2680" s="4">
        <v>1</v>
      </c>
      <c r="F2680" s="57">
        <f t="shared" si="164"/>
        <v>1</v>
      </c>
    </row>
    <row r="2681" spans="1:6" x14ac:dyDescent="0.25">
      <c r="A2681" s="5" t="s">
        <v>19</v>
      </c>
      <c r="B2681" s="19">
        <v>44004</v>
      </c>
      <c r="C2681" s="4">
        <v>8</v>
      </c>
      <c r="D2681" s="21">
        <v>699</v>
      </c>
      <c r="E2681" s="4">
        <v>4</v>
      </c>
      <c r="F2681" s="57">
        <f t="shared" si="164"/>
        <v>4</v>
      </c>
    </row>
    <row r="2682" spans="1:6" x14ac:dyDescent="0.25">
      <c r="A2682" s="5" t="s">
        <v>35</v>
      </c>
      <c r="B2682" s="19">
        <v>44004</v>
      </c>
      <c r="C2682" s="4">
        <v>1</v>
      </c>
      <c r="D2682" s="21">
        <v>22</v>
      </c>
      <c r="F2682" s="57">
        <f t="shared" si="164"/>
        <v>2</v>
      </c>
    </row>
    <row r="2683" spans="1:6" x14ac:dyDescent="0.25">
      <c r="A2683" s="5" t="s">
        <v>36</v>
      </c>
      <c r="B2683" s="19">
        <v>44004</v>
      </c>
      <c r="C2683" s="4">
        <v>1</v>
      </c>
      <c r="D2683" s="21">
        <v>8</v>
      </c>
      <c r="F2683" s="57">
        <f>E2683+F2659</f>
        <v>0</v>
      </c>
    </row>
    <row r="2684" spans="1:6" x14ac:dyDescent="0.25">
      <c r="A2684" s="5" t="s">
        <v>37</v>
      </c>
      <c r="B2684" s="19">
        <v>44004</v>
      </c>
      <c r="C2684" s="4">
        <v>0</v>
      </c>
      <c r="D2684" s="21">
        <v>11</v>
      </c>
      <c r="F2684" s="57">
        <f t="shared" si="164"/>
        <v>0</v>
      </c>
    </row>
    <row r="2685" spans="1:6" x14ac:dyDescent="0.25">
      <c r="A2685" s="5" t="s">
        <v>38</v>
      </c>
      <c r="B2685" s="19">
        <v>44004</v>
      </c>
      <c r="C2685" s="4">
        <v>0</v>
      </c>
      <c r="D2685" s="21">
        <v>51</v>
      </c>
      <c r="F2685" s="57">
        <f t="shared" si="164"/>
        <v>0</v>
      </c>
    </row>
    <row r="2686" spans="1:6" x14ac:dyDescent="0.25">
      <c r="A2686" s="5" t="s">
        <v>23</v>
      </c>
      <c r="B2686" s="19">
        <v>44004</v>
      </c>
      <c r="C2686" s="4">
        <v>5</v>
      </c>
      <c r="D2686" s="21">
        <v>340</v>
      </c>
      <c r="F2686" s="57">
        <f>E2686+F2662</f>
        <v>4</v>
      </c>
    </row>
    <row r="2687" spans="1:6" x14ac:dyDescent="0.25">
      <c r="A2687" s="5" t="s">
        <v>39</v>
      </c>
      <c r="B2687" s="19">
        <v>44004</v>
      </c>
      <c r="C2687" s="4">
        <v>0</v>
      </c>
      <c r="D2687" s="21">
        <v>22</v>
      </c>
      <c r="F2687" s="57">
        <f>E2687+F2663</f>
        <v>0</v>
      </c>
    </row>
    <row r="2688" spans="1:6" x14ac:dyDescent="0.25">
      <c r="A2688" s="5" t="s">
        <v>40</v>
      </c>
      <c r="B2688" s="19">
        <v>44004</v>
      </c>
      <c r="C2688" s="4">
        <v>0</v>
      </c>
      <c r="D2688" s="21">
        <v>149</v>
      </c>
      <c r="F2688" s="57">
        <f t="shared" si="164"/>
        <v>0</v>
      </c>
    </row>
    <row r="2689" spans="1:6" x14ac:dyDescent="0.25">
      <c r="A2689" s="5" t="s">
        <v>41</v>
      </c>
      <c r="B2689" s="19">
        <v>44004</v>
      </c>
      <c r="C2689" s="4">
        <v>1</v>
      </c>
      <c r="D2689" s="21">
        <v>60</v>
      </c>
      <c r="F2689" s="57">
        <f>E2689+F2665</f>
        <v>4</v>
      </c>
    </row>
    <row r="2690" spans="1:6" x14ac:dyDescent="0.25">
      <c r="A2690" s="42" t="s">
        <v>17</v>
      </c>
      <c r="B2690" s="19">
        <v>44005</v>
      </c>
      <c r="C2690" s="4">
        <v>1334</v>
      </c>
      <c r="D2690" s="21">
        <v>21698</v>
      </c>
      <c r="E2690" s="4">
        <v>15</v>
      </c>
      <c r="F2690" s="57">
        <f>E2690+F2666</f>
        <v>464</v>
      </c>
    </row>
    <row r="2691" spans="1:6" x14ac:dyDescent="0.25">
      <c r="A2691" s="5" t="s">
        <v>29</v>
      </c>
      <c r="B2691" s="19">
        <v>44005</v>
      </c>
      <c r="C2691" s="4">
        <v>0</v>
      </c>
      <c r="D2691" s="21">
        <v>0</v>
      </c>
      <c r="F2691" s="57">
        <f t="shared" ref="F2691:F2697" si="165">E2691+F2667</f>
        <v>0</v>
      </c>
    </row>
    <row r="2692" spans="1:6" x14ac:dyDescent="0.25">
      <c r="A2692" s="5" t="s">
        <v>16</v>
      </c>
      <c r="B2692" s="19">
        <v>44005</v>
      </c>
      <c r="C2692" s="4">
        <v>55</v>
      </c>
      <c r="D2692" s="21">
        <v>1657</v>
      </c>
      <c r="E2692" s="4">
        <v>1</v>
      </c>
      <c r="F2692" s="57">
        <f t="shared" si="165"/>
        <v>85</v>
      </c>
    </row>
    <row r="2693" spans="1:6" x14ac:dyDescent="0.25">
      <c r="A2693" s="5" t="s">
        <v>30</v>
      </c>
      <c r="B2693" s="19">
        <v>44005</v>
      </c>
      <c r="C2693" s="4">
        <v>2</v>
      </c>
      <c r="D2693" s="21">
        <v>101</v>
      </c>
      <c r="F2693" s="57">
        <f t="shared" si="165"/>
        <v>2</v>
      </c>
    </row>
    <row r="2694" spans="1:6" x14ac:dyDescent="0.25">
      <c r="A2694" s="5" t="s">
        <v>44</v>
      </c>
      <c r="B2694" s="19">
        <v>44005</v>
      </c>
      <c r="C2694" s="4">
        <v>759</v>
      </c>
      <c r="D2694" s="21">
        <v>20785</v>
      </c>
      <c r="E2694" s="4">
        <v>17</v>
      </c>
      <c r="F2694" s="57">
        <f>E2694+F2670</f>
        <v>412</v>
      </c>
    </row>
    <row r="2695" spans="1:6" x14ac:dyDescent="0.25">
      <c r="A2695" s="5" t="s">
        <v>21</v>
      </c>
      <c r="B2695" s="19">
        <v>44005</v>
      </c>
      <c r="C2695" s="4">
        <v>23</v>
      </c>
      <c r="D2695" s="21">
        <v>602</v>
      </c>
      <c r="F2695" s="57">
        <f t="shared" si="165"/>
        <v>33</v>
      </c>
    </row>
    <row r="2696" spans="1:6" x14ac:dyDescent="0.25">
      <c r="A2696" s="5" t="s">
        <v>31</v>
      </c>
      <c r="B2696" s="19">
        <v>44005</v>
      </c>
      <c r="C2696" s="4">
        <v>0</v>
      </c>
      <c r="D2696" s="21">
        <v>115</v>
      </c>
      <c r="F2696" s="57">
        <f t="shared" si="165"/>
        <v>0</v>
      </c>
    </row>
    <row r="2697" spans="1:6" x14ac:dyDescent="0.25">
      <c r="A2697" s="5" t="s">
        <v>32</v>
      </c>
      <c r="B2697" s="19">
        <v>44005</v>
      </c>
      <c r="C2697" s="4">
        <v>17</v>
      </c>
      <c r="D2697" s="21">
        <v>177</v>
      </c>
      <c r="F2697" s="57">
        <f t="shared" si="165"/>
        <v>0</v>
      </c>
    </row>
    <row r="2698" spans="1:6" x14ac:dyDescent="0.25">
      <c r="A2698" s="5" t="s">
        <v>42</v>
      </c>
      <c r="B2698" s="19">
        <v>44005</v>
      </c>
      <c r="C2698" s="4">
        <v>6</v>
      </c>
      <c r="D2698" s="21">
        <v>45</v>
      </c>
      <c r="F2698" s="57">
        <f t="shared" ref="F2698:F2712" si="166">E2698+F2673</f>
        <v>0</v>
      </c>
    </row>
    <row r="2699" spans="1:6" x14ac:dyDescent="0.25">
      <c r="A2699" s="5" t="s">
        <v>33</v>
      </c>
      <c r="B2699" s="19">
        <v>44005</v>
      </c>
      <c r="C2699" s="4">
        <v>2</v>
      </c>
      <c r="D2699" s="21">
        <v>17</v>
      </c>
      <c r="F2699" s="57">
        <f t="shared" si="166"/>
        <v>0</v>
      </c>
    </row>
    <row r="2700" spans="1:6" x14ac:dyDescent="0.25">
      <c r="A2700" s="5" t="s">
        <v>34</v>
      </c>
      <c r="B2700" s="19">
        <v>44005</v>
      </c>
      <c r="C2700" s="4">
        <v>0</v>
      </c>
      <c r="D2700" s="21">
        <v>6</v>
      </c>
      <c r="F2700" s="57">
        <f t="shared" si="166"/>
        <v>0</v>
      </c>
    </row>
    <row r="2701" spans="1:6" x14ac:dyDescent="0.25">
      <c r="A2701" s="5" t="s">
        <v>22</v>
      </c>
      <c r="B2701" s="19">
        <v>44005</v>
      </c>
      <c r="C2701" s="4">
        <v>1</v>
      </c>
      <c r="D2701" s="21">
        <v>65</v>
      </c>
      <c r="F2701" s="57">
        <f t="shared" si="166"/>
        <v>0</v>
      </c>
    </row>
    <row r="2702" spans="1:6" x14ac:dyDescent="0.25">
      <c r="A2702" s="5" t="s">
        <v>18</v>
      </c>
      <c r="B2702" s="19">
        <v>44005</v>
      </c>
      <c r="C2702" s="4">
        <v>8</v>
      </c>
      <c r="D2702" s="21">
        <v>139</v>
      </c>
      <c r="F2702" s="57">
        <f t="shared" si="166"/>
        <v>0</v>
      </c>
    </row>
    <row r="2703" spans="1:6" x14ac:dyDescent="0.25">
      <c r="A2703" s="5" t="s">
        <v>24</v>
      </c>
      <c r="B2703" s="19">
        <v>44005</v>
      </c>
      <c r="C2703" s="4">
        <v>0</v>
      </c>
      <c r="D2703" s="21">
        <v>45</v>
      </c>
      <c r="F2703" s="57">
        <f t="shared" si="166"/>
        <v>0</v>
      </c>
    </row>
    <row r="2704" spans="1:6" x14ac:dyDescent="0.25">
      <c r="A2704" s="5" t="s">
        <v>20</v>
      </c>
      <c r="B2704" s="19">
        <v>44005</v>
      </c>
      <c r="C2704" s="4">
        <v>29</v>
      </c>
      <c r="D2704" s="21">
        <v>343</v>
      </c>
      <c r="F2704" s="57">
        <f t="shared" si="166"/>
        <v>0</v>
      </c>
    </row>
    <row r="2705" spans="1:6" x14ac:dyDescent="0.25">
      <c r="A2705" s="5" t="s">
        <v>19</v>
      </c>
      <c r="B2705" s="19">
        <v>44005</v>
      </c>
      <c r="C2705" s="4">
        <v>19</v>
      </c>
      <c r="D2705" s="21">
        <v>718</v>
      </c>
      <c r="E2705" s="4">
        <v>1</v>
      </c>
      <c r="F2705" s="57">
        <f t="shared" si="166"/>
        <v>2</v>
      </c>
    </row>
    <row r="2706" spans="1:6" x14ac:dyDescent="0.25">
      <c r="A2706" s="5" t="s">
        <v>35</v>
      </c>
      <c r="B2706" s="19">
        <v>44005</v>
      </c>
      <c r="C2706" s="4">
        <v>0</v>
      </c>
      <c r="D2706" s="21">
        <v>22</v>
      </c>
      <c r="F2706" s="57">
        <f t="shared" si="166"/>
        <v>4</v>
      </c>
    </row>
    <row r="2707" spans="1:6" x14ac:dyDescent="0.25">
      <c r="A2707" s="5" t="s">
        <v>36</v>
      </c>
      <c r="B2707" s="19">
        <v>44005</v>
      </c>
      <c r="C2707" s="4">
        <v>0</v>
      </c>
      <c r="D2707" s="21">
        <v>8</v>
      </c>
      <c r="F2707" s="57">
        <f>E2707+F2683</f>
        <v>0</v>
      </c>
    </row>
    <row r="2708" spans="1:6" x14ac:dyDescent="0.25">
      <c r="A2708" s="5" t="s">
        <v>37</v>
      </c>
      <c r="B2708" s="19">
        <v>44005</v>
      </c>
      <c r="C2708" s="4">
        <v>0</v>
      </c>
      <c r="D2708" s="21">
        <v>11</v>
      </c>
      <c r="F2708" s="57">
        <f t="shared" si="166"/>
        <v>0</v>
      </c>
    </row>
    <row r="2709" spans="1:6" x14ac:dyDescent="0.25">
      <c r="A2709" s="5" t="s">
        <v>38</v>
      </c>
      <c r="B2709" s="19">
        <v>44005</v>
      </c>
      <c r="C2709" s="4">
        <v>0</v>
      </c>
      <c r="D2709" s="21">
        <v>51</v>
      </c>
      <c r="F2709" s="57">
        <f t="shared" si="166"/>
        <v>0</v>
      </c>
    </row>
    <row r="2710" spans="1:6" x14ac:dyDescent="0.25">
      <c r="A2710" s="5" t="s">
        <v>23</v>
      </c>
      <c r="B2710" s="19">
        <v>44005</v>
      </c>
      <c r="C2710" s="4">
        <v>29</v>
      </c>
      <c r="D2710" s="21">
        <v>369</v>
      </c>
      <c r="F2710" s="57">
        <f>E2710+F2686</f>
        <v>4</v>
      </c>
    </row>
    <row r="2711" spans="1:6" x14ac:dyDescent="0.25">
      <c r="A2711" s="5" t="s">
        <v>39</v>
      </c>
      <c r="B2711" s="19">
        <v>44005</v>
      </c>
      <c r="C2711" s="4">
        <v>0</v>
      </c>
      <c r="D2711" s="21">
        <v>22</v>
      </c>
      <c r="F2711" s="57">
        <f>E2711+F2687</f>
        <v>0</v>
      </c>
    </row>
    <row r="2712" spans="1:6" x14ac:dyDescent="0.25">
      <c r="A2712" s="5" t="s">
        <v>40</v>
      </c>
      <c r="B2712" s="19">
        <v>44005</v>
      </c>
      <c r="C2712" s="4">
        <v>0</v>
      </c>
      <c r="D2712" s="21">
        <v>149</v>
      </c>
      <c r="F2712" s="57">
        <f t="shared" si="166"/>
        <v>0</v>
      </c>
    </row>
    <row r="2713" spans="1:6" x14ac:dyDescent="0.25">
      <c r="A2713" s="5" t="s">
        <v>41</v>
      </c>
      <c r="B2713" s="19">
        <v>44005</v>
      </c>
      <c r="C2713" s="4">
        <v>0</v>
      </c>
      <c r="D2713" s="21">
        <v>60</v>
      </c>
      <c r="F2713" s="57">
        <f>E2713+F2689</f>
        <v>4</v>
      </c>
    </row>
    <row r="2714" spans="1:6" x14ac:dyDescent="0.25">
      <c r="A2714" s="42" t="s">
        <v>17</v>
      </c>
      <c r="B2714" s="19">
        <v>44006</v>
      </c>
      <c r="C2714" s="4">
        <v>1463</v>
      </c>
      <c r="D2714" s="21">
        <v>23161</v>
      </c>
      <c r="E2714" s="4">
        <v>21</v>
      </c>
      <c r="F2714" s="57">
        <f>E2714+F2690</f>
        <v>485</v>
      </c>
    </row>
    <row r="2715" spans="1:6" x14ac:dyDescent="0.25">
      <c r="A2715" s="5" t="s">
        <v>29</v>
      </c>
      <c r="B2715" s="19">
        <v>44006</v>
      </c>
      <c r="C2715" s="4">
        <v>0</v>
      </c>
      <c r="D2715" s="21">
        <v>0</v>
      </c>
      <c r="F2715" s="57">
        <f t="shared" ref="F2715:F2721" si="167">E2715+F2691</f>
        <v>0</v>
      </c>
    </row>
    <row r="2716" spans="1:6" x14ac:dyDescent="0.25">
      <c r="A2716" s="5" t="s">
        <v>16</v>
      </c>
      <c r="B2716" s="19">
        <v>44006</v>
      </c>
      <c r="C2716" s="4">
        <v>37</v>
      </c>
      <c r="D2716" s="21">
        <v>1694</v>
      </c>
      <c r="E2716" s="4">
        <v>2</v>
      </c>
      <c r="F2716" s="57">
        <f t="shared" si="167"/>
        <v>87</v>
      </c>
    </row>
    <row r="2717" spans="1:6" x14ac:dyDescent="0.25">
      <c r="A2717" s="5" t="s">
        <v>30</v>
      </c>
      <c r="B2717" s="19">
        <v>44006</v>
      </c>
      <c r="C2717" s="4">
        <v>2</v>
      </c>
      <c r="D2717" s="21">
        <v>103</v>
      </c>
      <c r="F2717" s="57">
        <f t="shared" si="167"/>
        <v>2</v>
      </c>
    </row>
    <row r="2718" spans="1:6" x14ac:dyDescent="0.25">
      <c r="A2718" s="5" t="s">
        <v>44</v>
      </c>
      <c r="B2718" s="19">
        <v>44006</v>
      </c>
      <c r="C2718" s="4">
        <v>1012</v>
      </c>
      <c r="D2718" s="21">
        <v>21797</v>
      </c>
      <c r="E2718" s="4">
        <v>10</v>
      </c>
      <c r="F2718" s="57">
        <f t="shared" si="167"/>
        <v>422</v>
      </c>
    </row>
    <row r="2719" spans="1:6" x14ac:dyDescent="0.25">
      <c r="A2719" s="5" t="s">
        <v>21</v>
      </c>
      <c r="B2719" s="19">
        <v>44006</v>
      </c>
      <c r="C2719" s="4">
        <v>2</v>
      </c>
      <c r="D2719" s="21">
        <v>604</v>
      </c>
      <c r="F2719" s="57">
        <f t="shared" si="167"/>
        <v>33</v>
      </c>
    </row>
    <row r="2720" spans="1:6" x14ac:dyDescent="0.25">
      <c r="A2720" s="5" t="s">
        <v>31</v>
      </c>
      <c r="B2720" s="19">
        <v>44006</v>
      </c>
      <c r="C2720" s="4">
        <v>0</v>
      </c>
      <c r="D2720" s="21">
        <v>115</v>
      </c>
      <c r="F2720" s="57">
        <f t="shared" si="167"/>
        <v>0</v>
      </c>
    </row>
    <row r="2721" spans="1:6" x14ac:dyDescent="0.25">
      <c r="A2721" s="5" t="s">
        <v>32</v>
      </c>
      <c r="B2721" s="19">
        <v>44006</v>
      </c>
      <c r="C2721" s="4">
        <v>24</v>
      </c>
      <c r="D2721" s="21">
        <v>201</v>
      </c>
      <c r="F2721" s="57">
        <f t="shared" si="167"/>
        <v>0</v>
      </c>
    </row>
    <row r="2722" spans="1:6" x14ac:dyDescent="0.25">
      <c r="A2722" s="5" t="s">
        <v>42</v>
      </c>
      <c r="B2722" s="19">
        <v>44006</v>
      </c>
      <c r="C2722" s="4">
        <v>0</v>
      </c>
      <c r="D2722" s="21">
        <v>45</v>
      </c>
      <c r="F2722" s="57">
        <f t="shared" ref="F2722:F2733" si="168">E2722+F2697</f>
        <v>0</v>
      </c>
    </row>
    <row r="2723" spans="1:6" x14ac:dyDescent="0.25">
      <c r="A2723" s="5" t="s">
        <v>33</v>
      </c>
      <c r="B2723" s="19">
        <v>44006</v>
      </c>
      <c r="C2723" s="4">
        <v>26</v>
      </c>
      <c r="D2723" s="21">
        <v>43</v>
      </c>
      <c r="F2723" s="57">
        <f t="shared" si="168"/>
        <v>0</v>
      </c>
    </row>
    <row r="2724" spans="1:6" x14ac:dyDescent="0.25">
      <c r="A2724" s="5" t="s">
        <v>34</v>
      </c>
      <c r="B2724" s="19">
        <v>44006</v>
      </c>
      <c r="C2724" s="4">
        <v>1</v>
      </c>
      <c r="D2724" s="21">
        <v>7</v>
      </c>
      <c r="F2724" s="57">
        <f t="shared" si="168"/>
        <v>0</v>
      </c>
    </row>
    <row r="2725" spans="1:6" x14ac:dyDescent="0.25">
      <c r="A2725" s="5" t="s">
        <v>22</v>
      </c>
      <c r="B2725" s="19">
        <v>44006</v>
      </c>
      <c r="C2725" s="4">
        <v>7</v>
      </c>
      <c r="D2725" s="21">
        <v>72</v>
      </c>
      <c r="F2725" s="57">
        <f t="shared" si="168"/>
        <v>0</v>
      </c>
    </row>
    <row r="2726" spans="1:6" x14ac:dyDescent="0.25">
      <c r="A2726" s="5" t="s">
        <v>18</v>
      </c>
      <c r="B2726" s="19">
        <v>44006</v>
      </c>
      <c r="C2726" s="4">
        <v>8</v>
      </c>
      <c r="D2726" s="21">
        <v>147</v>
      </c>
      <c r="F2726" s="57">
        <f t="shared" si="168"/>
        <v>0</v>
      </c>
    </row>
    <row r="2727" spans="1:6" x14ac:dyDescent="0.25">
      <c r="A2727" s="5" t="s">
        <v>24</v>
      </c>
      <c r="B2727" s="19">
        <v>44006</v>
      </c>
      <c r="C2727" s="4">
        <v>0</v>
      </c>
      <c r="D2727" s="21">
        <v>45</v>
      </c>
      <c r="F2727" s="57">
        <f t="shared" si="168"/>
        <v>0</v>
      </c>
    </row>
    <row r="2728" spans="1:6" x14ac:dyDescent="0.25">
      <c r="A2728" s="5" t="s">
        <v>20</v>
      </c>
      <c r="B2728" s="19">
        <v>44006</v>
      </c>
      <c r="C2728" s="4">
        <v>12</v>
      </c>
      <c r="D2728" s="21">
        <v>355</v>
      </c>
      <c r="E2728" s="4">
        <v>1</v>
      </c>
      <c r="F2728" s="57">
        <f t="shared" si="168"/>
        <v>1</v>
      </c>
    </row>
    <row r="2729" spans="1:6" x14ac:dyDescent="0.25">
      <c r="A2729" s="5" t="s">
        <v>19</v>
      </c>
      <c r="B2729" s="19">
        <v>44006</v>
      </c>
      <c r="C2729" s="4">
        <v>24</v>
      </c>
      <c r="D2729" s="21">
        <v>742</v>
      </c>
      <c r="E2729" s="4">
        <v>2</v>
      </c>
      <c r="F2729" s="57">
        <f t="shared" si="168"/>
        <v>2</v>
      </c>
    </row>
    <row r="2730" spans="1:6" x14ac:dyDescent="0.25">
      <c r="A2730" s="5" t="s">
        <v>35</v>
      </c>
      <c r="B2730" s="19">
        <v>44006</v>
      </c>
      <c r="C2730" s="4">
        <v>3</v>
      </c>
      <c r="D2730" s="21">
        <v>25</v>
      </c>
      <c r="F2730" s="57">
        <f t="shared" si="168"/>
        <v>2</v>
      </c>
    </row>
    <row r="2731" spans="1:6" x14ac:dyDescent="0.25">
      <c r="A2731" s="5" t="s">
        <v>36</v>
      </c>
      <c r="B2731" s="19">
        <v>44006</v>
      </c>
      <c r="C2731" s="4">
        <v>0</v>
      </c>
      <c r="D2731" s="21">
        <v>8</v>
      </c>
      <c r="F2731" s="57">
        <f>E2731+F2707</f>
        <v>0</v>
      </c>
    </row>
    <row r="2732" spans="1:6" x14ac:dyDescent="0.25">
      <c r="A2732" s="5" t="s">
        <v>37</v>
      </c>
      <c r="B2732" s="19">
        <v>44006</v>
      </c>
      <c r="C2732" s="4">
        <v>0</v>
      </c>
      <c r="D2732" s="21">
        <v>11</v>
      </c>
      <c r="F2732" s="57">
        <f t="shared" si="168"/>
        <v>0</v>
      </c>
    </row>
    <row r="2733" spans="1:6" x14ac:dyDescent="0.25">
      <c r="A2733" s="5" t="s">
        <v>38</v>
      </c>
      <c r="B2733" s="19">
        <v>44006</v>
      </c>
      <c r="C2733" s="4">
        <v>-1</v>
      </c>
      <c r="D2733" s="21">
        <v>50</v>
      </c>
      <c r="F2733" s="57">
        <f t="shared" si="168"/>
        <v>0</v>
      </c>
    </row>
    <row r="2734" spans="1:6" x14ac:dyDescent="0.25">
      <c r="A2734" s="5" t="s">
        <v>23</v>
      </c>
      <c r="B2734" s="19">
        <v>44006</v>
      </c>
      <c r="C2734" s="4">
        <v>4</v>
      </c>
      <c r="D2734" s="21">
        <v>373</v>
      </c>
      <c r="F2734" s="57">
        <f>E2734+F2710</f>
        <v>4</v>
      </c>
    </row>
    <row r="2735" spans="1:6" x14ac:dyDescent="0.25">
      <c r="A2735" s="5" t="s">
        <v>39</v>
      </c>
      <c r="B2735" s="19">
        <v>44006</v>
      </c>
      <c r="C2735" s="4">
        <v>0</v>
      </c>
      <c r="D2735" s="21">
        <v>22</v>
      </c>
      <c r="F2735" s="57">
        <f>E2735+F2711</f>
        <v>0</v>
      </c>
    </row>
    <row r="2736" spans="1:6" x14ac:dyDescent="0.25">
      <c r="A2736" s="5" t="s">
        <v>40</v>
      </c>
      <c r="B2736" s="19">
        <v>44006</v>
      </c>
      <c r="C2736" s="4">
        <v>0</v>
      </c>
      <c r="D2736" s="21">
        <v>149</v>
      </c>
      <c r="E2736" s="4">
        <v>1</v>
      </c>
      <c r="F2736" s="57">
        <f>E2736+F2712</f>
        <v>1</v>
      </c>
    </row>
    <row r="2737" spans="1:6" x14ac:dyDescent="0.25">
      <c r="A2737" s="5" t="s">
        <v>41</v>
      </c>
      <c r="B2737" s="19">
        <v>44006</v>
      </c>
      <c r="C2737" s="4">
        <v>10</v>
      </c>
      <c r="D2737" s="21">
        <v>70</v>
      </c>
      <c r="F2737" s="57">
        <f>E2737+F2713</f>
        <v>4</v>
      </c>
    </row>
    <row r="2738" spans="1:6" x14ac:dyDescent="0.25">
      <c r="A2738" s="42" t="s">
        <v>17</v>
      </c>
      <c r="B2738" s="19">
        <v>44007</v>
      </c>
      <c r="C2738" s="4">
        <v>1482</v>
      </c>
      <c r="D2738" s="21">
        <v>24643</v>
      </c>
      <c r="E2738" s="4">
        <v>15</v>
      </c>
      <c r="F2738" s="57">
        <f>E2738+F2714</f>
        <v>500</v>
      </c>
    </row>
    <row r="2739" spans="1:6" x14ac:dyDescent="0.25">
      <c r="A2739" s="5" t="s">
        <v>29</v>
      </c>
      <c r="B2739" s="19">
        <v>44007</v>
      </c>
      <c r="C2739" s="4">
        <v>0</v>
      </c>
      <c r="D2739" s="21">
        <v>0</v>
      </c>
      <c r="F2739" s="57">
        <f t="shared" ref="F2739:F2745" si="169">E2739+F2715</f>
        <v>0</v>
      </c>
    </row>
    <row r="2740" spans="1:6" x14ac:dyDescent="0.25">
      <c r="A2740" s="5" t="s">
        <v>16</v>
      </c>
      <c r="B2740" s="19">
        <v>44007</v>
      </c>
      <c r="C2740" s="4">
        <v>61</v>
      </c>
      <c r="D2740" s="21">
        <v>1755</v>
      </c>
      <c r="E2740" s="4">
        <v>2</v>
      </c>
      <c r="F2740" s="57">
        <f t="shared" si="169"/>
        <v>89</v>
      </c>
    </row>
    <row r="2741" spans="1:6" x14ac:dyDescent="0.25">
      <c r="A2741" s="5" t="s">
        <v>30</v>
      </c>
      <c r="B2741" s="19">
        <v>44007</v>
      </c>
      <c r="C2741" s="4">
        <v>1</v>
      </c>
      <c r="D2741" s="21">
        <v>104</v>
      </c>
      <c r="F2741" s="57">
        <f t="shared" si="169"/>
        <v>2</v>
      </c>
    </row>
    <row r="2742" spans="1:6" x14ac:dyDescent="0.25">
      <c r="A2742" s="5" t="s">
        <v>44</v>
      </c>
      <c r="B2742" s="19">
        <v>44007</v>
      </c>
      <c r="C2742" s="4">
        <v>942</v>
      </c>
      <c r="D2742" s="21">
        <v>22739</v>
      </c>
      <c r="E2742" s="4">
        <v>15</v>
      </c>
      <c r="F2742" s="57">
        <f t="shared" si="169"/>
        <v>437</v>
      </c>
    </row>
    <row r="2743" spans="1:6" x14ac:dyDescent="0.25">
      <c r="A2743" s="5" t="s">
        <v>21</v>
      </c>
      <c r="B2743" s="19">
        <v>44007</v>
      </c>
      <c r="C2743" s="4">
        <v>6</v>
      </c>
      <c r="D2743" s="21">
        <v>610</v>
      </c>
      <c r="F2743" s="57">
        <f t="shared" si="169"/>
        <v>33</v>
      </c>
    </row>
    <row r="2744" spans="1:6" x14ac:dyDescent="0.25">
      <c r="A2744" s="5" t="s">
        <v>31</v>
      </c>
      <c r="B2744" s="19">
        <v>44007</v>
      </c>
      <c r="C2744" s="4">
        <v>0</v>
      </c>
      <c r="D2744" s="21">
        <v>115</v>
      </c>
      <c r="F2744" s="57">
        <f t="shared" si="169"/>
        <v>0</v>
      </c>
    </row>
    <row r="2745" spans="1:6" x14ac:dyDescent="0.25">
      <c r="A2745" s="5" t="s">
        <v>32</v>
      </c>
      <c r="B2745" s="19">
        <v>44007</v>
      </c>
      <c r="C2745" s="4">
        <v>17</v>
      </c>
      <c r="D2745" s="21">
        <v>218</v>
      </c>
      <c r="F2745" s="57">
        <f t="shared" si="169"/>
        <v>0</v>
      </c>
    </row>
    <row r="2746" spans="1:6" x14ac:dyDescent="0.25">
      <c r="A2746" s="5" t="s">
        <v>42</v>
      </c>
      <c r="B2746" s="19">
        <v>44007</v>
      </c>
      <c r="C2746" s="4">
        <v>0</v>
      </c>
      <c r="D2746" s="21">
        <v>45</v>
      </c>
      <c r="F2746" s="57">
        <f t="shared" ref="F2746:F2757" si="170">E2746+F2721</f>
        <v>0</v>
      </c>
    </row>
    <row r="2747" spans="1:6" x14ac:dyDescent="0.25">
      <c r="A2747" s="5" t="s">
        <v>33</v>
      </c>
      <c r="B2747" s="19">
        <v>44007</v>
      </c>
      <c r="C2747" s="4">
        <v>1</v>
      </c>
      <c r="D2747" s="21">
        <v>44</v>
      </c>
      <c r="F2747" s="57">
        <f t="shared" si="170"/>
        <v>0</v>
      </c>
    </row>
    <row r="2748" spans="1:6" x14ac:dyDescent="0.25">
      <c r="A2748" s="5" t="s">
        <v>34</v>
      </c>
      <c r="B2748" s="19">
        <v>44007</v>
      </c>
      <c r="C2748" s="4">
        <v>0</v>
      </c>
      <c r="D2748" s="21">
        <v>7</v>
      </c>
      <c r="F2748" s="57">
        <f t="shared" si="170"/>
        <v>0</v>
      </c>
    </row>
    <row r="2749" spans="1:6" x14ac:dyDescent="0.25">
      <c r="A2749" s="5" t="s">
        <v>22</v>
      </c>
      <c r="B2749" s="19">
        <v>44007</v>
      </c>
      <c r="C2749" s="4">
        <v>2</v>
      </c>
      <c r="D2749" s="21">
        <v>74</v>
      </c>
      <c r="F2749" s="57">
        <f t="shared" si="170"/>
        <v>0</v>
      </c>
    </row>
    <row r="2750" spans="1:6" x14ac:dyDescent="0.25">
      <c r="A2750" s="5" t="s">
        <v>18</v>
      </c>
      <c r="B2750" s="19">
        <v>44007</v>
      </c>
      <c r="C2750" s="4">
        <v>1</v>
      </c>
      <c r="D2750" s="21">
        <v>148</v>
      </c>
      <c r="F2750" s="57">
        <f t="shared" si="170"/>
        <v>0</v>
      </c>
    </row>
    <row r="2751" spans="1:6" x14ac:dyDescent="0.25">
      <c r="A2751" s="5" t="s">
        <v>24</v>
      </c>
      <c r="B2751" s="19">
        <v>44007</v>
      </c>
      <c r="C2751" s="4">
        <v>1</v>
      </c>
      <c r="D2751" s="21">
        <v>46</v>
      </c>
      <c r="F2751" s="57">
        <f t="shared" si="170"/>
        <v>0</v>
      </c>
    </row>
    <row r="2752" spans="1:6" x14ac:dyDescent="0.25">
      <c r="A2752" s="5" t="s">
        <v>20</v>
      </c>
      <c r="B2752" s="19">
        <v>44007</v>
      </c>
      <c r="C2752" s="4">
        <v>20</v>
      </c>
      <c r="D2752" s="21">
        <v>375</v>
      </c>
      <c r="E2752" s="4">
        <v>2</v>
      </c>
      <c r="F2752" s="57">
        <f t="shared" si="170"/>
        <v>2</v>
      </c>
    </row>
    <row r="2753" spans="1:6" x14ac:dyDescent="0.25">
      <c r="A2753" s="5" t="s">
        <v>19</v>
      </c>
      <c r="B2753" s="19">
        <v>44007</v>
      </c>
      <c r="C2753" s="4">
        <v>50</v>
      </c>
      <c r="D2753" s="21">
        <v>792</v>
      </c>
      <c r="F2753" s="57">
        <f t="shared" si="170"/>
        <v>1</v>
      </c>
    </row>
    <row r="2754" spans="1:6" x14ac:dyDescent="0.25">
      <c r="A2754" s="5" t="s">
        <v>35</v>
      </c>
      <c r="B2754" s="19">
        <v>44007</v>
      </c>
      <c r="C2754" s="4">
        <v>0</v>
      </c>
      <c r="D2754" s="21">
        <v>25</v>
      </c>
      <c r="F2754" s="57">
        <f t="shared" si="170"/>
        <v>2</v>
      </c>
    </row>
    <row r="2755" spans="1:6" x14ac:dyDescent="0.25">
      <c r="A2755" s="5" t="s">
        <v>36</v>
      </c>
      <c r="B2755" s="19">
        <v>44007</v>
      </c>
      <c r="C2755" s="4">
        <v>0</v>
      </c>
      <c r="D2755" s="21">
        <v>8</v>
      </c>
      <c r="F2755" s="57">
        <f>E2755+F2731</f>
        <v>0</v>
      </c>
    </row>
    <row r="2756" spans="1:6" x14ac:dyDescent="0.25">
      <c r="A2756" s="5" t="s">
        <v>37</v>
      </c>
      <c r="B2756" s="19">
        <v>44007</v>
      </c>
      <c r="C2756" s="4">
        <v>0</v>
      </c>
      <c r="D2756" s="21">
        <v>11</v>
      </c>
      <c r="F2756" s="57">
        <f t="shared" si="170"/>
        <v>0</v>
      </c>
    </row>
    <row r="2757" spans="1:6" x14ac:dyDescent="0.25">
      <c r="A2757" s="5" t="s">
        <v>38</v>
      </c>
      <c r="B2757" s="19">
        <v>44007</v>
      </c>
      <c r="C2757" s="4">
        <v>0</v>
      </c>
      <c r="D2757" s="21">
        <v>50</v>
      </c>
      <c r="F2757" s="57">
        <f t="shared" si="170"/>
        <v>0</v>
      </c>
    </row>
    <row r="2758" spans="1:6" x14ac:dyDescent="0.25">
      <c r="A2758" s="5" t="s">
        <v>23</v>
      </c>
      <c r="B2758" s="19">
        <v>44007</v>
      </c>
      <c r="C2758" s="4">
        <v>21</v>
      </c>
      <c r="D2758" s="21">
        <v>394</v>
      </c>
      <c r="F2758" s="57">
        <f>E2758+F2734</f>
        <v>4</v>
      </c>
    </row>
    <row r="2759" spans="1:6" x14ac:dyDescent="0.25">
      <c r="A2759" s="5" t="s">
        <v>39</v>
      </c>
      <c r="B2759" s="19">
        <v>44007</v>
      </c>
      <c r="C2759" s="4">
        <v>0</v>
      </c>
      <c r="D2759" s="21">
        <v>22</v>
      </c>
      <c r="F2759" s="57">
        <f>E2759+F2735</f>
        <v>0</v>
      </c>
    </row>
    <row r="2760" spans="1:6" x14ac:dyDescent="0.25">
      <c r="A2760" s="5" t="s">
        <v>40</v>
      </c>
      <c r="B2760" s="19">
        <v>44007</v>
      </c>
      <c r="C2760" s="4">
        <v>0</v>
      </c>
      <c r="D2760" s="21">
        <v>149</v>
      </c>
      <c r="F2760" s="57">
        <f>E2760+F2736</f>
        <v>1</v>
      </c>
    </row>
    <row r="2761" spans="1:6" x14ac:dyDescent="0.25">
      <c r="A2761" s="5" t="s">
        <v>41</v>
      </c>
      <c r="B2761" s="19">
        <v>44007</v>
      </c>
      <c r="C2761" s="4">
        <v>1</v>
      </c>
      <c r="D2761" s="21">
        <v>71</v>
      </c>
      <c r="F2761" s="57">
        <f>E2761+F2737</f>
        <v>4</v>
      </c>
    </row>
    <row r="2762" spans="1:6" x14ac:dyDescent="0.25">
      <c r="A2762" s="42" t="s">
        <v>17</v>
      </c>
      <c r="B2762" s="19">
        <v>44008</v>
      </c>
      <c r="C2762" s="4">
        <v>1692</v>
      </c>
      <c r="D2762" s="21">
        <v>26335</v>
      </c>
      <c r="E2762" s="4">
        <v>21</v>
      </c>
      <c r="F2762" s="57">
        <f>E2762+F2738</f>
        <v>521</v>
      </c>
    </row>
    <row r="2763" spans="1:6" x14ac:dyDescent="0.25">
      <c r="A2763" s="5" t="s">
        <v>29</v>
      </c>
      <c r="B2763" s="19">
        <v>44008</v>
      </c>
      <c r="C2763" s="4">
        <v>0</v>
      </c>
      <c r="D2763" s="21">
        <v>0</v>
      </c>
      <c r="F2763" s="57">
        <f t="shared" ref="F2763:F2769" si="171">E2763+F2739</f>
        <v>0</v>
      </c>
    </row>
    <row r="2764" spans="1:6" x14ac:dyDescent="0.25">
      <c r="A2764" s="5" t="s">
        <v>16</v>
      </c>
      <c r="B2764" s="19">
        <v>44008</v>
      </c>
      <c r="C2764" s="4">
        <v>76</v>
      </c>
      <c r="D2764" s="21">
        <v>1831</v>
      </c>
      <c r="E2764" s="4">
        <v>2</v>
      </c>
      <c r="F2764" s="57">
        <f t="shared" si="171"/>
        <v>91</v>
      </c>
    </row>
    <row r="2765" spans="1:6" x14ac:dyDescent="0.25">
      <c r="A2765" s="5" t="s">
        <v>30</v>
      </c>
      <c r="B2765" s="19">
        <v>44008</v>
      </c>
      <c r="C2765" s="4">
        <v>10</v>
      </c>
      <c r="D2765" s="21">
        <v>114</v>
      </c>
      <c r="F2765" s="57">
        <f t="shared" si="171"/>
        <v>2</v>
      </c>
    </row>
    <row r="2766" spans="1:6" x14ac:dyDescent="0.25">
      <c r="A2766" s="5" t="s">
        <v>44</v>
      </c>
      <c r="B2766" s="19">
        <v>44008</v>
      </c>
      <c r="C2766" s="4">
        <v>967</v>
      </c>
      <c r="D2766" s="21">
        <v>23706</v>
      </c>
      <c r="E2766" s="4">
        <v>11</v>
      </c>
      <c r="F2766" s="57">
        <f t="shared" si="171"/>
        <v>448</v>
      </c>
    </row>
    <row r="2767" spans="1:6" x14ac:dyDescent="0.25">
      <c r="A2767" s="5" t="s">
        <v>21</v>
      </c>
      <c r="B2767" s="19">
        <v>44008</v>
      </c>
      <c r="C2767" s="4">
        <v>8</v>
      </c>
      <c r="D2767" s="21">
        <v>618</v>
      </c>
      <c r="F2767" s="57">
        <f t="shared" si="171"/>
        <v>33</v>
      </c>
    </row>
    <row r="2768" spans="1:6" x14ac:dyDescent="0.25">
      <c r="A2768" s="5" t="s">
        <v>31</v>
      </c>
      <c r="B2768" s="19">
        <v>44008</v>
      </c>
      <c r="C2768" s="4">
        <v>0</v>
      </c>
      <c r="D2768" s="21">
        <v>115</v>
      </c>
      <c r="F2768" s="57">
        <f t="shared" si="171"/>
        <v>0</v>
      </c>
    </row>
    <row r="2769" spans="1:6" x14ac:dyDescent="0.25">
      <c r="A2769" s="5" t="s">
        <v>32</v>
      </c>
      <c r="B2769" s="19">
        <v>44008</v>
      </c>
      <c r="C2769" s="4">
        <v>19</v>
      </c>
      <c r="D2769" s="21">
        <v>237</v>
      </c>
      <c r="F2769" s="57">
        <f t="shared" si="171"/>
        <v>0</v>
      </c>
    </row>
    <row r="2770" spans="1:6" x14ac:dyDescent="0.25">
      <c r="A2770" s="5" t="s">
        <v>42</v>
      </c>
      <c r="B2770" s="19">
        <v>44008</v>
      </c>
      <c r="C2770" s="4">
        <v>25</v>
      </c>
      <c r="D2770" s="21">
        <v>70</v>
      </c>
      <c r="F2770" s="57">
        <f t="shared" ref="F2770:F2781" si="172">E2770+F2745</f>
        <v>0</v>
      </c>
    </row>
    <row r="2771" spans="1:6" x14ac:dyDescent="0.25">
      <c r="A2771" s="5" t="s">
        <v>33</v>
      </c>
      <c r="B2771" s="19">
        <v>44008</v>
      </c>
      <c r="C2771" s="4">
        <v>27</v>
      </c>
      <c r="D2771" s="21">
        <v>71</v>
      </c>
      <c r="F2771" s="57">
        <f t="shared" si="172"/>
        <v>0</v>
      </c>
    </row>
    <row r="2772" spans="1:6" x14ac:dyDescent="0.25">
      <c r="A2772" s="5" t="s">
        <v>34</v>
      </c>
      <c r="B2772" s="19">
        <v>44008</v>
      </c>
      <c r="C2772" s="4">
        <v>0</v>
      </c>
      <c r="D2772" s="21">
        <v>7</v>
      </c>
      <c r="F2772" s="57">
        <f t="shared" si="172"/>
        <v>0</v>
      </c>
    </row>
    <row r="2773" spans="1:6" x14ac:dyDescent="0.25">
      <c r="A2773" s="5" t="s">
        <v>22</v>
      </c>
      <c r="B2773" s="19">
        <v>44008</v>
      </c>
      <c r="C2773" s="4">
        <v>1</v>
      </c>
      <c r="D2773" s="21">
        <v>75</v>
      </c>
      <c r="F2773" s="57">
        <f t="shared" si="172"/>
        <v>0</v>
      </c>
    </row>
    <row r="2774" spans="1:6" x14ac:dyDescent="0.25">
      <c r="A2774" s="5" t="s">
        <v>18</v>
      </c>
      <c r="B2774" s="19">
        <v>44008</v>
      </c>
      <c r="C2774" s="4">
        <v>3</v>
      </c>
      <c r="D2774" s="21">
        <v>151</v>
      </c>
      <c r="F2774" s="57">
        <f t="shared" si="172"/>
        <v>0</v>
      </c>
    </row>
    <row r="2775" spans="1:6" x14ac:dyDescent="0.25">
      <c r="A2775" s="5" t="s">
        <v>24</v>
      </c>
      <c r="B2775" s="19">
        <v>44008</v>
      </c>
      <c r="C2775" s="4">
        <v>0</v>
      </c>
      <c r="D2775" s="21">
        <v>46</v>
      </c>
      <c r="F2775" s="57">
        <f t="shared" si="172"/>
        <v>0</v>
      </c>
    </row>
    <row r="2776" spans="1:6" x14ac:dyDescent="0.25">
      <c r="A2776" s="5" t="s">
        <v>20</v>
      </c>
      <c r="B2776" s="19">
        <v>44008</v>
      </c>
      <c r="C2776" s="4">
        <v>31</v>
      </c>
      <c r="D2776" s="21">
        <v>406</v>
      </c>
      <c r="F2776" s="57">
        <f t="shared" si="172"/>
        <v>0</v>
      </c>
    </row>
    <row r="2777" spans="1:6" x14ac:dyDescent="0.25">
      <c r="A2777" s="5" t="s">
        <v>19</v>
      </c>
      <c r="B2777" s="19">
        <v>44008</v>
      </c>
      <c r="C2777" s="4">
        <v>13</v>
      </c>
      <c r="D2777" s="21">
        <v>805</v>
      </c>
      <c r="F2777" s="57">
        <f t="shared" si="172"/>
        <v>2</v>
      </c>
    </row>
    <row r="2778" spans="1:6" x14ac:dyDescent="0.25">
      <c r="A2778" s="5" t="s">
        <v>35</v>
      </c>
      <c r="B2778" s="19">
        <v>44008</v>
      </c>
      <c r="C2778" s="4">
        <v>0</v>
      </c>
      <c r="D2778" s="21">
        <v>25</v>
      </c>
      <c r="F2778" s="57">
        <f t="shared" si="172"/>
        <v>1</v>
      </c>
    </row>
    <row r="2779" spans="1:6" x14ac:dyDescent="0.25">
      <c r="A2779" s="5" t="s">
        <v>36</v>
      </c>
      <c r="B2779" s="19">
        <v>44008</v>
      </c>
      <c r="C2779" s="4">
        <v>0</v>
      </c>
      <c r="D2779" s="21">
        <v>8</v>
      </c>
      <c r="F2779" s="57">
        <f>E2779+F2755</f>
        <v>0</v>
      </c>
    </row>
    <row r="2780" spans="1:6" x14ac:dyDescent="0.25">
      <c r="A2780" s="5" t="s">
        <v>37</v>
      </c>
      <c r="B2780" s="19">
        <v>44008</v>
      </c>
      <c r="C2780" s="4">
        <v>0</v>
      </c>
      <c r="D2780" s="21">
        <v>11</v>
      </c>
      <c r="F2780" s="57">
        <f t="shared" si="172"/>
        <v>0</v>
      </c>
    </row>
    <row r="2781" spans="1:6" x14ac:dyDescent="0.25">
      <c r="A2781" s="5" t="s">
        <v>38</v>
      </c>
      <c r="B2781" s="19">
        <v>44008</v>
      </c>
      <c r="C2781" s="4">
        <v>0</v>
      </c>
      <c r="D2781" s="21">
        <v>50</v>
      </c>
      <c r="F2781" s="57">
        <f t="shared" si="172"/>
        <v>0</v>
      </c>
    </row>
    <row r="2782" spans="1:6" x14ac:dyDescent="0.25">
      <c r="A2782" s="5" t="s">
        <v>23</v>
      </c>
      <c r="B2782" s="19">
        <v>44008</v>
      </c>
      <c r="C2782" s="4">
        <v>12</v>
      </c>
      <c r="D2782" s="21">
        <v>406</v>
      </c>
      <c r="F2782" s="57">
        <f>E2782+F2758</f>
        <v>4</v>
      </c>
    </row>
    <row r="2783" spans="1:6" x14ac:dyDescent="0.25">
      <c r="A2783" s="5" t="s">
        <v>39</v>
      </c>
      <c r="B2783" s="19">
        <v>44008</v>
      </c>
      <c r="C2783" s="4">
        <v>0</v>
      </c>
      <c r="D2783" s="21">
        <v>22</v>
      </c>
      <c r="F2783" s="57">
        <f>E2783+F2759</f>
        <v>0</v>
      </c>
    </row>
    <row r="2784" spans="1:6" x14ac:dyDescent="0.25">
      <c r="A2784" s="5" t="s">
        <v>40</v>
      </c>
      <c r="B2784" s="19">
        <v>44008</v>
      </c>
      <c r="C2784" s="4">
        <v>0</v>
      </c>
      <c r="D2784" s="21">
        <v>149</v>
      </c>
      <c r="F2784" s="57">
        <f>E2784+F2760</f>
        <v>1</v>
      </c>
    </row>
    <row r="2785" spans="1:6" x14ac:dyDescent="0.25">
      <c r="A2785" s="5" t="s">
        <v>41</v>
      </c>
      <c r="B2785" s="19">
        <v>44008</v>
      </c>
      <c r="C2785" s="4">
        <v>1</v>
      </c>
      <c r="D2785" s="21">
        <v>72</v>
      </c>
      <c r="F2785" s="57">
        <f>E2785+F2761</f>
        <v>4</v>
      </c>
    </row>
    <row r="2786" spans="1:6" x14ac:dyDescent="0.25">
      <c r="A2786" s="42" t="s">
        <v>17</v>
      </c>
      <c r="B2786" s="19">
        <v>44009</v>
      </c>
      <c r="C2786" s="4">
        <v>1423</v>
      </c>
      <c r="D2786" s="21">
        <v>27758</v>
      </c>
      <c r="E2786" s="4">
        <v>13</v>
      </c>
      <c r="F2786" s="57">
        <f>E2786+F2762</f>
        <v>534</v>
      </c>
    </row>
    <row r="2787" spans="1:6" x14ac:dyDescent="0.25">
      <c r="A2787" s="5" t="s">
        <v>29</v>
      </c>
      <c r="B2787" s="19">
        <v>44009</v>
      </c>
      <c r="C2787" s="4">
        <v>0</v>
      </c>
      <c r="D2787" s="21">
        <v>0</v>
      </c>
      <c r="F2787" s="57">
        <f t="shared" ref="F2787:F2793" si="173">E2787+F2763</f>
        <v>0</v>
      </c>
    </row>
    <row r="2788" spans="1:6" x14ac:dyDescent="0.25">
      <c r="A2788" s="5" t="s">
        <v>16</v>
      </c>
      <c r="B2788" s="19">
        <v>44009</v>
      </c>
      <c r="C2788" s="4">
        <v>52</v>
      </c>
      <c r="D2788" s="21">
        <v>1883</v>
      </c>
      <c r="F2788" s="57">
        <f t="shared" si="173"/>
        <v>91</v>
      </c>
    </row>
    <row r="2789" spans="1:6" x14ac:dyDescent="0.25">
      <c r="A2789" s="5" t="s">
        <v>30</v>
      </c>
      <c r="B2789" s="19">
        <v>44009</v>
      </c>
      <c r="C2789" s="4">
        <v>0</v>
      </c>
      <c r="D2789" s="21">
        <v>114</v>
      </c>
      <c r="F2789" s="57">
        <f t="shared" si="173"/>
        <v>2</v>
      </c>
    </row>
    <row r="2790" spans="1:6" x14ac:dyDescent="0.25">
      <c r="A2790" s="5" t="s">
        <v>44</v>
      </c>
      <c r="B2790" s="19">
        <v>44009</v>
      </c>
      <c r="C2790" s="4">
        <v>849</v>
      </c>
      <c r="D2790" s="21">
        <v>24555</v>
      </c>
      <c r="E2790" s="4">
        <v>10</v>
      </c>
      <c r="F2790" s="57">
        <f t="shared" si="173"/>
        <v>458</v>
      </c>
    </row>
    <row r="2791" spans="1:6" x14ac:dyDescent="0.25">
      <c r="A2791" s="5" t="s">
        <v>21</v>
      </c>
      <c r="B2791" s="19">
        <v>44009</v>
      </c>
      <c r="C2791" s="4">
        <v>15</v>
      </c>
      <c r="D2791" s="21">
        <v>633</v>
      </c>
      <c r="F2791" s="57">
        <f t="shared" si="173"/>
        <v>33</v>
      </c>
    </row>
    <row r="2792" spans="1:6" x14ac:dyDescent="0.25">
      <c r="A2792" s="5" t="s">
        <v>31</v>
      </c>
      <c r="B2792" s="19">
        <v>44009</v>
      </c>
      <c r="C2792" s="4">
        <v>1</v>
      </c>
      <c r="D2792" s="21">
        <v>116</v>
      </c>
      <c r="F2792" s="57">
        <f t="shared" si="173"/>
        <v>0</v>
      </c>
    </row>
    <row r="2793" spans="1:6" x14ac:dyDescent="0.25">
      <c r="A2793" s="5" t="s">
        <v>32</v>
      </c>
      <c r="B2793" s="19">
        <v>44009</v>
      </c>
      <c r="C2793" s="4">
        <v>12</v>
      </c>
      <c r="D2793" s="21">
        <v>249</v>
      </c>
      <c r="F2793" s="57">
        <f t="shared" si="173"/>
        <v>0</v>
      </c>
    </row>
    <row r="2794" spans="1:6" x14ac:dyDescent="0.25">
      <c r="A2794" s="5" t="s">
        <v>42</v>
      </c>
      <c r="B2794" s="19">
        <v>44009</v>
      </c>
      <c r="C2794" s="4">
        <v>1</v>
      </c>
      <c r="D2794" s="21">
        <v>71</v>
      </c>
      <c r="F2794" s="57">
        <f t="shared" ref="F2794:F2805" si="174">E2794+F2769</f>
        <v>0</v>
      </c>
    </row>
    <row r="2795" spans="1:6" x14ac:dyDescent="0.25">
      <c r="A2795" s="5" t="s">
        <v>33</v>
      </c>
      <c r="B2795" s="19">
        <v>44009</v>
      </c>
      <c r="C2795" s="4">
        <v>3</v>
      </c>
      <c r="D2795" s="21">
        <v>74</v>
      </c>
      <c r="F2795" s="57">
        <f t="shared" si="174"/>
        <v>0</v>
      </c>
    </row>
    <row r="2796" spans="1:6" x14ac:dyDescent="0.25">
      <c r="A2796" s="5" t="s">
        <v>34</v>
      </c>
      <c r="B2796" s="19">
        <v>44009</v>
      </c>
      <c r="C2796" s="4">
        <v>0</v>
      </c>
      <c r="D2796" s="21">
        <v>7</v>
      </c>
      <c r="F2796" s="57">
        <f t="shared" si="174"/>
        <v>0</v>
      </c>
    </row>
    <row r="2797" spans="1:6" x14ac:dyDescent="0.25">
      <c r="A2797" s="5" t="s">
        <v>22</v>
      </c>
      <c r="B2797" s="19">
        <v>44009</v>
      </c>
      <c r="C2797" s="4">
        <v>1</v>
      </c>
      <c r="D2797" s="21">
        <v>76</v>
      </c>
      <c r="F2797" s="57">
        <f t="shared" si="174"/>
        <v>0</v>
      </c>
    </row>
    <row r="2798" spans="1:6" x14ac:dyDescent="0.25">
      <c r="A2798" s="5" t="s">
        <v>18</v>
      </c>
      <c r="B2798" s="19">
        <v>44009</v>
      </c>
      <c r="C2798" s="4">
        <v>6</v>
      </c>
      <c r="D2798" s="21">
        <v>157</v>
      </c>
      <c r="F2798" s="57">
        <f t="shared" si="174"/>
        <v>0</v>
      </c>
    </row>
    <row r="2799" spans="1:6" x14ac:dyDescent="0.25">
      <c r="A2799" s="5" t="s">
        <v>24</v>
      </c>
      <c r="B2799" s="19">
        <v>44009</v>
      </c>
      <c r="C2799" s="4">
        <v>0</v>
      </c>
      <c r="D2799" s="21">
        <v>46</v>
      </c>
      <c r="F2799" s="57">
        <f t="shared" si="174"/>
        <v>0</v>
      </c>
    </row>
    <row r="2800" spans="1:6" x14ac:dyDescent="0.25">
      <c r="A2800" s="5" t="s">
        <v>20</v>
      </c>
      <c r="B2800" s="19">
        <v>44009</v>
      </c>
      <c r="C2800" s="4">
        <v>16</v>
      </c>
      <c r="D2800" s="21">
        <v>422</v>
      </c>
      <c r="F2800" s="57">
        <f t="shared" si="174"/>
        <v>0</v>
      </c>
    </row>
    <row r="2801" spans="1:6" x14ac:dyDescent="0.25">
      <c r="A2801" s="5" t="s">
        <v>19</v>
      </c>
      <c r="B2801" s="19">
        <v>44009</v>
      </c>
      <c r="C2801" s="4">
        <v>14</v>
      </c>
      <c r="D2801" s="21">
        <v>819</v>
      </c>
      <c r="F2801" s="57">
        <f t="shared" si="174"/>
        <v>0</v>
      </c>
    </row>
    <row r="2802" spans="1:6" x14ac:dyDescent="0.25">
      <c r="A2802" s="5" t="s">
        <v>35</v>
      </c>
      <c r="B2802" s="19">
        <v>44009</v>
      </c>
      <c r="C2802" s="4">
        <v>2</v>
      </c>
      <c r="D2802" s="21">
        <v>27</v>
      </c>
      <c r="F2802" s="57">
        <f t="shared" si="174"/>
        <v>2</v>
      </c>
    </row>
    <row r="2803" spans="1:6" x14ac:dyDescent="0.25">
      <c r="A2803" s="5" t="s">
        <v>36</v>
      </c>
      <c r="B2803" s="19">
        <v>44009</v>
      </c>
      <c r="C2803" s="4">
        <v>0</v>
      </c>
      <c r="D2803" s="21">
        <v>8</v>
      </c>
      <c r="F2803" s="57">
        <f>E2803+F2779</f>
        <v>0</v>
      </c>
    </row>
    <row r="2804" spans="1:6" x14ac:dyDescent="0.25">
      <c r="A2804" s="5" t="s">
        <v>37</v>
      </c>
      <c r="B2804" s="19">
        <v>44009</v>
      </c>
      <c r="C2804" s="4">
        <v>0</v>
      </c>
      <c r="D2804" s="21">
        <v>11</v>
      </c>
      <c r="F2804" s="57">
        <f t="shared" si="174"/>
        <v>0</v>
      </c>
    </row>
    <row r="2805" spans="1:6" x14ac:dyDescent="0.25">
      <c r="A2805" s="5" t="s">
        <v>38</v>
      </c>
      <c r="B2805" s="19">
        <v>44009</v>
      </c>
      <c r="C2805" s="4">
        <v>0</v>
      </c>
      <c r="D2805" s="21">
        <v>50</v>
      </c>
      <c r="F2805" s="57">
        <f t="shared" si="174"/>
        <v>0</v>
      </c>
    </row>
    <row r="2806" spans="1:6" x14ac:dyDescent="0.25">
      <c r="A2806" s="5" t="s">
        <v>23</v>
      </c>
      <c r="B2806" s="19">
        <v>44009</v>
      </c>
      <c r="C2806" s="4">
        <v>5</v>
      </c>
      <c r="D2806" s="21">
        <v>411</v>
      </c>
      <c r="F2806" s="57">
        <f>E2806+F2782</f>
        <v>4</v>
      </c>
    </row>
    <row r="2807" spans="1:6" x14ac:dyDescent="0.25">
      <c r="A2807" s="5" t="s">
        <v>39</v>
      </c>
      <c r="B2807" s="19">
        <v>44009</v>
      </c>
      <c r="C2807" s="4">
        <v>0</v>
      </c>
      <c r="D2807" s="21">
        <v>22</v>
      </c>
      <c r="F2807" s="57">
        <f>E2807+F2783</f>
        <v>0</v>
      </c>
    </row>
    <row r="2808" spans="1:6" x14ac:dyDescent="0.25">
      <c r="A2808" s="5" t="s">
        <v>40</v>
      </c>
      <c r="B2808" s="19">
        <v>44009</v>
      </c>
      <c r="C2808" s="4">
        <v>0</v>
      </c>
      <c r="D2808" s="21">
        <v>149</v>
      </c>
      <c r="F2808" s="57">
        <f>E2808+F2784</f>
        <v>1</v>
      </c>
    </row>
    <row r="2809" spans="1:6" x14ac:dyDescent="0.25">
      <c r="A2809" s="5" t="s">
        <v>41</v>
      </c>
      <c r="B2809" s="19">
        <v>44009</v>
      </c>
      <c r="C2809" s="4">
        <v>1</v>
      </c>
      <c r="D2809" s="21">
        <v>73</v>
      </c>
      <c r="F2809" s="57">
        <f>E2809+F2785</f>
        <v>4</v>
      </c>
    </row>
    <row r="2810" spans="1:6" x14ac:dyDescent="0.25">
      <c r="A2810" s="42" t="s">
        <v>17</v>
      </c>
      <c r="B2810" s="19">
        <v>44010</v>
      </c>
      <c r="C2810" s="4">
        <v>1225</v>
      </c>
      <c r="D2810" s="21">
        <v>28983</v>
      </c>
      <c r="E2810" s="4">
        <v>11</v>
      </c>
      <c r="F2810" s="57">
        <f>E2810+F2786</f>
        <v>545</v>
      </c>
    </row>
    <row r="2811" spans="1:6" x14ac:dyDescent="0.25">
      <c r="A2811" s="5" t="s">
        <v>29</v>
      </c>
      <c r="B2811" s="19">
        <v>44010</v>
      </c>
      <c r="C2811" s="4">
        <v>0</v>
      </c>
      <c r="D2811" s="21">
        <v>0</v>
      </c>
      <c r="F2811" s="57">
        <f t="shared" ref="F2811:F2817" si="175">E2811+F2787</f>
        <v>0</v>
      </c>
    </row>
    <row r="2812" spans="1:6" x14ac:dyDescent="0.25">
      <c r="A2812" s="5" t="s">
        <v>16</v>
      </c>
      <c r="B2812" s="19">
        <v>44010</v>
      </c>
      <c r="C2812" s="4">
        <v>47</v>
      </c>
      <c r="D2812" s="21">
        <v>1930</v>
      </c>
      <c r="F2812" s="57">
        <f t="shared" si="175"/>
        <v>91</v>
      </c>
    </row>
    <row r="2813" spans="1:6" x14ac:dyDescent="0.25">
      <c r="A2813" s="5" t="s">
        <v>30</v>
      </c>
      <c r="B2813" s="19">
        <v>44010</v>
      </c>
      <c r="C2813" s="4">
        <v>5</v>
      </c>
      <c r="D2813" s="21">
        <v>119</v>
      </c>
      <c r="F2813" s="57">
        <f t="shared" si="175"/>
        <v>2</v>
      </c>
    </row>
    <row r="2814" spans="1:6" x14ac:dyDescent="0.25">
      <c r="A2814" s="5" t="s">
        <v>44</v>
      </c>
      <c r="B2814" s="19">
        <v>44010</v>
      </c>
      <c r="C2814" s="4">
        <v>852</v>
      </c>
      <c r="D2814" s="21">
        <v>25407</v>
      </c>
      <c r="E2814" s="4">
        <v>12</v>
      </c>
      <c r="F2814" s="57">
        <f>E2814+F2790</f>
        <v>470</v>
      </c>
    </row>
    <row r="2815" spans="1:6" x14ac:dyDescent="0.25">
      <c r="A2815" s="5" t="s">
        <v>21</v>
      </c>
      <c r="B2815" s="19">
        <v>44010</v>
      </c>
      <c r="C2815" s="4">
        <v>5</v>
      </c>
      <c r="D2815" s="21">
        <v>638</v>
      </c>
      <c r="F2815" s="57">
        <f t="shared" si="175"/>
        <v>33</v>
      </c>
    </row>
    <row r="2816" spans="1:6" x14ac:dyDescent="0.25">
      <c r="A2816" s="5" t="s">
        <v>31</v>
      </c>
      <c r="B2816" s="19">
        <v>44010</v>
      </c>
      <c r="C2816" s="4">
        <v>0</v>
      </c>
      <c r="D2816" s="21">
        <v>116</v>
      </c>
      <c r="F2816" s="57">
        <f t="shared" si="175"/>
        <v>0</v>
      </c>
    </row>
    <row r="2817" spans="1:6" x14ac:dyDescent="0.25">
      <c r="A2817" s="5" t="s">
        <v>32</v>
      </c>
      <c r="B2817" s="19">
        <v>44010</v>
      </c>
      <c r="C2817" s="4">
        <v>24</v>
      </c>
      <c r="D2817" s="21">
        <v>273</v>
      </c>
      <c r="F2817" s="57">
        <f t="shared" si="175"/>
        <v>0</v>
      </c>
    </row>
    <row r="2818" spans="1:6" x14ac:dyDescent="0.25">
      <c r="A2818" s="5" t="s">
        <v>42</v>
      </c>
      <c r="B2818" s="19">
        <v>44010</v>
      </c>
      <c r="C2818" s="4">
        <v>0</v>
      </c>
      <c r="D2818" s="21">
        <v>71</v>
      </c>
      <c r="F2818" s="57">
        <f t="shared" ref="F2818:F2829" si="176">E2818+F2793</f>
        <v>0</v>
      </c>
    </row>
    <row r="2819" spans="1:6" x14ac:dyDescent="0.25">
      <c r="A2819" s="5" t="s">
        <v>33</v>
      </c>
      <c r="B2819" s="19">
        <v>44010</v>
      </c>
      <c r="C2819" s="4">
        <v>0</v>
      </c>
      <c r="D2819" s="21">
        <v>74</v>
      </c>
      <c r="F2819" s="57">
        <f t="shared" si="176"/>
        <v>0</v>
      </c>
    </row>
    <row r="2820" spans="1:6" x14ac:dyDescent="0.25">
      <c r="A2820" s="5" t="s">
        <v>34</v>
      </c>
      <c r="B2820" s="19">
        <v>44010</v>
      </c>
      <c r="C2820" s="4">
        <v>0</v>
      </c>
      <c r="D2820" s="21">
        <v>7</v>
      </c>
      <c r="F2820" s="57">
        <f t="shared" si="176"/>
        <v>0</v>
      </c>
    </row>
    <row r="2821" spans="1:6" x14ac:dyDescent="0.25">
      <c r="A2821" s="5" t="s">
        <v>22</v>
      </c>
      <c r="B2821" s="19">
        <v>44010</v>
      </c>
      <c r="C2821" s="4">
        <v>0</v>
      </c>
      <c r="D2821" s="21">
        <v>76</v>
      </c>
      <c r="F2821" s="57">
        <f t="shared" si="176"/>
        <v>0</v>
      </c>
    </row>
    <row r="2822" spans="1:6" x14ac:dyDescent="0.25">
      <c r="A2822" s="5" t="s">
        <v>18</v>
      </c>
      <c r="B2822" s="19">
        <v>44010</v>
      </c>
      <c r="C2822" s="4">
        <v>6</v>
      </c>
      <c r="D2822" s="21">
        <v>163</v>
      </c>
      <c r="E2822" s="4">
        <v>1</v>
      </c>
      <c r="F2822" s="57">
        <f t="shared" si="176"/>
        <v>1</v>
      </c>
    </row>
    <row r="2823" spans="1:6" x14ac:dyDescent="0.25">
      <c r="A2823" s="5" t="s">
        <v>24</v>
      </c>
      <c r="B2823" s="19">
        <v>44010</v>
      </c>
      <c r="C2823" s="4">
        <v>0</v>
      </c>
      <c r="D2823" s="21">
        <v>46</v>
      </c>
      <c r="F2823" s="57">
        <f t="shared" si="176"/>
        <v>0</v>
      </c>
    </row>
    <row r="2824" spans="1:6" x14ac:dyDescent="0.25">
      <c r="A2824" s="5" t="s">
        <v>20</v>
      </c>
      <c r="B2824" s="19">
        <v>44010</v>
      </c>
      <c r="C2824" s="4">
        <v>12</v>
      </c>
      <c r="D2824" s="21">
        <v>434</v>
      </c>
      <c r="E2824" s="4">
        <v>1</v>
      </c>
      <c r="F2824" s="57">
        <f t="shared" si="176"/>
        <v>1</v>
      </c>
    </row>
    <row r="2825" spans="1:6" x14ac:dyDescent="0.25">
      <c r="A2825" s="5" t="s">
        <v>19</v>
      </c>
      <c r="B2825" s="19">
        <v>44010</v>
      </c>
      <c r="C2825" s="4">
        <v>6</v>
      </c>
      <c r="D2825" s="21">
        <v>825</v>
      </c>
      <c r="E2825" s="4">
        <v>1</v>
      </c>
      <c r="F2825" s="57">
        <f t="shared" si="176"/>
        <v>1</v>
      </c>
    </row>
    <row r="2826" spans="1:6" x14ac:dyDescent="0.25">
      <c r="A2826" s="5" t="s">
        <v>35</v>
      </c>
      <c r="B2826" s="19">
        <v>44010</v>
      </c>
      <c r="C2826" s="4">
        <v>0</v>
      </c>
      <c r="D2826" s="21">
        <v>27</v>
      </c>
      <c r="F2826" s="57">
        <f t="shared" si="176"/>
        <v>0</v>
      </c>
    </row>
    <row r="2827" spans="1:6" x14ac:dyDescent="0.25">
      <c r="A2827" s="5" t="s">
        <v>36</v>
      </c>
      <c r="B2827" s="19">
        <v>44010</v>
      </c>
      <c r="C2827" s="4">
        <v>0</v>
      </c>
      <c r="D2827" s="21">
        <v>8</v>
      </c>
      <c r="F2827" s="57">
        <f>E2827+F2803</f>
        <v>0</v>
      </c>
    </row>
    <row r="2828" spans="1:6" x14ac:dyDescent="0.25">
      <c r="A2828" s="5" t="s">
        <v>37</v>
      </c>
      <c r="B2828" s="19">
        <v>44010</v>
      </c>
      <c r="C2828" s="4">
        <v>0</v>
      </c>
      <c r="D2828" s="21">
        <v>11</v>
      </c>
      <c r="F2828" s="57">
        <f t="shared" si="176"/>
        <v>0</v>
      </c>
    </row>
    <row r="2829" spans="1:6" x14ac:dyDescent="0.25">
      <c r="A2829" s="5" t="s">
        <v>38</v>
      </c>
      <c r="B2829" s="19">
        <v>44010</v>
      </c>
      <c r="C2829" s="4">
        <v>0</v>
      </c>
      <c r="D2829" s="21">
        <v>50</v>
      </c>
      <c r="F2829" s="57">
        <f t="shared" si="176"/>
        <v>0</v>
      </c>
    </row>
    <row r="2830" spans="1:6" x14ac:dyDescent="0.25">
      <c r="A2830" s="5" t="s">
        <v>23</v>
      </c>
      <c r="B2830" s="19">
        <v>44010</v>
      </c>
      <c r="C2830" s="4">
        <v>6</v>
      </c>
      <c r="D2830" s="21">
        <v>417</v>
      </c>
      <c r="F2830" s="57">
        <f>E2830+F2806</f>
        <v>4</v>
      </c>
    </row>
    <row r="2831" spans="1:6" x14ac:dyDescent="0.25">
      <c r="A2831" s="5" t="s">
        <v>39</v>
      </c>
      <c r="B2831" s="19">
        <v>44010</v>
      </c>
      <c r="C2831" s="4">
        <v>1</v>
      </c>
      <c r="D2831" s="21">
        <v>23</v>
      </c>
      <c r="F2831" s="57">
        <f>E2831+F2807</f>
        <v>0</v>
      </c>
    </row>
    <row r="2832" spans="1:6" x14ac:dyDescent="0.25">
      <c r="A2832" s="5" t="s">
        <v>40</v>
      </c>
      <c r="B2832" s="19">
        <v>44010</v>
      </c>
      <c r="C2832" s="4">
        <v>0</v>
      </c>
      <c r="D2832" s="21">
        <v>149</v>
      </c>
      <c r="F2832" s="57">
        <f>E2832+F2808</f>
        <v>1</v>
      </c>
    </row>
    <row r="2833" spans="1:6" x14ac:dyDescent="0.25">
      <c r="A2833" s="5" t="s">
        <v>41</v>
      </c>
      <c r="B2833" s="19">
        <v>44010</v>
      </c>
      <c r="C2833" s="4">
        <v>0</v>
      </c>
      <c r="D2833" s="21">
        <v>73</v>
      </c>
      <c r="F2833" s="57">
        <f>E2833+F2809</f>
        <v>4</v>
      </c>
    </row>
    <row r="2834" spans="1:6" x14ac:dyDescent="0.25">
      <c r="A2834" s="42" t="s">
        <v>17</v>
      </c>
      <c r="B2834" s="19">
        <v>44011</v>
      </c>
      <c r="C2834" s="4">
        <v>1280</v>
      </c>
      <c r="D2834" s="21">
        <v>30263</v>
      </c>
      <c r="E2834" s="4">
        <v>21</v>
      </c>
      <c r="F2834" s="57">
        <f>E2834+F2810</f>
        <v>566</v>
      </c>
    </row>
    <row r="2835" spans="1:6" x14ac:dyDescent="0.25">
      <c r="A2835" s="5" t="s">
        <v>29</v>
      </c>
      <c r="B2835" s="19">
        <v>44011</v>
      </c>
      <c r="C2835" s="4">
        <v>0</v>
      </c>
      <c r="D2835" s="21">
        <v>0</v>
      </c>
      <c r="F2835" s="57">
        <f t="shared" ref="F2835:F2841" si="177">E2835+F2811</f>
        <v>0</v>
      </c>
    </row>
    <row r="2836" spans="1:6" x14ac:dyDescent="0.25">
      <c r="A2836" s="5" t="s">
        <v>16</v>
      </c>
      <c r="B2836" s="19">
        <v>44011</v>
      </c>
      <c r="C2836" s="4">
        <v>31</v>
      </c>
      <c r="D2836" s="21">
        <v>1961</v>
      </c>
      <c r="E2836" s="4">
        <v>2</v>
      </c>
      <c r="F2836" s="57">
        <f t="shared" si="177"/>
        <v>93</v>
      </c>
    </row>
    <row r="2837" spans="1:6" x14ac:dyDescent="0.25">
      <c r="A2837" s="5" t="s">
        <v>30</v>
      </c>
      <c r="B2837" s="19">
        <v>44011</v>
      </c>
      <c r="C2837" s="4">
        <v>1</v>
      </c>
      <c r="D2837" s="21">
        <v>120</v>
      </c>
      <c r="F2837" s="57">
        <f t="shared" si="177"/>
        <v>2</v>
      </c>
    </row>
    <row r="2838" spans="1:6" x14ac:dyDescent="0.25">
      <c r="A2838" s="5" t="s">
        <v>44</v>
      </c>
      <c r="B2838" s="19">
        <v>44011</v>
      </c>
      <c r="C2838" s="4">
        <v>944</v>
      </c>
      <c r="D2838" s="21">
        <v>26351</v>
      </c>
      <c r="E2838" s="4">
        <v>23</v>
      </c>
      <c r="F2838" s="57">
        <f t="shared" si="177"/>
        <v>493</v>
      </c>
    </row>
    <row r="2839" spans="1:6" x14ac:dyDescent="0.25">
      <c r="A2839" s="5" t="s">
        <v>21</v>
      </c>
      <c r="B2839" s="19">
        <v>44011</v>
      </c>
      <c r="C2839" s="4">
        <v>2</v>
      </c>
      <c r="D2839" s="21">
        <v>640</v>
      </c>
      <c r="E2839" s="4">
        <v>1</v>
      </c>
      <c r="F2839" s="57">
        <f t="shared" si="177"/>
        <v>34</v>
      </c>
    </row>
    <row r="2840" spans="1:6" x14ac:dyDescent="0.25">
      <c r="A2840" s="5" t="s">
        <v>31</v>
      </c>
      <c r="B2840" s="19">
        <v>44011</v>
      </c>
      <c r="C2840" s="4">
        <v>2</v>
      </c>
      <c r="D2840" s="21">
        <v>118</v>
      </c>
      <c r="F2840" s="57">
        <f t="shared" si="177"/>
        <v>0</v>
      </c>
    </row>
    <row r="2841" spans="1:6" x14ac:dyDescent="0.25">
      <c r="A2841" s="5" t="s">
        <v>32</v>
      </c>
      <c r="B2841" s="19">
        <v>44011</v>
      </c>
      <c r="C2841" s="4">
        <v>5</v>
      </c>
      <c r="D2841" s="21">
        <v>278</v>
      </c>
      <c r="F2841" s="57">
        <f t="shared" si="177"/>
        <v>0</v>
      </c>
    </row>
    <row r="2842" spans="1:6" x14ac:dyDescent="0.25">
      <c r="A2842" s="5" t="s">
        <v>42</v>
      </c>
      <c r="B2842" s="19">
        <v>44011</v>
      </c>
      <c r="C2842" s="4">
        <v>0</v>
      </c>
      <c r="D2842" s="21">
        <v>71</v>
      </c>
      <c r="F2842" s="57">
        <f t="shared" ref="F2842:F2853" si="178">E2842+F2817</f>
        <v>0</v>
      </c>
    </row>
    <row r="2843" spans="1:6" x14ac:dyDescent="0.25">
      <c r="A2843" s="5" t="s">
        <v>33</v>
      </c>
      <c r="B2843" s="19">
        <v>44011</v>
      </c>
      <c r="C2843" s="4">
        <v>16</v>
      </c>
      <c r="D2843" s="21">
        <v>90</v>
      </c>
      <c r="F2843" s="57">
        <f t="shared" si="178"/>
        <v>0</v>
      </c>
    </row>
    <row r="2844" spans="1:6" x14ac:dyDescent="0.25">
      <c r="A2844" s="5" t="s">
        <v>34</v>
      </c>
      <c r="B2844" s="19">
        <v>44011</v>
      </c>
      <c r="C2844" s="4">
        <v>0</v>
      </c>
      <c r="D2844" s="21">
        <v>7</v>
      </c>
      <c r="F2844" s="57">
        <f t="shared" si="178"/>
        <v>0</v>
      </c>
    </row>
    <row r="2845" spans="1:6" x14ac:dyDescent="0.25">
      <c r="A2845" s="5" t="s">
        <v>22</v>
      </c>
      <c r="B2845" s="19">
        <v>44011</v>
      </c>
      <c r="C2845" s="4">
        <v>4</v>
      </c>
      <c r="D2845" s="21">
        <v>80</v>
      </c>
      <c r="F2845" s="57">
        <f t="shared" si="178"/>
        <v>0</v>
      </c>
    </row>
    <row r="2846" spans="1:6" x14ac:dyDescent="0.25">
      <c r="A2846" s="5" t="s">
        <v>18</v>
      </c>
      <c r="B2846" s="19">
        <v>44011</v>
      </c>
      <c r="C2846" s="4">
        <v>1</v>
      </c>
      <c r="D2846" s="21">
        <v>164</v>
      </c>
      <c r="F2846" s="57">
        <f t="shared" si="178"/>
        <v>0</v>
      </c>
    </row>
    <row r="2847" spans="1:6" x14ac:dyDescent="0.25">
      <c r="A2847" s="5" t="s">
        <v>24</v>
      </c>
      <c r="B2847" s="19">
        <v>44011</v>
      </c>
      <c r="C2847" s="4">
        <v>1</v>
      </c>
      <c r="D2847" s="21">
        <v>47</v>
      </c>
      <c r="F2847" s="57">
        <f t="shared" si="178"/>
        <v>1</v>
      </c>
    </row>
    <row r="2848" spans="1:6" x14ac:dyDescent="0.25">
      <c r="A2848" s="5" t="s">
        <v>20</v>
      </c>
      <c r="B2848" s="19">
        <v>44011</v>
      </c>
      <c r="C2848" s="4">
        <v>18</v>
      </c>
      <c r="D2848" s="21">
        <v>452</v>
      </c>
      <c r="E2848" s="4">
        <v>1</v>
      </c>
      <c r="F2848" s="57">
        <f t="shared" si="178"/>
        <v>1</v>
      </c>
    </row>
    <row r="2849" spans="1:6" x14ac:dyDescent="0.25">
      <c r="A2849" s="5" t="s">
        <v>19</v>
      </c>
      <c r="B2849" s="19">
        <v>44011</v>
      </c>
      <c r="C2849" s="4">
        <v>24</v>
      </c>
      <c r="D2849" s="21">
        <v>849</v>
      </c>
      <c r="F2849" s="57">
        <f t="shared" si="178"/>
        <v>1</v>
      </c>
    </row>
    <row r="2850" spans="1:6" x14ac:dyDescent="0.25">
      <c r="A2850" s="5" t="s">
        <v>35</v>
      </c>
      <c r="B2850" s="19">
        <v>44011</v>
      </c>
      <c r="C2850" s="4">
        <v>3</v>
      </c>
      <c r="D2850" s="21">
        <v>30</v>
      </c>
      <c r="F2850" s="57">
        <f t="shared" si="178"/>
        <v>1</v>
      </c>
    </row>
    <row r="2851" spans="1:6" x14ac:dyDescent="0.25">
      <c r="A2851" s="5" t="s">
        <v>36</v>
      </c>
      <c r="B2851" s="19">
        <v>44011</v>
      </c>
      <c r="C2851" s="4">
        <v>0</v>
      </c>
      <c r="D2851" s="21">
        <v>8</v>
      </c>
      <c r="F2851" s="57">
        <f>E2851+F2827</f>
        <v>0</v>
      </c>
    </row>
    <row r="2852" spans="1:6" x14ac:dyDescent="0.25">
      <c r="A2852" s="5" t="s">
        <v>37</v>
      </c>
      <c r="B2852" s="19">
        <v>44011</v>
      </c>
      <c r="C2852" s="4">
        <v>0</v>
      </c>
      <c r="D2852" s="21">
        <v>11</v>
      </c>
      <c r="F2852" s="57">
        <f t="shared" si="178"/>
        <v>0</v>
      </c>
    </row>
    <row r="2853" spans="1:6" x14ac:dyDescent="0.25">
      <c r="A2853" s="5" t="s">
        <v>38</v>
      </c>
      <c r="B2853" s="19">
        <v>44011</v>
      </c>
      <c r="C2853" s="4">
        <v>0</v>
      </c>
      <c r="D2853" s="21">
        <v>50</v>
      </c>
      <c r="F2853" s="57">
        <f t="shared" si="178"/>
        <v>0</v>
      </c>
    </row>
    <row r="2854" spans="1:6" x14ac:dyDescent="0.25">
      <c r="A2854" s="5" t="s">
        <v>23</v>
      </c>
      <c r="B2854" s="19">
        <v>44011</v>
      </c>
      <c r="C2854" s="4">
        <v>3</v>
      </c>
      <c r="D2854" s="21">
        <v>420</v>
      </c>
      <c r="F2854" s="57">
        <f>E2854+F2830</f>
        <v>4</v>
      </c>
    </row>
    <row r="2855" spans="1:6" x14ac:dyDescent="0.25">
      <c r="A2855" s="5" t="s">
        <v>39</v>
      </c>
      <c r="B2855" s="19">
        <v>44011</v>
      </c>
      <c r="C2855" s="4">
        <v>1</v>
      </c>
      <c r="D2855" s="21">
        <v>24</v>
      </c>
      <c r="F2855" s="57">
        <f>E2855+F2831</f>
        <v>0</v>
      </c>
    </row>
    <row r="2856" spans="1:6" x14ac:dyDescent="0.25">
      <c r="A2856" s="5" t="s">
        <v>40</v>
      </c>
      <c r="B2856" s="19">
        <v>44011</v>
      </c>
      <c r="C2856" s="4">
        <v>0</v>
      </c>
      <c r="D2856" s="21">
        <v>149</v>
      </c>
      <c r="F2856" s="57">
        <f>E2856+F2832</f>
        <v>1</v>
      </c>
    </row>
    <row r="2857" spans="1:6" x14ac:dyDescent="0.25">
      <c r="A2857" s="5" t="s">
        <v>41</v>
      </c>
      <c r="B2857" s="19">
        <v>44011</v>
      </c>
      <c r="C2857" s="4">
        <v>0</v>
      </c>
      <c r="D2857" s="21">
        <v>73</v>
      </c>
      <c r="F2857" s="57">
        <f>E2857+F2833</f>
        <v>4</v>
      </c>
    </row>
    <row r="2858" spans="1:6" x14ac:dyDescent="0.25">
      <c r="A2858" s="42" t="s">
        <v>17</v>
      </c>
      <c r="B2858" s="19">
        <v>44012</v>
      </c>
      <c r="C2858" s="4">
        <v>1374</v>
      </c>
      <c r="D2858" s="21">
        <v>31637</v>
      </c>
      <c r="E2858" s="4">
        <v>13</v>
      </c>
      <c r="F2858" s="57">
        <f>E2858+F2834</f>
        <v>579</v>
      </c>
    </row>
    <row r="2859" spans="1:6" x14ac:dyDescent="0.25">
      <c r="A2859" s="5" t="s">
        <v>29</v>
      </c>
      <c r="B2859" s="19">
        <v>44012</v>
      </c>
      <c r="C2859" s="4">
        <v>0</v>
      </c>
      <c r="D2859" s="21">
        <v>0</v>
      </c>
      <c r="F2859" s="57">
        <f t="shared" ref="F2859:F2865" si="179">E2859+F2835</f>
        <v>0</v>
      </c>
    </row>
    <row r="2860" spans="1:6" x14ac:dyDescent="0.25">
      <c r="A2860" s="5" t="s">
        <v>16</v>
      </c>
      <c r="B2860" s="19">
        <v>44012</v>
      </c>
      <c r="C2860" s="4">
        <v>70</v>
      </c>
      <c r="D2860" s="21">
        <v>2031</v>
      </c>
      <c r="E2860" s="4">
        <v>2</v>
      </c>
      <c r="F2860" s="57">
        <f t="shared" si="179"/>
        <v>95</v>
      </c>
    </row>
    <row r="2861" spans="1:6" x14ac:dyDescent="0.25">
      <c r="A2861" s="5" t="s">
        <v>30</v>
      </c>
      <c r="B2861" s="19">
        <v>44012</v>
      </c>
      <c r="C2861" s="4">
        <v>8</v>
      </c>
      <c r="D2861" s="21">
        <v>128</v>
      </c>
      <c r="F2861" s="57">
        <f t="shared" si="179"/>
        <v>2</v>
      </c>
    </row>
    <row r="2862" spans="1:6" x14ac:dyDescent="0.25">
      <c r="A2862" s="5" t="s">
        <v>44</v>
      </c>
      <c r="B2862" s="19">
        <v>44012</v>
      </c>
      <c r="C2862" s="4">
        <v>744</v>
      </c>
      <c r="D2862" s="21">
        <v>27095</v>
      </c>
      <c r="E2862" s="4">
        <v>12</v>
      </c>
      <c r="F2862" s="57">
        <f t="shared" si="179"/>
        <v>505</v>
      </c>
    </row>
    <row r="2863" spans="1:6" x14ac:dyDescent="0.25">
      <c r="A2863" s="5" t="s">
        <v>21</v>
      </c>
      <c r="B2863" s="19">
        <v>44012</v>
      </c>
      <c r="C2863" s="4">
        <v>11</v>
      </c>
      <c r="D2863" s="21">
        <v>651</v>
      </c>
      <c r="F2863" s="57">
        <f t="shared" si="179"/>
        <v>34</v>
      </c>
    </row>
    <row r="2864" spans="1:6" x14ac:dyDescent="0.25">
      <c r="A2864" s="5" t="s">
        <v>31</v>
      </c>
      <c r="B2864" s="19">
        <v>44012</v>
      </c>
      <c r="C2864" s="4">
        <v>0</v>
      </c>
      <c r="D2864" s="21">
        <v>118</v>
      </c>
      <c r="F2864" s="57">
        <f t="shared" si="179"/>
        <v>0</v>
      </c>
    </row>
    <row r="2865" spans="1:6" x14ac:dyDescent="0.25">
      <c r="A2865" s="5" t="s">
        <v>32</v>
      </c>
      <c r="B2865" s="19">
        <v>44012</v>
      </c>
      <c r="C2865" s="4">
        <v>6</v>
      </c>
      <c r="D2865" s="21">
        <v>284</v>
      </c>
      <c r="F2865" s="57">
        <f t="shared" si="179"/>
        <v>0</v>
      </c>
    </row>
    <row r="2866" spans="1:6" x14ac:dyDescent="0.25">
      <c r="A2866" s="5" t="s">
        <v>42</v>
      </c>
      <c r="B2866" s="19">
        <v>44012</v>
      </c>
      <c r="C2866" s="4">
        <v>0</v>
      </c>
      <c r="D2866" s="21">
        <v>71</v>
      </c>
      <c r="F2866" s="57">
        <f t="shared" ref="F2866:F2877" si="180">E2866+F2841</f>
        <v>0</v>
      </c>
    </row>
    <row r="2867" spans="1:6" x14ac:dyDescent="0.25">
      <c r="A2867" s="5" t="s">
        <v>33</v>
      </c>
      <c r="B2867" s="19">
        <v>44012</v>
      </c>
      <c r="C2867" s="4">
        <v>6</v>
      </c>
      <c r="D2867" s="21">
        <v>96</v>
      </c>
      <c r="F2867" s="57">
        <f t="shared" si="180"/>
        <v>0</v>
      </c>
    </row>
    <row r="2868" spans="1:6" x14ac:dyDescent="0.25">
      <c r="A2868" s="5" t="s">
        <v>34</v>
      </c>
      <c r="B2868" s="19">
        <v>44012</v>
      </c>
      <c r="C2868" s="4">
        <v>0</v>
      </c>
      <c r="D2868" s="21">
        <v>7</v>
      </c>
      <c r="F2868" s="57">
        <f t="shared" si="180"/>
        <v>0</v>
      </c>
    </row>
    <row r="2869" spans="1:6" x14ac:dyDescent="0.25">
      <c r="A2869" s="5" t="s">
        <v>22</v>
      </c>
      <c r="B2869" s="19">
        <v>44012</v>
      </c>
      <c r="C2869" s="4">
        <v>4</v>
      </c>
      <c r="D2869" s="21">
        <v>84</v>
      </c>
      <c r="F2869" s="57">
        <f t="shared" si="180"/>
        <v>0</v>
      </c>
    </row>
    <row r="2870" spans="1:6" x14ac:dyDescent="0.25">
      <c r="A2870" s="5" t="s">
        <v>18</v>
      </c>
      <c r="B2870" s="19">
        <v>44012</v>
      </c>
      <c r="C2870" s="4">
        <v>4</v>
      </c>
      <c r="D2870" s="21">
        <v>168</v>
      </c>
      <c r="F2870" s="57">
        <f t="shared" si="180"/>
        <v>0</v>
      </c>
    </row>
    <row r="2871" spans="1:6" x14ac:dyDescent="0.25">
      <c r="A2871" s="5" t="s">
        <v>24</v>
      </c>
      <c r="B2871" s="19">
        <v>44012</v>
      </c>
      <c r="C2871" s="4">
        <v>0</v>
      </c>
      <c r="D2871" s="21">
        <v>47</v>
      </c>
      <c r="F2871" s="57">
        <f t="shared" si="180"/>
        <v>0</v>
      </c>
    </row>
    <row r="2872" spans="1:6" x14ac:dyDescent="0.25">
      <c r="A2872" s="5" t="s">
        <v>20</v>
      </c>
      <c r="B2872" s="19">
        <v>44012</v>
      </c>
      <c r="C2872" s="4">
        <v>18</v>
      </c>
      <c r="D2872" s="21">
        <v>470</v>
      </c>
      <c r="F2872" s="57">
        <f t="shared" si="180"/>
        <v>1</v>
      </c>
    </row>
    <row r="2873" spans="1:6" x14ac:dyDescent="0.25">
      <c r="A2873" s="5" t="s">
        <v>19</v>
      </c>
      <c r="B2873" s="19">
        <v>44012</v>
      </c>
      <c r="C2873" s="4">
        <v>15</v>
      </c>
      <c r="D2873" s="21">
        <v>864</v>
      </c>
      <c r="F2873" s="57">
        <f t="shared" si="180"/>
        <v>1</v>
      </c>
    </row>
    <row r="2874" spans="1:6" x14ac:dyDescent="0.25">
      <c r="A2874" s="5" t="s">
        <v>35</v>
      </c>
      <c r="B2874" s="19">
        <v>44012</v>
      </c>
      <c r="C2874" s="4">
        <v>1</v>
      </c>
      <c r="D2874" s="21">
        <v>31</v>
      </c>
      <c r="F2874" s="57">
        <f t="shared" si="180"/>
        <v>1</v>
      </c>
    </row>
    <row r="2875" spans="1:6" x14ac:dyDescent="0.25">
      <c r="A2875" s="5" t="s">
        <v>36</v>
      </c>
      <c r="B2875" s="19">
        <v>44012</v>
      </c>
      <c r="C2875" s="4">
        <v>0</v>
      </c>
      <c r="D2875" s="21">
        <v>8</v>
      </c>
      <c r="F2875" s="57">
        <f>E2875+F2851</f>
        <v>0</v>
      </c>
    </row>
    <row r="2876" spans="1:6" x14ac:dyDescent="0.25">
      <c r="A2876" s="5" t="s">
        <v>37</v>
      </c>
      <c r="B2876" s="19">
        <v>44012</v>
      </c>
      <c r="C2876" s="4">
        <v>0</v>
      </c>
      <c r="D2876" s="21">
        <v>11</v>
      </c>
      <c r="F2876" s="57">
        <f t="shared" si="180"/>
        <v>0</v>
      </c>
    </row>
    <row r="2877" spans="1:6" x14ac:dyDescent="0.25">
      <c r="A2877" s="5" t="s">
        <v>38</v>
      </c>
      <c r="B2877" s="19">
        <v>44012</v>
      </c>
      <c r="C2877" s="4">
        <v>0</v>
      </c>
      <c r="D2877" s="21">
        <v>50</v>
      </c>
      <c r="F2877" s="57">
        <f t="shared" si="180"/>
        <v>0</v>
      </c>
    </row>
    <row r="2878" spans="1:6" x14ac:dyDescent="0.25">
      <c r="A2878" s="5" t="s">
        <v>23</v>
      </c>
      <c r="B2878" s="19">
        <v>44012</v>
      </c>
      <c r="C2878" s="4">
        <v>1</v>
      </c>
      <c r="D2878" s="21">
        <v>421</v>
      </c>
      <c r="F2878" s="57">
        <f>E2878+F2854</f>
        <v>4</v>
      </c>
    </row>
    <row r="2879" spans="1:6" x14ac:dyDescent="0.25">
      <c r="A2879" s="5" t="s">
        <v>39</v>
      </c>
      <c r="B2879" s="19">
        <v>44012</v>
      </c>
      <c r="C2879" s="4">
        <v>0</v>
      </c>
      <c r="D2879" s="21">
        <v>24</v>
      </c>
      <c r="F2879" s="57">
        <f>E2879+F2855</f>
        <v>0</v>
      </c>
    </row>
    <row r="2880" spans="1:6" x14ac:dyDescent="0.25">
      <c r="A2880" s="5" t="s">
        <v>40</v>
      </c>
      <c r="B2880" s="19">
        <v>44012</v>
      </c>
      <c r="C2880" s="4">
        <v>0</v>
      </c>
      <c r="D2880" s="21">
        <v>149</v>
      </c>
      <c r="F2880" s="57">
        <f>E2880+F2856</f>
        <v>1</v>
      </c>
    </row>
    <row r="2881" spans="1:6" x14ac:dyDescent="0.25">
      <c r="A2881" s="5" t="s">
        <v>41</v>
      </c>
      <c r="B2881" s="19">
        <v>44012</v>
      </c>
      <c r="C2881" s="4">
        <v>0</v>
      </c>
      <c r="D2881" s="21">
        <v>73</v>
      </c>
      <c r="F2881" s="57">
        <f>E2881+F2857</f>
        <v>4</v>
      </c>
    </row>
    <row r="2882" spans="1:6" x14ac:dyDescent="0.25">
      <c r="A2882" s="42" t="s">
        <v>17</v>
      </c>
      <c r="B2882" s="19">
        <v>44013</v>
      </c>
      <c r="C2882" s="4">
        <v>1671</v>
      </c>
      <c r="D2882" s="21">
        <v>33308</v>
      </c>
      <c r="E2882" s="4">
        <v>27</v>
      </c>
      <c r="F2882" s="57">
        <f>E2882+F2858</f>
        <v>606</v>
      </c>
    </row>
    <row r="2883" spans="1:6" x14ac:dyDescent="0.25">
      <c r="A2883" s="5" t="s">
        <v>29</v>
      </c>
      <c r="B2883" s="19">
        <v>44013</v>
      </c>
      <c r="C2883" s="4">
        <v>0</v>
      </c>
      <c r="D2883" s="21">
        <v>0</v>
      </c>
      <c r="F2883" s="57">
        <f t="shared" ref="F2883:F2889" si="181">E2883+F2859</f>
        <v>0</v>
      </c>
    </row>
    <row r="2884" spans="1:6" x14ac:dyDescent="0.25">
      <c r="A2884" s="5" t="s">
        <v>16</v>
      </c>
      <c r="B2884" s="19">
        <v>44013</v>
      </c>
      <c r="C2884" s="4">
        <v>60</v>
      </c>
      <c r="D2884" s="21">
        <v>2091</v>
      </c>
      <c r="E2884" s="4">
        <v>3</v>
      </c>
      <c r="F2884" s="57">
        <f t="shared" si="181"/>
        <v>98</v>
      </c>
    </row>
    <row r="2885" spans="1:6" x14ac:dyDescent="0.25">
      <c r="A2885" s="5" t="s">
        <v>30</v>
      </c>
      <c r="B2885" s="19">
        <v>44013</v>
      </c>
      <c r="C2885" s="4">
        <v>8</v>
      </c>
      <c r="D2885" s="21">
        <v>136</v>
      </c>
      <c r="F2885" s="57">
        <f t="shared" si="181"/>
        <v>2</v>
      </c>
    </row>
    <row r="2886" spans="1:6" x14ac:dyDescent="0.25">
      <c r="A2886" s="5" t="s">
        <v>44</v>
      </c>
      <c r="B2886" s="19">
        <v>44013</v>
      </c>
      <c r="C2886" s="4">
        <v>841</v>
      </c>
      <c r="D2886" s="21">
        <v>27936</v>
      </c>
      <c r="E2886" s="4">
        <v>13</v>
      </c>
      <c r="F2886" s="57">
        <f t="shared" si="181"/>
        <v>518</v>
      </c>
    </row>
    <row r="2887" spans="1:6" x14ac:dyDescent="0.25">
      <c r="A2887" s="5" t="s">
        <v>21</v>
      </c>
      <c r="B2887" s="19">
        <v>44013</v>
      </c>
      <c r="C2887" s="4">
        <v>11</v>
      </c>
      <c r="D2887" s="21">
        <v>662</v>
      </c>
      <c r="F2887" s="57">
        <f t="shared" si="181"/>
        <v>34</v>
      </c>
    </row>
    <row r="2888" spans="1:6" x14ac:dyDescent="0.25">
      <c r="A2888" s="5" t="s">
        <v>31</v>
      </c>
      <c r="B2888" s="19">
        <v>44013</v>
      </c>
      <c r="C2888" s="4">
        <v>1</v>
      </c>
      <c r="D2888" s="21">
        <v>119</v>
      </c>
      <c r="F2888" s="57">
        <f t="shared" si="181"/>
        <v>0</v>
      </c>
    </row>
    <row r="2889" spans="1:6" x14ac:dyDescent="0.25">
      <c r="A2889" s="5" t="s">
        <v>32</v>
      </c>
      <c r="B2889" s="19">
        <v>44013</v>
      </c>
      <c r="C2889" s="4">
        <v>9</v>
      </c>
      <c r="D2889" s="21">
        <v>293</v>
      </c>
      <c r="F2889" s="57">
        <f t="shared" si="181"/>
        <v>0</v>
      </c>
    </row>
    <row r="2890" spans="1:6" x14ac:dyDescent="0.25">
      <c r="A2890" s="5" t="s">
        <v>42</v>
      </c>
      <c r="B2890" s="19">
        <v>44013</v>
      </c>
      <c r="C2890" s="4">
        <v>4</v>
      </c>
      <c r="D2890" s="21">
        <v>75</v>
      </c>
      <c r="F2890" s="57">
        <f t="shared" ref="F2890:F2901" si="182">E2890+F2865</f>
        <v>0</v>
      </c>
    </row>
    <row r="2891" spans="1:6" x14ac:dyDescent="0.25">
      <c r="A2891" s="5" t="s">
        <v>33</v>
      </c>
      <c r="B2891" s="19">
        <v>44013</v>
      </c>
      <c r="C2891" s="4">
        <v>17</v>
      </c>
      <c r="D2891" s="21">
        <v>113</v>
      </c>
      <c r="F2891" s="57">
        <f t="shared" si="182"/>
        <v>0</v>
      </c>
    </row>
    <row r="2892" spans="1:6" x14ac:dyDescent="0.25">
      <c r="A2892" s="5" t="s">
        <v>34</v>
      </c>
      <c r="B2892" s="19">
        <v>44013</v>
      </c>
      <c r="C2892" s="4">
        <v>0</v>
      </c>
      <c r="D2892" s="21">
        <v>7</v>
      </c>
      <c r="F2892" s="57">
        <f t="shared" si="182"/>
        <v>0</v>
      </c>
    </row>
    <row r="2893" spans="1:6" x14ac:dyDescent="0.25">
      <c r="A2893" s="5" t="s">
        <v>22</v>
      </c>
      <c r="B2893" s="19">
        <v>44013</v>
      </c>
      <c r="C2893" s="4">
        <v>1</v>
      </c>
      <c r="D2893" s="21">
        <v>85</v>
      </c>
      <c r="E2893" s="4">
        <v>1</v>
      </c>
      <c r="F2893" s="57">
        <f t="shared" si="182"/>
        <v>1</v>
      </c>
    </row>
    <row r="2894" spans="1:6" x14ac:dyDescent="0.25">
      <c r="A2894" s="5" t="s">
        <v>18</v>
      </c>
      <c r="B2894" s="19">
        <v>44013</v>
      </c>
      <c r="C2894" s="4">
        <v>7</v>
      </c>
      <c r="D2894" s="21">
        <v>175</v>
      </c>
      <c r="F2894" s="57">
        <f t="shared" si="182"/>
        <v>0</v>
      </c>
    </row>
    <row r="2895" spans="1:6" x14ac:dyDescent="0.25">
      <c r="A2895" s="5" t="s">
        <v>24</v>
      </c>
      <c r="B2895" s="19">
        <v>44013</v>
      </c>
      <c r="C2895" s="4">
        <v>0</v>
      </c>
      <c r="D2895" s="21">
        <v>47</v>
      </c>
      <c r="F2895" s="57">
        <f t="shared" si="182"/>
        <v>0</v>
      </c>
    </row>
    <row r="2896" spans="1:6" x14ac:dyDescent="0.25">
      <c r="A2896" s="5" t="s">
        <v>20</v>
      </c>
      <c r="B2896" s="19">
        <v>44013</v>
      </c>
      <c r="C2896" s="4">
        <v>12</v>
      </c>
      <c r="D2896" s="21">
        <v>482</v>
      </c>
      <c r="F2896" s="57">
        <f t="shared" si="182"/>
        <v>0</v>
      </c>
    </row>
    <row r="2897" spans="1:6" x14ac:dyDescent="0.25">
      <c r="A2897" s="5" t="s">
        <v>19</v>
      </c>
      <c r="B2897" s="19">
        <v>44013</v>
      </c>
      <c r="C2897" s="4">
        <v>13</v>
      </c>
      <c r="D2897" s="21">
        <v>877</v>
      </c>
      <c r="F2897" s="57">
        <f t="shared" si="182"/>
        <v>1</v>
      </c>
    </row>
    <row r="2898" spans="1:6" x14ac:dyDescent="0.25">
      <c r="A2898" s="5" t="s">
        <v>35</v>
      </c>
      <c r="B2898" s="19">
        <v>44013</v>
      </c>
      <c r="C2898" s="4">
        <v>2</v>
      </c>
      <c r="D2898" s="21">
        <v>33</v>
      </c>
      <c r="F2898" s="57">
        <f t="shared" si="182"/>
        <v>1</v>
      </c>
    </row>
    <row r="2899" spans="1:6" x14ac:dyDescent="0.25">
      <c r="A2899" s="5" t="s">
        <v>36</v>
      </c>
      <c r="B2899" s="19">
        <v>44013</v>
      </c>
      <c r="C2899" s="4">
        <v>0</v>
      </c>
      <c r="D2899" s="21">
        <v>8</v>
      </c>
      <c r="F2899" s="57">
        <f>E2899+F2875</f>
        <v>0</v>
      </c>
    </row>
    <row r="2900" spans="1:6" x14ac:dyDescent="0.25">
      <c r="A2900" s="5" t="s">
        <v>37</v>
      </c>
      <c r="B2900" s="19">
        <v>44013</v>
      </c>
      <c r="C2900" s="4">
        <v>0</v>
      </c>
      <c r="D2900" s="21">
        <v>11</v>
      </c>
      <c r="F2900" s="57">
        <f t="shared" si="182"/>
        <v>0</v>
      </c>
    </row>
    <row r="2901" spans="1:6" x14ac:dyDescent="0.25">
      <c r="A2901" s="5" t="s">
        <v>38</v>
      </c>
      <c r="B2901" s="19">
        <v>44013</v>
      </c>
      <c r="C2901" s="4">
        <v>0</v>
      </c>
      <c r="D2901" s="21">
        <v>50</v>
      </c>
      <c r="F2901" s="57">
        <f t="shared" si="182"/>
        <v>0</v>
      </c>
    </row>
    <row r="2902" spans="1:6" x14ac:dyDescent="0.25">
      <c r="A2902" s="5" t="s">
        <v>23</v>
      </c>
      <c r="B2902" s="19">
        <v>44013</v>
      </c>
      <c r="C2902" s="4">
        <v>1</v>
      </c>
      <c r="D2902" s="21">
        <v>422</v>
      </c>
      <c r="F2902" s="57">
        <f>E2902+F2878</f>
        <v>4</v>
      </c>
    </row>
    <row r="2903" spans="1:6" x14ac:dyDescent="0.25">
      <c r="A2903" s="5" t="s">
        <v>39</v>
      </c>
      <c r="B2903" s="19">
        <v>44013</v>
      </c>
      <c r="C2903" s="4">
        <v>1</v>
      </c>
      <c r="D2903" s="21">
        <v>25</v>
      </c>
      <c r="F2903" s="57">
        <f>E2903+F2879</f>
        <v>0</v>
      </c>
    </row>
    <row r="2904" spans="1:6" x14ac:dyDescent="0.25">
      <c r="A2904" s="5" t="s">
        <v>40</v>
      </c>
      <c r="B2904" s="19">
        <v>44013</v>
      </c>
      <c r="C2904" s="4">
        <v>0</v>
      </c>
      <c r="D2904" s="21">
        <v>149</v>
      </c>
      <c r="F2904" s="57">
        <f>E2904+F2880</f>
        <v>1</v>
      </c>
    </row>
    <row r="2905" spans="1:6" x14ac:dyDescent="0.25">
      <c r="A2905" s="5" t="s">
        <v>41</v>
      </c>
      <c r="B2905" s="19">
        <v>44013</v>
      </c>
      <c r="C2905" s="4">
        <v>8</v>
      </c>
      <c r="D2905" s="21">
        <v>81</v>
      </c>
      <c r="F2905" s="57">
        <f>E2905+F2881</f>
        <v>4</v>
      </c>
    </row>
    <row r="2906" spans="1:6" x14ac:dyDescent="0.25">
      <c r="A2906" s="42" t="s">
        <v>17</v>
      </c>
      <c r="B2906" s="19">
        <v>44014</v>
      </c>
      <c r="C2906" s="4">
        <v>1733</v>
      </c>
      <c r="D2906" s="21">
        <v>35041</v>
      </c>
      <c r="E2906" s="4">
        <v>21</v>
      </c>
      <c r="F2906" s="57">
        <f>E2906+F2882</f>
        <v>627</v>
      </c>
    </row>
    <row r="2907" spans="1:6" x14ac:dyDescent="0.25">
      <c r="A2907" s="5" t="s">
        <v>29</v>
      </c>
      <c r="B2907" s="19">
        <v>44014</v>
      </c>
      <c r="C2907" s="4">
        <v>0</v>
      </c>
      <c r="D2907" s="21">
        <v>0</v>
      </c>
      <c r="F2907" s="57">
        <f t="shared" ref="F2907:F2913" si="183">E2907+F2883</f>
        <v>0</v>
      </c>
    </row>
    <row r="2908" spans="1:6" x14ac:dyDescent="0.25">
      <c r="A2908" s="5" t="s">
        <v>16</v>
      </c>
      <c r="B2908" s="19">
        <v>44014</v>
      </c>
      <c r="C2908" s="4">
        <v>81</v>
      </c>
      <c r="D2908" s="21">
        <v>2172</v>
      </c>
      <c r="E2908" s="4">
        <v>2</v>
      </c>
      <c r="F2908" s="57">
        <f t="shared" si="183"/>
        <v>100</v>
      </c>
    </row>
    <row r="2909" spans="1:6" x14ac:dyDescent="0.25">
      <c r="A2909" s="5" t="s">
        <v>30</v>
      </c>
      <c r="B2909" s="19">
        <v>44014</v>
      </c>
      <c r="C2909" s="4">
        <v>0</v>
      </c>
      <c r="D2909" s="21">
        <v>136</v>
      </c>
      <c r="F2909" s="57">
        <f t="shared" si="183"/>
        <v>2</v>
      </c>
    </row>
    <row r="2910" spans="1:6" x14ac:dyDescent="0.25">
      <c r="A2910" s="5" t="s">
        <v>44</v>
      </c>
      <c r="B2910" s="19">
        <v>44014</v>
      </c>
      <c r="C2910" s="4">
        <v>840</v>
      </c>
      <c r="D2910" s="21">
        <v>28776</v>
      </c>
      <c r="E2910" s="4">
        <v>11</v>
      </c>
      <c r="F2910" s="57">
        <f t="shared" si="183"/>
        <v>529</v>
      </c>
    </row>
    <row r="2911" spans="1:6" x14ac:dyDescent="0.25">
      <c r="A2911" s="5" t="s">
        <v>21</v>
      </c>
      <c r="B2911" s="19">
        <v>44014</v>
      </c>
      <c r="C2911" s="4">
        <v>8</v>
      </c>
      <c r="D2911" s="21">
        <v>670</v>
      </c>
      <c r="F2911" s="57">
        <f t="shared" si="183"/>
        <v>34</v>
      </c>
    </row>
    <row r="2912" spans="1:6" x14ac:dyDescent="0.25">
      <c r="A2912" s="5" t="s">
        <v>31</v>
      </c>
      <c r="B2912" s="19">
        <v>44014</v>
      </c>
      <c r="C2912" s="4">
        <v>0</v>
      </c>
      <c r="D2912" s="21">
        <v>119</v>
      </c>
      <c r="F2912" s="57">
        <f t="shared" si="183"/>
        <v>0</v>
      </c>
    </row>
    <row r="2913" spans="1:6" x14ac:dyDescent="0.25">
      <c r="A2913" s="5" t="s">
        <v>32</v>
      </c>
      <c r="B2913" s="19">
        <v>44014</v>
      </c>
      <c r="C2913" s="4">
        <v>14</v>
      </c>
      <c r="D2913" s="21">
        <v>307</v>
      </c>
      <c r="F2913" s="57">
        <f t="shared" si="183"/>
        <v>0</v>
      </c>
    </row>
    <row r="2914" spans="1:6" x14ac:dyDescent="0.25">
      <c r="A2914" s="5" t="s">
        <v>42</v>
      </c>
      <c r="B2914" s="19">
        <v>44014</v>
      </c>
      <c r="C2914" s="4">
        <v>1</v>
      </c>
      <c r="D2914" s="21">
        <v>76</v>
      </c>
      <c r="F2914" s="57">
        <f t="shared" ref="F2914:F2925" si="184">E2914+F2889</f>
        <v>0</v>
      </c>
    </row>
    <row r="2915" spans="1:6" x14ac:dyDescent="0.25">
      <c r="A2915" s="5" t="s">
        <v>33</v>
      </c>
      <c r="B2915" s="19">
        <v>44014</v>
      </c>
      <c r="C2915" s="4">
        <v>14</v>
      </c>
      <c r="D2915" s="21">
        <v>127</v>
      </c>
      <c r="F2915" s="57">
        <f t="shared" si="184"/>
        <v>0</v>
      </c>
    </row>
    <row r="2916" spans="1:6" x14ac:dyDescent="0.25">
      <c r="A2916" s="5" t="s">
        <v>34</v>
      </c>
      <c r="B2916" s="19">
        <v>44014</v>
      </c>
      <c r="C2916" s="4">
        <v>0</v>
      </c>
      <c r="D2916" s="21">
        <v>7</v>
      </c>
      <c r="F2916" s="57">
        <f t="shared" si="184"/>
        <v>0</v>
      </c>
    </row>
    <row r="2917" spans="1:6" x14ac:dyDescent="0.25">
      <c r="A2917" s="5" t="s">
        <v>22</v>
      </c>
      <c r="B2917" s="19">
        <v>44014</v>
      </c>
      <c r="C2917" s="4">
        <v>3</v>
      </c>
      <c r="D2917" s="21">
        <v>88</v>
      </c>
      <c r="F2917" s="57">
        <f t="shared" si="184"/>
        <v>0</v>
      </c>
    </row>
    <row r="2918" spans="1:6" x14ac:dyDescent="0.25">
      <c r="A2918" s="5" t="s">
        <v>18</v>
      </c>
      <c r="B2918" s="19">
        <v>44014</v>
      </c>
      <c r="C2918" s="4">
        <v>2</v>
      </c>
      <c r="D2918" s="21">
        <v>177</v>
      </c>
      <c r="F2918" s="57">
        <f t="shared" si="184"/>
        <v>1</v>
      </c>
    </row>
    <row r="2919" spans="1:6" x14ac:dyDescent="0.25">
      <c r="A2919" s="5" t="s">
        <v>24</v>
      </c>
      <c r="B2919" s="19">
        <v>44014</v>
      </c>
      <c r="C2919" s="4">
        <v>0</v>
      </c>
      <c r="D2919" s="21">
        <v>47</v>
      </c>
      <c r="F2919" s="57">
        <f t="shared" si="184"/>
        <v>0</v>
      </c>
    </row>
    <row r="2920" spans="1:6" x14ac:dyDescent="0.25">
      <c r="A2920" s="5" t="s">
        <v>20</v>
      </c>
      <c r="B2920" s="19">
        <v>44014</v>
      </c>
      <c r="C2920" s="4">
        <v>12</v>
      </c>
      <c r="D2920" s="21">
        <v>494</v>
      </c>
      <c r="F2920" s="57">
        <f t="shared" si="184"/>
        <v>0</v>
      </c>
    </row>
    <row r="2921" spans="1:6" x14ac:dyDescent="0.25">
      <c r="A2921" s="5" t="s">
        <v>19</v>
      </c>
      <c r="B2921" s="19">
        <v>44014</v>
      </c>
      <c r="C2921" s="4">
        <v>34</v>
      </c>
      <c r="D2921" s="21">
        <v>911</v>
      </c>
      <c r="F2921" s="57">
        <f t="shared" si="184"/>
        <v>0</v>
      </c>
    </row>
    <row r="2922" spans="1:6" x14ac:dyDescent="0.25">
      <c r="A2922" s="5" t="s">
        <v>35</v>
      </c>
      <c r="B2922" s="19">
        <v>44014</v>
      </c>
      <c r="C2922" s="4">
        <v>0</v>
      </c>
      <c r="D2922" s="21">
        <v>33</v>
      </c>
      <c r="F2922" s="57">
        <f t="shared" si="184"/>
        <v>1</v>
      </c>
    </row>
    <row r="2923" spans="1:6" x14ac:dyDescent="0.25">
      <c r="A2923" s="5" t="s">
        <v>36</v>
      </c>
      <c r="B2923" s="19">
        <v>44014</v>
      </c>
      <c r="C2923" s="4">
        <v>0</v>
      </c>
      <c r="D2923" s="21">
        <v>8</v>
      </c>
      <c r="F2923" s="57">
        <f>E2923+F2899</f>
        <v>0</v>
      </c>
    </row>
    <row r="2924" spans="1:6" x14ac:dyDescent="0.25">
      <c r="A2924" s="5" t="s">
        <v>37</v>
      </c>
      <c r="B2924" s="19">
        <v>44014</v>
      </c>
      <c r="C2924" s="4">
        <v>0</v>
      </c>
      <c r="D2924" s="21">
        <v>11</v>
      </c>
      <c r="F2924" s="57">
        <f t="shared" si="184"/>
        <v>0</v>
      </c>
    </row>
    <row r="2925" spans="1:6" x14ac:dyDescent="0.25">
      <c r="A2925" s="5" t="s">
        <v>38</v>
      </c>
      <c r="B2925" s="19">
        <v>44014</v>
      </c>
      <c r="C2925" s="4">
        <v>0</v>
      </c>
      <c r="D2925" s="21">
        <v>50</v>
      </c>
      <c r="F2925" s="57">
        <f t="shared" si="184"/>
        <v>0</v>
      </c>
    </row>
    <row r="2926" spans="1:6" x14ac:dyDescent="0.25">
      <c r="A2926" s="5" t="s">
        <v>23</v>
      </c>
      <c r="B2926" s="19">
        <v>44014</v>
      </c>
      <c r="C2926" s="4">
        <v>2</v>
      </c>
      <c r="D2926" s="21">
        <v>424</v>
      </c>
      <c r="F2926" s="57">
        <f>E2926+F2902</f>
        <v>4</v>
      </c>
    </row>
    <row r="2927" spans="1:6" x14ac:dyDescent="0.25">
      <c r="A2927" s="5" t="s">
        <v>39</v>
      </c>
      <c r="B2927" s="19">
        <v>44014</v>
      </c>
      <c r="C2927" s="4">
        <v>0</v>
      </c>
      <c r="D2927" s="21">
        <v>25</v>
      </c>
      <c r="F2927" s="57">
        <f>E2927+F2903</f>
        <v>0</v>
      </c>
    </row>
    <row r="2928" spans="1:6" x14ac:dyDescent="0.25">
      <c r="A2928" s="5" t="s">
        <v>40</v>
      </c>
      <c r="B2928" s="19">
        <v>44014</v>
      </c>
      <c r="C2928" s="4">
        <v>0</v>
      </c>
      <c r="D2928" s="21">
        <v>149</v>
      </c>
      <c r="F2928" s="57">
        <f>E2928+F2904</f>
        <v>1</v>
      </c>
    </row>
    <row r="2929" spans="1:6" x14ac:dyDescent="0.25">
      <c r="A2929" s="5" t="s">
        <v>41</v>
      </c>
      <c r="B2929" s="19">
        <v>44014</v>
      </c>
      <c r="C2929" s="4">
        <v>0</v>
      </c>
      <c r="D2929" s="21">
        <v>81</v>
      </c>
      <c r="F2929" s="57">
        <f>E2929+F2905</f>
        <v>4</v>
      </c>
    </row>
    <row r="2930" spans="1:6" x14ac:dyDescent="0.25">
      <c r="A2930" s="42" t="s">
        <v>17</v>
      </c>
      <c r="B2930" s="19">
        <v>44015</v>
      </c>
      <c r="C2930" s="4">
        <v>1849</v>
      </c>
      <c r="D2930" s="21">
        <v>36890</v>
      </c>
      <c r="E2930" s="4">
        <v>26</v>
      </c>
      <c r="F2930" s="57">
        <f>E2930+F2906</f>
        <v>653</v>
      </c>
    </row>
    <row r="2931" spans="1:6" x14ac:dyDescent="0.25">
      <c r="A2931" s="5" t="s">
        <v>29</v>
      </c>
      <c r="B2931" s="19">
        <v>44015</v>
      </c>
      <c r="C2931" s="4">
        <v>1</v>
      </c>
      <c r="D2931" s="21">
        <v>1</v>
      </c>
      <c r="F2931" s="57">
        <f t="shared" ref="F2931:F2937" si="185">E2931+F2907</f>
        <v>0</v>
      </c>
    </row>
    <row r="2932" spans="1:6" x14ac:dyDescent="0.25">
      <c r="A2932" s="5" t="s">
        <v>16</v>
      </c>
      <c r="B2932" s="19">
        <v>44015</v>
      </c>
      <c r="C2932" s="4">
        <v>37</v>
      </c>
      <c r="D2932" s="21">
        <v>2209</v>
      </c>
      <c r="E2932" s="4">
        <v>3</v>
      </c>
      <c r="F2932" s="57">
        <f t="shared" si="185"/>
        <v>103</v>
      </c>
    </row>
    <row r="2933" spans="1:6" x14ac:dyDescent="0.25">
      <c r="A2933" s="5" t="s">
        <v>30</v>
      </c>
      <c r="B2933" s="19">
        <v>44015</v>
      </c>
      <c r="C2933" s="4">
        <v>12</v>
      </c>
      <c r="D2933" s="21">
        <v>148</v>
      </c>
      <c r="F2933" s="57">
        <f t="shared" si="185"/>
        <v>2</v>
      </c>
    </row>
    <row r="2934" spans="1:6" x14ac:dyDescent="0.25">
      <c r="A2934" s="5" t="s">
        <v>44</v>
      </c>
      <c r="B2934" s="19">
        <v>44015</v>
      </c>
      <c r="C2934" s="4">
        <v>835</v>
      </c>
      <c r="D2934" s="21">
        <v>29611</v>
      </c>
      <c r="E2934" s="4">
        <v>22</v>
      </c>
      <c r="F2934" s="57">
        <f t="shared" si="185"/>
        <v>551</v>
      </c>
    </row>
    <row r="2935" spans="1:6" x14ac:dyDescent="0.25">
      <c r="A2935" s="5" t="s">
        <v>21</v>
      </c>
      <c r="B2935" s="19">
        <v>44015</v>
      </c>
      <c r="C2935" s="4">
        <v>8</v>
      </c>
      <c r="D2935" s="21">
        <v>678</v>
      </c>
      <c r="F2935" s="57">
        <f t="shared" si="185"/>
        <v>34</v>
      </c>
    </row>
    <row r="2936" spans="1:6" x14ac:dyDescent="0.25">
      <c r="A2936" s="5" t="s">
        <v>31</v>
      </c>
      <c r="B2936" s="19">
        <v>44015</v>
      </c>
      <c r="C2936" s="4">
        <v>0</v>
      </c>
      <c r="D2936" s="21">
        <v>119</v>
      </c>
      <c r="F2936" s="57">
        <f t="shared" si="185"/>
        <v>0</v>
      </c>
    </row>
    <row r="2937" spans="1:6" x14ac:dyDescent="0.25">
      <c r="A2937" s="5" t="s">
        <v>32</v>
      </c>
      <c r="B2937" s="19">
        <v>44015</v>
      </c>
      <c r="C2937" s="4">
        <v>11</v>
      </c>
      <c r="D2937" s="21">
        <v>318</v>
      </c>
      <c r="F2937" s="57">
        <f t="shared" si="185"/>
        <v>0</v>
      </c>
    </row>
    <row r="2938" spans="1:6" x14ac:dyDescent="0.25">
      <c r="A2938" s="5" t="s">
        <v>42</v>
      </c>
      <c r="B2938" s="19">
        <v>44015</v>
      </c>
      <c r="C2938" s="4">
        <v>0</v>
      </c>
      <c r="D2938" s="21">
        <v>76</v>
      </c>
      <c r="F2938" s="57">
        <f t="shared" ref="F2938:F2949" si="186">E2938+F2913</f>
        <v>0</v>
      </c>
    </row>
    <row r="2939" spans="1:6" x14ac:dyDescent="0.25">
      <c r="A2939" s="5" t="s">
        <v>33</v>
      </c>
      <c r="B2939" s="19">
        <v>44015</v>
      </c>
      <c r="C2939" s="4">
        <v>20</v>
      </c>
      <c r="D2939" s="21">
        <v>147</v>
      </c>
      <c r="F2939" s="57">
        <f t="shared" si="186"/>
        <v>0</v>
      </c>
    </row>
    <row r="2940" spans="1:6" x14ac:dyDescent="0.25">
      <c r="A2940" s="5" t="s">
        <v>34</v>
      </c>
      <c r="B2940" s="19">
        <v>44015</v>
      </c>
      <c r="C2940" s="4">
        <v>0</v>
      </c>
      <c r="D2940" s="21">
        <v>7</v>
      </c>
      <c r="F2940" s="57">
        <f t="shared" si="186"/>
        <v>0</v>
      </c>
    </row>
    <row r="2941" spans="1:6" x14ac:dyDescent="0.25">
      <c r="A2941" s="5" t="s">
        <v>22</v>
      </c>
      <c r="B2941" s="19">
        <v>44015</v>
      </c>
      <c r="C2941" s="4">
        <v>3</v>
      </c>
      <c r="D2941" s="21">
        <v>91</v>
      </c>
      <c r="F2941" s="57">
        <f t="shared" si="186"/>
        <v>0</v>
      </c>
    </row>
    <row r="2942" spans="1:6" x14ac:dyDescent="0.25">
      <c r="A2942" s="5" t="s">
        <v>18</v>
      </c>
      <c r="B2942" s="19">
        <v>44015</v>
      </c>
      <c r="C2942" s="4">
        <v>3</v>
      </c>
      <c r="D2942" s="21">
        <v>180</v>
      </c>
      <c r="F2942" s="57">
        <f t="shared" si="186"/>
        <v>0</v>
      </c>
    </row>
    <row r="2943" spans="1:6" x14ac:dyDescent="0.25">
      <c r="A2943" s="5" t="s">
        <v>24</v>
      </c>
      <c r="B2943" s="19">
        <v>44015</v>
      </c>
      <c r="C2943" s="4">
        <v>0</v>
      </c>
      <c r="D2943" s="21">
        <v>47</v>
      </c>
      <c r="F2943" s="57">
        <f t="shared" si="186"/>
        <v>1</v>
      </c>
    </row>
    <row r="2944" spans="1:6" x14ac:dyDescent="0.25">
      <c r="A2944" s="5" t="s">
        <v>20</v>
      </c>
      <c r="B2944" s="19">
        <v>44015</v>
      </c>
      <c r="C2944" s="4">
        <v>28</v>
      </c>
      <c r="D2944" s="21">
        <v>522</v>
      </c>
      <c r="F2944" s="57">
        <f t="shared" si="186"/>
        <v>0</v>
      </c>
    </row>
    <row r="2945" spans="1:6" x14ac:dyDescent="0.25">
      <c r="A2945" s="5" t="s">
        <v>19</v>
      </c>
      <c r="B2945" s="19">
        <v>44015</v>
      </c>
      <c r="C2945" s="4">
        <v>23</v>
      </c>
      <c r="D2945" s="21">
        <v>934</v>
      </c>
      <c r="F2945" s="57">
        <f t="shared" si="186"/>
        <v>0</v>
      </c>
    </row>
    <row r="2946" spans="1:6" x14ac:dyDescent="0.25">
      <c r="A2946" s="5" t="s">
        <v>35</v>
      </c>
      <c r="B2946" s="19">
        <v>44015</v>
      </c>
      <c r="C2946" s="4">
        <v>8</v>
      </c>
      <c r="D2946" s="21">
        <v>41</v>
      </c>
      <c r="F2946" s="57">
        <f t="shared" si="186"/>
        <v>0</v>
      </c>
    </row>
    <row r="2947" spans="1:6" x14ac:dyDescent="0.25">
      <c r="A2947" s="5" t="s">
        <v>36</v>
      </c>
      <c r="B2947" s="19">
        <v>44015</v>
      </c>
      <c r="C2947" s="4">
        <v>0</v>
      </c>
      <c r="D2947" s="21">
        <v>8</v>
      </c>
      <c r="F2947" s="57">
        <f>E2947+F2923</f>
        <v>0</v>
      </c>
    </row>
    <row r="2948" spans="1:6" x14ac:dyDescent="0.25">
      <c r="A2948" s="5" t="s">
        <v>37</v>
      </c>
      <c r="B2948" s="19">
        <v>44015</v>
      </c>
      <c r="C2948" s="4">
        <v>0</v>
      </c>
      <c r="D2948" s="21">
        <v>11</v>
      </c>
      <c r="F2948" s="57">
        <f t="shared" si="186"/>
        <v>0</v>
      </c>
    </row>
    <row r="2949" spans="1:6" x14ac:dyDescent="0.25">
      <c r="A2949" s="5" t="s">
        <v>38</v>
      </c>
      <c r="B2949" s="19">
        <v>44015</v>
      </c>
      <c r="C2949" s="4">
        <v>0</v>
      </c>
      <c r="D2949" s="21">
        <v>50</v>
      </c>
      <c r="F2949" s="57">
        <f t="shared" si="186"/>
        <v>0</v>
      </c>
    </row>
    <row r="2950" spans="1:6" x14ac:dyDescent="0.25">
      <c r="A2950" s="5" t="s">
        <v>23</v>
      </c>
      <c r="B2950" s="19">
        <v>44015</v>
      </c>
      <c r="C2950" s="4">
        <v>5</v>
      </c>
      <c r="D2950" s="21">
        <v>429</v>
      </c>
      <c r="E2950" s="4">
        <v>1</v>
      </c>
      <c r="F2950" s="57">
        <f>E2950+F2926</f>
        <v>5</v>
      </c>
    </row>
    <row r="2951" spans="1:6" x14ac:dyDescent="0.25">
      <c r="A2951" s="5" t="s">
        <v>39</v>
      </c>
      <c r="B2951" s="19">
        <v>44015</v>
      </c>
      <c r="C2951" s="4">
        <v>0</v>
      </c>
      <c r="D2951" s="21">
        <v>25</v>
      </c>
      <c r="F2951" s="57">
        <f>E2951+F2927</f>
        <v>0</v>
      </c>
    </row>
    <row r="2952" spans="1:6" x14ac:dyDescent="0.25">
      <c r="A2952" s="5" t="s">
        <v>40</v>
      </c>
      <c r="B2952" s="19">
        <v>44015</v>
      </c>
      <c r="C2952" s="4">
        <v>0</v>
      </c>
      <c r="D2952" s="21">
        <v>149</v>
      </c>
      <c r="F2952" s="57">
        <f>E2952+F2928</f>
        <v>1</v>
      </c>
    </row>
    <row r="2953" spans="1:6" x14ac:dyDescent="0.25">
      <c r="A2953" s="5" t="s">
        <v>41</v>
      </c>
      <c r="B2953" s="19">
        <v>44015</v>
      </c>
      <c r="C2953" s="4">
        <v>2</v>
      </c>
      <c r="D2953" s="21">
        <v>83</v>
      </c>
      <c r="F2953" s="57">
        <f>E2953+F2929</f>
        <v>4</v>
      </c>
    </row>
    <row r="2954" spans="1:6" x14ac:dyDescent="0.25">
      <c r="A2954" s="42" t="s">
        <v>17</v>
      </c>
      <c r="B2954" s="19">
        <v>44016</v>
      </c>
      <c r="C2954" s="4">
        <v>1517</v>
      </c>
      <c r="D2954" s="21">
        <v>38407</v>
      </c>
      <c r="E2954" s="4">
        <v>26</v>
      </c>
      <c r="F2954" s="57">
        <f>E2954+F2930</f>
        <v>679</v>
      </c>
    </row>
    <row r="2955" spans="1:6" x14ac:dyDescent="0.25">
      <c r="A2955" s="5" t="s">
        <v>29</v>
      </c>
      <c r="B2955" s="19">
        <v>44016</v>
      </c>
      <c r="C2955" s="4">
        <v>5</v>
      </c>
      <c r="D2955" s="21">
        <v>6</v>
      </c>
      <c r="F2955" s="57">
        <f t="shared" ref="F2955:F2961" si="187">E2955+F2931</f>
        <v>0</v>
      </c>
    </row>
    <row r="2956" spans="1:6" x14ac:dyDescent="0.25">
      <c r="A2956" s="5" t="s">
        <v>16</v>
      </c>
      <c r="B2956" s="19">
        <v>44016</v>
      </c>
      <c r="C2956" s="4">
        <v>53</v>
      </c>
      <c r="D2956" s="21">
        <v>2262</v>
      </c>
      <c r="E2956" s="4">
        <v>3</v>
      </c>
      <c r="F2956" s="57">
        <f t="shared" si="187"/>
        <v>106</v>
      </c>
    </row>
    <row r="2957" spans="1:6" x14ac:dyDescent="0.25">
      <c r="A2957" s="5" t="s">
        <v>30</v>
      </c>
      <c r="B2957" s="19">
        <v>44016</v>
      </c>
      <c r="C2957" s="4">
        <v>0</v>
      </c>
      <c r="D2957" s="21">
        <v>148</v>
      </c>
      <c r="F2957" s="57">
        <f t="shared" si="187"/>
        <v>2</v>
      </c>
    </row>
    <row r="2958" spans="1:6" x14ac:dyDescent="0.25">
      <c r="A2958" s="5" t="s">
        <v>44</v>
      </c>
      <c r="B2958" s="19">
        <v>44016</v>
      </c>
      <c r="C2958" s="4">
        <v>899</v>
      </c>
      <c r="D2958" s="21">
        <v>30510</v>
      </c>
      <c r="E2958" s="4">
        <v>13</v>
      </c>
      <c r="F2958" s="57">
        <f t="shared" si="187"/>
        <v>564</v>
      </c>
    </row>
    <row r="2959" spans="1:6" x14ac:dyDescent="0.25">
      <c r="A2959" s="5" t="s">
        <v>21</v>
      </c>
      <c r="B2959" s="19">
        <v>44016</v>
      </c>
      <c r="C2959" s="4">
        <v>13</v>
      </c>
      <c r="D2959" s="21">
        <v>691</v>
      </c>
      <c r="F2959" s="57">
        <f t="shared" si="187"/>
        <v>34</v>
      </c>
    </row>
    <row r="2960" spans="1:6" x14ac:dyDescent="0.25">
      <c r="A2960" s="5" t="s">
        <v>31</v>
      </c>
      <c r="B2960" s="19">
        <v>44016</v>
      </c>
      <c r="C2960" s="4">
        <v>0</v>
      </c>
      <c r="D2960" s="21">
        <v>119</v>
      </c>
      <c r="F2960" s="57">
        <f t="shared" si="187"/>
        <v>0</v>
      </c>
    </row>
    <row r="2961" spans="1:6" x14ac:dyDescent="0.25">
      <c r="A2961" s="5" t="s">
        <v>32</v>
      </c>
      <c r="B2961" s="19">
        <v>44016</v>
      </c>
      <c r="C2961" s="4">
        <v>5</v>
      </c>
      <c r="D2961" s="21">
        <v>323</v>
      </c>
      <c r="F2961" s="57">
        <f t="shared" si="187"/>
        <v>0</v>
      </c>
    </row>
    <row r="2962" spans="1:6" x14ac:dyDescent="0.25">
      <c r="A2962" s="5" t="s">
        <v>42</v>
      </c>
      <c r="B2962" s="19">
        <v>44016</v>
      </c>
      <c r="C2962" s="4">
        <v>0</v>
      </c>
      <c r="D2962" s="21">
        <v>76</v>
      </c>
      <c r="F2962" s="57">
        <f t="shared" ref="F2962:F2973" si="188">E2962+F2937</f>
        <v>0</v>
      </c>
    </row>
    <row r="2963" spans="1:6" x14ac:dyDescent="0.25">
      <c r="A2963" s="5" t="s">
        <v>33</v>
      </c>
      <c r="B2963" s="19">
        <v>44016</v>
      </c>
      <c r="C2963" s="4">
        <v>14</v>
      </c>
      <c r="D2963" s="21">
        <v>161</v>
      </c>
      <c r="F2963" s="57">
        <f t="shared" si="188"/>
        <v>0</v>
      </c>
    </row>
    <row r="2964" spans="1:6" x14ac:dyDescent="0.25">
      <c r="A2964" s="5" t="s">
        <v>34</v>
      </c>
      <c r="B2964" s="19">
        <v>44016</v>
      </c>
      <c r="C2964" s="4">
        <v>0</v>
      </c>
      <c r="D2964" s="21">
        <v>7</v>
      </c>
      <c r="F2964" s="57">
        <f t="shared" si="188"/>
        <v>0</v>
      </c>
    </row>
    <row r="2965" spans="1:6" x14ac:dyDescent="0.25">
      <c r="A2965" s="5" t="s">
        <v>22</v>
      </c>
      <c r="B2965" s="19">
        <v>44016</v>
      </c>
      <c r="C2965" s="4">
        <v>5</v>
      </c>
      <c r="D2965" s="21">
        <v>96</v>
      </c>
      <c r="F2965" s="57">
        <f t="shared" si="188"/>
        <v>0</v>
      </c>
    </row>
    <row r="2966" spans="1:6" x14ac:dyDescent="0.25">
      <c r="A2966" s="5" t="s">
        <v>18</v>
      </c>
      <c r="B2966" s="19">
        <v>44016</v>
      </c>
      <c r="C2966" s="4">
        <v>4</v>
      </c>
      <c r="D2966" s="21">
        <v>184</v>
      </c>
      <c r="F2966" s="57">
        <f t="shared" si="188"/>
        <v>0</v>
      </c>
    </row>
    <row r="2967" spans="1:6" x14ac:dyDescent="0.25">
      <c r="A2967" s="5" t="s">
        <v>24</v>
      </c>
      <c r="B2967" s="19">
        <v>44016</v>
      </c>
      <c r="C2967" s="4">
        <v>0</v>
      </c>
      <c r="D2967" s="21">
        <v>47</v>
      </c>
      <c r="F2967" s="57">
        <f t="shared" si="188"/>
        <v>0</v>
      </c>
    </row>
    <row r="2968" spans="1:6" x14ac:dyDescent="0.25">
      <c r="A2968" s="5" t="s">
        <v>20</v>
      </c>
      <c r="B2968" s="19">
        <v>44016</v>
      </c>
      <c r="C2968" s="4">
        <v>20</v>
      </c>
      <c r="D2968" s="21">
        <v>542</v>
      </c>
      <c r="E2968" s="4">
        <v>1</v>
      </c>
      <c r="F2968" s="57">
        <f t="shared" si="188"/>
        <v>2</v>
      </c>
    </row>
    <row r="2969" spans="1:6" x14ac:dyDescent="0.25">
      <c r="A2969" s="5" t="s">
        <v>19</v>
      </c>
      <c r="B2969" s="19">
        <v>44016</v>
      </c>
      <c r="C2969" s="4">
        <v>28</v>
      </c>
      <c r="D2969" s="21">
        <v>962</v>
      </c>
      <c r="F2969" s="57">
        <f t="shared" si="188"/>
        <v>0</v>
      </c>
    </row>
    <row r="2970" spans="1:6" x14ac:dyDescent="0.25">
      <c r="A2970" s="5" t="s">
        <v>35</v>
      </c>
      <c r="B2970" s="19">
        <v>44016</v>
      </c>
      <c r="C2970" s="4">
        <v>16</v>
      </c>
      <c r="D2970" s="21">
        <v>57</v>
      </c>
      <c r="F2970" s="57">
        <f t="shared" si="188"/>
        <v>0</v>
      </c>
    </row>
    <row r="2971" spans="1:6" x14ac:dyDescent="0.25">
      <c r="A2971" s="5" t="s">
        <v>36</v>
      </c>
      <c r="B2971" s="19">
        <v>44016</v>
      </c>
      <c r="C2971" s="4">
        <v>0</v>
      </c>
      <c r="D2971" s="21">
        <v>8</v>
      </c>
      <c r="F2971" s="57">
        <f>E2971+F2947</f>
        <v>0</v>
      </c>
    </row>
    <row r="2972" spans="1:6" x14ac:dyDescent="0.25">
      <c r="A2972" s="5" t="s">
        <v>37</v>
      </c>
      <c r="B2972" s="19">
        <v>44016</v>
      </c>
      <c r="C2972" s="4">
        <v>1</v>
      </c>
      <c r="D2972" s="21">
        <v>12</v>
      </c>
      <c r="F2972" s="57">
        <f t="shared" si="188"/>
        <v>0</v>
      </c>
    </row>
    <row r="2973" spans="1:6" x14ac:dyDescent="0.25">
      <c r="A2973" s="5" t="s">
        <v>38</v>
      </c>
      <c r="B2973" s="19">
        <v>44016</v>
      </c>
      <c r="C2973" s="4">
        <v>0</v>
      </c>
      <c r="D2973" s="21">
        <v>50</v>
      </c>
      <c r="F2973" s="57">
        <f t="shared" si="188"/>
        <v>0</v>
      </c>
    </row>
    <row r="2974" spans="1:6" x14ac:dyDescent="0.25">
      <c r="A2974" s="5" t="s">
        <v>23</v>
      </c>
      <c r="B2974" s="19">
        <v>44016</v>
      </c>
      <c r="C2974" s="4">
        <v>5</v>
      </c>
      <c r="D2974" s="21">
        <v>434</v>
      </c>
      <c r="E2974" s="4">
        <v>1</v>
      </c>
      <c r="F2974" s="57">
        <f>E2974+F2950</f>
        <v>6</v>
      </c>
    </row>
    <row r="2975" spans="1:6" x14ac:dyDescent="0.25">
      <c r="A2975" s="5" t="s">
        <v>39</v>
      </c>
      <c r="B2975" s="19">
        <v>44016</v>
      </c>
      <c r="C2975" s="4">
        <v>0</v>
      </c>
      <c r="D2975" s="21">
        <v>25</v>
      </c>
      <c r="F2975" s="57">
        <f>E2975+F2951</f>
        <v>0</v>
      </c>
    </row>
    <row r="2976" spans="1:6" x14ac:dyDescent="0.25">
      <c r="A2976" s="5" t="s">
        <v>40</v>
      </c>
      <c r="B2976" s="19">
        <v>44016</v>
      </c>
      <c r="C2976" s="4">
        <v>4</v>
      </c>
      <c r="D2976" s="21">
        <v>153</v>
      </c>
      <c r="F2976" s="57">
        <f>E2976+F2952</f>
        <v>1</v>
      </c>
    </row>
    <row r="2977" spans="1:6" x14ac:dyDescent="0.25">
      <c r="A2977" s="5" t="s">
        <v>41</v>
      </c>
      <c r="B2977" s="19">
        <v>44016</v>
      </c>
      <c r="C2977" s="4">
        <v>1</v>
      </c>
      <c r="D2977" s="21">
        <v>84</v>
      </c>
      <c r="F2977" s="57">
        <f>E2977+F2953</f>
        <v>4</v>
      </c>
    </row>
    <row r="2978" spans="1:6" x14ac:dyDescent="0.25">
      <c r="A2978" s="42" t="s">
        <v>17</v>
      </c>
      <c r="B2978" s="19">
        <v>44017</v>
      </c>
      <c r="C2978" s="4">
        <v>1564</v>
      </c>
      <c r="D2978" s="21">
        <v>39971</v>
      </c>
      <c r="E2978" s="4">
        <v>12</v>
      </c>
      <c r="F2978" s="57">
        <f>E2978+F2954</f>
        <v>691</v>
      </c>
    </row>
    <row r="2979" spans="1:6" x14ac:dyDescent="0.25">
      <c r="A2979" s="5" t="s">
        <v>29</v>
      </c>
      <c r="B2979" s="19">
        <v>44017</v>
      </c>
      <c r="C2979" s="4">
        <v>0</v>
      </c>
      <c r="D2979" s="21">
        <v>6</v>
      </c>
      <c r="F2979" s="57">
        <f t="shared" ref="F2979:F2985" si="189">E2979+F2955</f>
        <v>0</v>
      </c>
    </row>
    <row r="2980" spans="1:6" x14ac:dyDescent="0.25">
      <c r="A2980" s="5" t="s">
        <v>16</v>
      </c>
      <c r="B2980" s="19">
        <v>44017</v>
      </c>
      <c r="C2980" s="4">
        <v>47</v>
      </c>
      <c r="D2980" s="21">
        <v>2309</v>
      </c>
      <c r="F2980" s="57">
        <f t="shared" si="189"/>
        <v>106</v>
      </c>
    </row>
    <row r="2981" spans="1:6" x14ac:dyDescent="0.25">
      <c r="A2981" s="5" t="s">
        <v>30</v>
      </c>
      <c r="B2981" s="19">
        <v>44017</v>
      </c>
      <c r="C2981" s="4">
        <v>6</v>
      </c>
      <c r="D2981" s="21">
        <v>154</v>
      </c>
      <c r="F2981" s="57">
        <f t="shared" si="189"/>
        <v>2</v>
      </c>
    </row>
    <row r="2982" spans="1:6" x14ac:dyDescent="0.25">
      <c r="A2982" s="5" t="s">
        <v>44</v>
      </c>
      <c r="B2982" s="19">
        <v>44017</v>
      </c>
      <c r="C2982" s="4">
        <v>767</v>
      </c>
      <c r="D2982" s="21">
        <v>31277</v>
      </c>
      <c r="E2982" s="4">
        <v>10</v>
      </c>
      <c r="F2982" s="57">
        <f t="shared" si="189"/>
        <v>574</v>
      </c>
    </row>
    <row r="2983" spans="1:6" x14ac:dyDescent="0.25">
      <c r="A2983" s="5" t="s">
        <v>21</v>
      </c>
      <c r="B2983" s="19">
        <v>44017</v>
      </c>
      <c r="C2983" s="4">
        <v>14</v>
      </c>
      <c r="D2983" s="21">
        <v>705</v>
      </c>
      <c r="F2983" s="57">
        <f t="shared" si="189"/>
        <v>34</v>
      </c>
    </row>
    <row r="2984" spans="1:6" x14ac:dyDescent="0.25">
      <c r="A2984" s="5" t="s">
        <v>31</v>
      </c>
      <c r="B2984" s="19">
        <v>44017</v>
      </c>
      <c r="C2984" s="4">
        <v>1</v>
      </c>
      <c r="D2984" s="21">
        <v>120</v>
      </c>
      <c r="F2984" s="57">
        <f t="shared" si="189"/>
        <v>0</v>
      </c>
    </row>
    <row r="2985" spans="1:6" x14ac:dyDescent="0.25">
      <c r="A2985" s="5" t="s">
        <v>32</v>
      </c>
      <c r="B2985" s="19">
        <v>44017</v>
      </c>
      <c r="C2985" s="4">
        <v>6</v>
      </c>
      <c r="D2985" s="21">
        <v>329</v>
      </c>
      <c r="F2985" s="57">
        <f t="shared" si="189"/>
        <v>0</v>
      </c>
    </row>
    <row r="2986" spans="1:6" x14ac:dyDescent="0.25">
      <c r="A2986" s="5" t="s">
        <v>42</v>
      </c>
      <c r="B2986" s="19">
        <v>44017</v>
      </c>
      <c r="C2986" s="4">
        <v>0</v>
      </c>
      <c r="D2986" s="21">
        <v>76</v>
      </c>
      <c r="F2986" s="57">
        <f t="shared" ref="F2986:F2997" si="190">E2986+F2961</f>
        <v>0</v>
      </c>
    </row>
    <row r="2987" spans="1:6" x14ac:dyDescent="0.25">
      <c r="A2987" s="5" t="s">
        <v>33</v>
      </c>
      <c r="B2987" s="19">
        <v>44017</v>
      </c>
      <c r="C2987" s="4">
        <v>1</v>
      </c>
      <c r="D2987" s="21">
        <v>162</v>
      </c>
      <c r="F2987" s="57">
        <f t="shared" si="190"/>
        <v>0</v>
      </c>
    </row>
    <row r="2988" spans="1:6" x14ac:dyDescent="0.25">
      <c r="A2988" s="5" t="s">
        <v>34</v>
      </c>
      <c r="B2988" s="19">
        <v>44017</v>
      </c>
      <c r="C2988" s="4">
        <v>0</v>
      </c>
      <c r="D2988" s="21">
        <v>7</v>
      </c>
      <c r="F2988" s="57">
        <f t="shared" si="190"/>
        <v>0</v>
      </c>
    </row>
    <row r="2989" spans="1:6" x14ac:dyDescent="0.25">
      <c r="A2989" s="5" t="s">
        <v>22</v>
      </c>
      <c r="B2989" s="19">
        <v>44017</v>
      </c>
      <c r="C2989" s="4">
        <v>6</v>
      </c>
      <c r="D2989" s="21">
        <v>102</v>
      </c>
      <c r="F2989" s="57">
        <f t="shared" si="190"/>
        <v>0</v>
      </c>
    </row>
    <row r="2990" spans="1:6" x14ac:dyDescent="0.25">
      <c r="A2990" s="5" t="s">
        <v>18</v>
      </c>
      <c r="B2990" s="19">
        <v>44017</v>
      </c>
      <c r="C2990" s="4">
        <v>7</v>
      </c>
      <c r="D2990" s="21">
        <v>191</v>
      </c>
      <c r="F2990" s="57">
        <f t="shared" si="190"/>
        <v>0</v>
      </c>
    </row>
    <row r="2991" spans="1:6" x14ac:dyDescent="0.25">
      <c r="A2991" s="5" t="s">
        <v>24</v>
      </c>
      <c r="B2991" s="19">
        <v>44017</v>
      </c>
      <c r="C2991" s="4">
        <v>0</v>
      </c>
      <c r="D2991" s="21">
        <v>47</v>
      </c>
      <c r="F2991" s="57">
        <f t="shared" si="190"/>
        <v>0</v>
      </c>
    </row>
    <row r="2992" spans="1:6" x14ac:dyDescent="0.25">
      <c r="A2992" s="5" t="s">
        <v>20</v>
      </c>
      <c r="B2992" s="19">
        <v>44017</v>
      </c>
      <c r="C2992" s="4">
        <v>9</v>
      </c>
      <c r="D2992" s="21">
        <v>551</v>
      </c>
      <c r="E2992" s="4">
        <v>3</v>
      </c>
      <c r="F2992" s="57">
        <f t="shared" si="190"/>
        <v>3</v>
      </c>
    </row>
    <row r="2993" spans="1:6" x14ac:dyDescent="0.25">
      <c r="A2993" s="5" t="s">
        <v>19</v>
      </c>
      <c r="B2993" s="19">
        <v>44017</v>
      </c>
      <c r="C2993" s="4">
        <v>3</v>
      </c>
      <c r="D2993" s="21">
        <v>965</v>
      </c>
      <c r="E2993" s="4">
        <v>1</v>
      </c>
      <c r="F2993" s="57">
        <f t="shared" si="190"/>
        <v>3</v>
      </c>
    </row>
    <row r="2994" spans="1:6" x14ac:dyDescent="0.25">
      <c r="A2994" s="5" t="s">
        <v>35</v>
      </c>
      <c r="B2994" s="19">
        <v>44017</v>
      </c>
      <c r="C2994" s="4">
        <v>2</v>
      </c>
      <c r="D2994" s="21">
        <v>59</v>
      </c>
      <c r="F2994" s="57">
        <f t="shared" si="190"/>
        <v>0</v>
      </c>
    </row>
    <row r="2995" spans="1:6" x14ac:dyDescent="0.25">
      <c r="A2995" s="5" t="s">
        <v>36</v>
      </c>
      <c r="B2995" s="19">
        <v>44017</v>
      </c>
      <c r="C2995" s="4">
        <v>0</v>
      </c>
      <c r="D2995" s="21">
        <v>8</v>
      </c>
      <c r="F2995" s="57">
        <f>E2995+F2971</f>
        <v>0</v>
      </c>
    </row>
    <row r="2996" spans="1:6" x14ac:dyDescent="0.25">
      <c r="A2996" s="5" t="s">
        <v>37</v>
      </c>
      <c r="B2996" s="19">
        <v>44017</v>
      </c>
      <c r="C2996" s="4">
        <v>0</v>
      </c>
      <c r="D2996" s="21">
        <v>12</v>
      </c>
      <c r="F2996" s="57">
        <f t="shared" si="190"/>
        <v>0</v>
      </c>
    </row>
    <row r="2997" spans="1:6" x14ac:dyDescent="0.25">
      <c r="A2997" s="5" t="s">
        <v>38</v>
      </c>
      <c r="B2997" s="19">
        <v>44017</v>
      </c>
      <c r="C2997" s="4">
        <v>0</v>
      </c>
      <c r="D2997" s="21">
        <v>50</v>
      </c>
      <c r="F2997" s="57">
        <f t="shared" si="190"/>
        <v>0</v>
      </c>
    </row>
    <row r="2998" spans="1:6" x14ac:dyDescent="0.25">
      <c r="A2998" s="5" t="s">
        <v>23</v>
      </c>
      <c r="B2998" s="19">
        <v>44017</v>
      </c>
      <c r="C2998" s="4">
        <v>3</v>
      </c>
      <c r="D2998" s="21">
        <v>437</v>
      </c>
      <c r="F2998" s="57">
        <f>E2998+F2974</f>
        <v>6</v>
      </c>
    </row>
    <row r="2999" spans="1:6" x14ac:dyDescent="0.25">
      <c r="A2999" s="5" t="s">
        <v>39</v>
      </c>
      <c r="B2999" s="19">
        <v>44017</v>
      </c>
      <c r="C2999" s="4">
        <v>0</v>
      </c>
      <c r="D2999" s="21">
        <v>25</v>
      </c>
      <c r="F2999" s="57">
        <f>E2999+F2975</f>
        <v>0</v>
      </c>
    </row>
    <row r="3000" spans="1:6" x14ac:dyDescent="0.25">
      <c r="A3000" s="5" t="s">
        <v>40</v>
      </c>
      <c r="B3000" s="19">
        <v>44017</v>
      </c>
      <c r="C3000" s="4">
        <v>0</v>
      </c>
      <c r="D3000" s="21">
        <v>153</v>
      </c>
      <c r="F3000" s="57">
        <f>E3000+F2976</f>
        <v>1</v>
      </c>
    </row>
    <row r="3001" spans="1:6" x14ac:dyDescent="0.25">
      <c r="A3001" s="5" t="s">
        <v>41</v>
      </c>
      <c r="B3001" s="19">
        <v>44017</v>
      </c>
      <c r="C3001" s="4">
        <v>3</v>
      </c>
      <c r="D3001" s="21">
        <v>87</v>
      </c>
      <c r="F3001" s="57">
        <f>E3001+F2977</f>
        <v>4</v>
      </c>
    </row>
    <row r="3002" spans="1:6" x14ac:dyDescent="0.25">
      <c r="A3002" s="42" t="s">
        <v>17</v>
      </c>
      <c r="B3002" s="19">
        <v>44018</v>
      </c>
      <c r="C3002" s="4">
        <v>1476</v>
      </c>
      <c r="D3002" s="21">
        <v>41447</v>
      </c>
      <c r="E3002" s="4">
        <v>54</v>
      </c>
      <c r="F3002" s="57">
        <f>E3002+F2978</f>
        <v>745</v>
      </c>
    </row>
    <row r="3003" spans="1:6" x14ac:dyDescent="0.25">
      <c r="A3003" s="5" t="s">
        <v>29</v>
      </c>
      <c r="B3003" s="19">
        <v>44018</v>
      </c>
      <c r="C3003" s="4">
        <v>1</v>
      </c>
      <c r="D3003" s="21">
        <v>7</v>
      </c>
      <c r="F3003" s="57">
        <f t="shared" ref="F3003:F3009" si="191">E3003+F2979</f>
        <v>0</v>
      </c>
    </row>
    <row r="3004" spans="1:6" x14ac:dyDescent="0.25">
      <c r="A3004" s="5" t="s">
        <v>16</v>
      </c>
      <c r="B3004" s="19">
        <v>44018</v>
      </c>
      <c r="C3004" s="4">
        <v>26</v>
      </c>
      <c r="D3004" s="21">
        <v>2335</v>
      </c>
      <c r="E3004" s="4">
        <v>2</v>
      </c>
      <c r="F3004" s="57">
        <f t="shared" si="191"/>
        <v>108</v>
      </c>
    </row>
    <row r="3005" spans="1:6" x14ac:dyDescent="0.25">
      <c r="A3005" s="5" t="s">
        <v>30</v>
      </c>
      <c r="B3005" s="19">
        <v>44018</v>
      </c>
      <c r="C3005" s="4">
        <v>6</v>
      </c>
      <c r="D3005" s="21">
        <v>160</v>
      </c>
      <c r="F3005" s="57">
        <f t="shared" si="191"/>
        <v>2</v>
      </c>
    </row>
    <row r="3006" spans="1:6" x14ac:dyDescent="0.25">
      <c r="A3006" s="5" t="s">
        <v>44</v>
      </c>
      <c r="B3006" s="19">
        <v>44018</v>
      </c>
      <c r="C3006" s="4">
        <v>995</v>
      </c>
      <c r="D3006" s="21">
        <v>32272</v>
      </c>
      <c r="E3006" s="4">
        <v>14</v>
      </c>
      <c r="F3006" s="57">
        <f t="shared" si="191"/>
        <v>588</v>
      </c>
    </row>
    <row r="3007" spans="1:6" x14ac:dyDescent="0.25">
      <c r="A3007" s="5" t="s">
        <v>21</v>
      </c>
      <c r="B3007" s="19">
        <v>44018</v>
      </c>
      <c r="C3007" s="4">
        <v>28</v>
      </c>
      <c r="D3007" s="21">
        <v>733</v>
      </c>
      <c r="F3007" s="57">
        <f t="shared" si="191"/>
        <v>34</v>
      </c>
    </row>
    <row r="3008" spans="1:6" x14ac:dyDescent="0.25">
      <c r="A3008" s="5" t="s">
        <v>31</v>
      </c>
      <c r="B3008" s="19">
        <v>44018</v>
      </c>
      <c r="C3008" s="4">
        <v>1</v>
      </c>
      <c r="D3008" s="21">
        <v>121</v>
      </c>
      <c r="F3008" s="57">
        <f t="shared" si="191"/>
        <v>0</v>
      </c>
    </row>
    <row r="3009" spans="1:6" x14ac:dyDescent="0.25">
      <c r="A3009" s="5" t="s">
        <v>32</v>
      </c>
      <c r="B3009" s="19">
        <v>44018</v>
      </c>
      <c r="C3009" s="4">
        <v>5</v>
      </c>
      <c r="D3009" s="21">
        <v>334</v>
      </c>
      <c r="F3009" s="57">
        <f t="shared" si="191"/>
        <v>0</v>
      </c>
    </row>
    <row r="3010" spans="1:6" x14ac:dyDescent="0.25">
      <c r="A3010" s="5" t="s">
        <v>42</v>
      </c>
      <c r="B3010" s="19">
        <v>44018</v>
      </c>
      <c r="C3010" s="4">
        <v>0</v>
      </c>
      <c r="D3010" s="21">
        <v>76</v>
      </c>
      <c r="F3010" s="57">
        <f t="shared" ref="F3010:F3021" si="192">E3010+F2985</f>
        <v>0</v>
      </c>
    </row>
    <row r="3011" spans="1:6" x14ac:dyDescent="0.25">
      <c r="A3011" s="5" t="s">
        <v>33</v>
      </c>
      <c r="B3011" s="19">
        <v>44018</v>
      </c>
      <c r="C3011" s="4">
        <v>29</v>
      </c>
      <c r="D3011" s="21">
        <v>191</v>
      </c>
      <c r="F3011" s="57">
        <f t="shared" si="192"/>
        <v>0</v>
      </c>
    </row>
    <row r="3012" spans="1:6" x14ac:dyDescent="0.25">
      <c r="A3012" s="5" t="s">
        <v>34</v>
      </c>
      <c r="B3012" s="19">
        <v>44018</v>
      </c>
      <c r="C3012" s="4">
        <v>0</v>
      </c>
      <c r="D3012" s="21">
        <v>7</v>
      </c>
      <c r="F3012" s="57">
        <f t="shared" si="192"/>
        <v>0</v>
      </c>
    </row>
    <row r="3013" spans="1:6" x14ac:dyDescent="0.25">
      <c r="A3013" s="5" t="s">
        <v>22</v>
      </c>
      <c r="B3013" s="19">
        <v>44018</v>
      </c>
      <c r="C3013" s="4">
        <v>5</v>
      </c>
      <c r="D3013" s="21">
        <v>107</v>
      </c>
      <c r="F3013" s="57">
        <f t="shared" si="192"/>
        <v>0</v>
      </c>
    </row>
    <row r="3014" spans="1:6" x14ac:dyDescent="0.25">
      <c r="A3014" s="5" t="s">
        <v>18</v>
      </c>
      <c r="B3014" s="19">
        <v>44018</v>
      </c>
      <c r="C3014" s="4">
        <v>4</v>
      </c>
      <c r="D3014" s="21">
        <v>195</v>
      </c>
      <c r="F3014" s="57">
        <f t="shared" si="192"/>
        <v>0</v>
      </c>
    </row>
    <row r="3015" spans="1:6" x14ac:dyDescent="0.25">
      <c r="A3015" s="5" t="s">
        <v>24</v>
      </c>
      <c r="B3015" s="19">
        <v>44018</v>
      </c>
      <c r="C3015" s="4">
        <v>2</v>
      </c>
      <c r="D3015" s="21">
        <v>49</v>
      </c>
      <c r="F3015" s="57">
        <f t="shared" si="192"/>
        <v>0</v>
      </c>
    </row>
    <row r="3016" spans="1:6" x14ac:dyDescent="0.25">
      <c r="A3016" s="5" t="s">
        <v>20</v>
      </c>
      <c r="B3016" s="19">
        <v>44018</v>
      </c>
      <c r="C3016" s="4">
        <v>34</v>
      </c>
      <c r="D3016" s="21">
        <v>585</v>
      </c>
      <c r="E3016" s="4">
        <v>1</v>
      </c>
      <c r="F3016" s="57">
        <f t="shared" si="192"/>
        <v>1</v>
      </c>
    </row>
    <row r="3017" spans="1:6" x14ac:dyDescent="0.25">
      <c r="A3017" s="5" t="s">
        <v>19</v>
      </c>
      <c r="B3017" s="19">
        <v>44018</v>
      </c>
      <c r="C3017" s="4">
        <v>7</v>
      </c>
      <c r="D3017" s="21">
        <v>972</v>
      </c>
      <c r="E3017" s="4">
        <v>3</v>
      </c>
      <c r="F3017" s="57">
        <f t="shared" si="192"/>
        <v>6</v>
      </c>
    </row>
    <row r="3018" spans="1:6" x14ac:dyDescent="0.25">
      <c r="A3018" s="5" t="s">
        <v>35</v>
      </c>
      <c r="B3018" s="19">
        <v>44018</v>
      </c>
      <c r="C3018" s="4">
        <v>2</v>
      </c>
      <c r="D3018" s="21">
        <v>61</v>
      </c>
      <c r="E3018" s="4">
        <v>1</v>
      </c>
      <c r="F3018" s="57">
        <f t="shared" si="192"/>
        <v>4</v>
      </c>
    </row>
    <row r="3019" spans="1:6" x14ac:dyDescent="0.25">
      <c r="A3019" s="5" t="s">
        <v>36</v>
      </c>
      <c r="B3019" s="19">
        <v>44018</v>
      </c>
      <c r="C3019" s="4">
        <v>1</v>
      </c>
      <c r="D3019" s="21">
        <v>9</v>
      </c>
      <c r="F3019" s="57">
        <f>E3019+F2995</f>
        <v>0</v>
      </c>
    </row>
    <row r="3020" spans="1:6" x14ac:dyDescent="0.25">
      <c r="A3020" s="5" t="s">
        <v>37</v>
      </c>
      <c r="B3020" s="19">
        <v>44018</v>
      </c>
      <c r="C3020" s="4">
        <v>0</v>
      </c>
      <c r="D3020" s="21">
        <v>12</v>
      </c>
      <c r="F3020" s="57">
        <f t="shared" si="192"/>
        <v>0</v>
      </c>
    </row>
    <row r="3021" spans="1:6" x14ac:dyDescent="0.25">
      <c r="A3021" s="5" t="s">
        <v>38</v>
      </c>
      <c r="B3021" s="19">
        <v>44018</v>
      </c>
      <c r="C3021" s="4">
        <v>4</v>
      </c>
      <c r="D3021" s="21">
        <v>54</v>
      </c>
      <c r="F3021" s="57">
        <f t="shared" si="192"/>
        <v>0</v>
      </c>
    </row>
    <row r="3022" spans="1:6" x14ac:dyDescent="0.25">
      <c r="A3022" s="5" t="s">
        <v>23</v>
      </c>
      <c r="B3022" s="19">
        <v>44018</v>
      </c>
      <c r="C3022" s="4">
        <v>5</v>
      </c>
      <c r="D3022" s="21">
        <v>442</v>
      </c>
      <c r="F3022" s="57">
        <f>E3022+F2998</f>
        <v>6</v>
      </c>
    </row>
    <row r="3023" spans="1:6" x14ac:dyDescent="0.25">
      <c r="A3023" s="5" t="s">
        <v>39</v>
      </c>
      <c r="B3023" s="19">
        <v>44018</v>
      </c>
      <c r="C3023" s="4">
        <v>1</v>
      </c>
      <c r="D3023" s="21">
        <v>26</v>
      </c>
      <c r="F3023" s="57">
        <f>E3023+F2999</f>
        <v>0</v>
      </c>
    </row>
    <row r="3024" spans="1:6" x14ac:dyDescent="0.25">
      <c r="A3024" s="5" t="s">
        <v>40</v>
      </c>
      <c r="B3024" s="19">
        <v>44018</v>
      </c>
      <c r="C3024" s="4">
        <v>0</v>
      </c>
      <c r="D3024" s="21">
        <v>153</v>
      </c>
      <c r="F3024" s="57">
        <f>E3024+F3000</f>
        <v>1</v>
      </c>
    </row>
    <row r="3025" spans="1:6" x14ac:dyDescent="0.25">
      <c r="A3025" s="5" t="s">
        <v>41</v>
      </c>
      <c r="B3025" s="19">
        <v>44018</v>
      </c>
      <c r="C3025" s="4">
        <v>0</v>
      </c>
      <c r="D3025" s="21">
        <v>87</v>
      </c>
      <c r="F3025" s="57">
        <f>E3025+F3001</f>
        <v>4</v>
      </c>
    </row>
    <row r="3026" spans="1:6" x14ac:dyDescent="0.25">
      <c r="A3026" s="42" t="s">
        <v>17</v>
      </c>
      <c r="B3026" s="19">
        <v>44019</v>
      </c>
      <c r="C3026" s="4">
        <v>1752</v>
      </c>
      <c r="D3026" s="21">
        <v>43199</v>
      </c>
      <c r="E3026" s="4">
        <v>39</v>
      </c>
      <c r="F3026" s="57">
        <f>E3026+F3002</f>
        <v>784</v>
      </c>
    </row>
    <row r="3027" spans="1:6" x14ac:dyDescent="0.25">
      <c r="A3027" s="5" t="s">
        <v>29</v>
      </c>
      <c r="B3027" s="19">
        <v>44019</v>
      </c>
      <c r="C3027" s="4">
        <v>0</v>
      </c>
      <c r="D3027" s="21">
        <v>7</v>
      </c>
      <c r="F3027" s="57">
        <f t="shared" ref="F3027:F3033" si="193">E3027+F3003</f>
        <v>0</v>
      </c>
    </row>
    <row r="3028" spans="1:6" x14ac:dyDescent="0.25">
      <c r="A3028" s="5" t="s">
        <v>16</v>
      </c>
      <c r="B3028" s="19">
        <v>44019</v>
      </c>
      <c r="C3028" s="4">
        <v>22</v>
      </c>
      <c r="D3028" s="21">
        <v>2357</v>
      </c>
      <c r="F3028" s="57">
        <f t="shared" si="193"/>
        <v>108</v>
      </c>
    </row>
    <row r="3029" spans="1:6" x14ac:dyDescent="0.25">
      <c r="A3029" s="5" t="s">
        <v>30</v>
      </c>
      <c r="B3029" s="19">
        <v>44019</v>
      </c>
      <c r="C3029" s="4">
        <v>0</v>
      </c>
      <c r="D3029" s="21">
        <v>160</v>
      </c>
      <c r="F3029" s="57">
        <f t="shared" si="193"/>
        <v>2</v>
      </c>
    </row>
    <row r="3030" spans="1:6" x14ac:dyDescent="0.25">
      <c r="A3030" s="5" t="s">
        <v>44</v>
      </c>
      <c r="B3030" s="19">
        <v>44019</v>
      </c>
      <c r="C3030" s="4">
        <v>1025</v>
      </c>
      <c r="D3030" s="21">
        <v>33297</v>
      </c>
      <c r="E3030" s="4">
        <v>21</v>
      </c>
      <c r="F3030" s="57">
        <f t="shared" si="193"/>
        <v>609</v>
      </c>
    </row>
    <row r="3031" spans="1:6" x14ac:dyDescent="0.25">
      <c r="A3031" s="5" t="s">
        <v>21</v>
      </c>
      <c r="B3031" s="19">
        <v>44019</v>
      </c>
      <c r="C3031" s="4">
        <v>48</v>
      </c>
      <c r="D3031" s="21">
        <v>781</v>
      </c>
      <c r="F3031" s="57">
        <f t="shared" si="193"/>
        <v>34</v>
      </c>
    </row>
    <row r="3032" spans="1:6" x14ac:dyDescent="0.25">
      <c r="A3032" s="5" t="s">
        <v>31</v>
      </c>
      <c r="B3032" s="19">
        <v>44019</v>
      </c>
      <c r="C3032" s="4">
        <v>1</v>
      </c>
      <c r="D3032" s="21">
        <v>122</v>
      </c>
      <c r="F3032" s="57">
        <f t="shared" si="193"/>
        <v>0</v>
      </c>
    </row>
    <row r="3033" spans="1:6" x14ac:dyDescent="0.25">
      <c r="A3033" s="5" t="s">
        <v>32</v>
      </c>
      <c r="B3033" s="19">
        <v>44019</v>
      </c>
      <c r="C3033" s="4">
        <v>10</v>
      </c>
      <c r="D3033" s="21">
        <v>344</v>
      </c>
      <c r="F3033" s="57">
        <f t="shared" si="193"/>
        <v>0</v>
      </c>
    </row>
    <row r="3034" spans="1:6" x14ac:dyDescent="0.25">
      <c r="A3034" s="5" t="s">
        <v>42</v>
      </c>
      <c r="B3034" s="19">
        <v>44019</v>
      </c>
      <c r="C3034" s="4">
        <v>0</v>
      </c>
      <c r="D3034" s="21">
        <v>76</v>
      </c>
      <c r="F3034" s="57">
        <f t="shared" ref="F3034:F3045" si="194">E3034+F3009</f>
        <v>0</v>
      </c>
    </row>
    <row r="3035" spans="1:6" x14ac:dyDescent="0.25">
      <c r="A3035" s="5" t="s">
        <v>33</v>
      </c>
      <c r="B3035" s="19">
        <v>44019</v>
      </c>
      <c r="C3035" s="4">
        <v>30</v>
      </c>
      <c r="D3035" s="21">
        <v>221</v>
      </c>
      <c r="F3035" s="57">
        <f t="shared" si="194"/>
        <v>0</v>
      </c>
    </row>
    <row r="3036" spans="1:6" x14ac:dyDescent="0.25">
      <c r="A3036" s="5" t="s">
        <v>34</v>
      </c>
      <c r="B3036" s="19">
        <v>44019</v>
      </c>
      <c r="C3036" s="4">
        <v>0</v>
      </c>
      <c r="D3036" s="21">
        <v>7</v>
      </c>
      <c r="F3036" s="57">
        <f t="shared" si="194"/>
        <v>0</v>
      </c>
    </row>
    <row r="3037" spans="1:6" x14ac:dyDescent="0.25">
      <c r="A3037" s="5" t="s">
        <v>22</v>
      </c>
      <c r="B3037" s="19">
        <v>44019</v>
      </c>
      <c r="C3037" s="4">
        <v>3</v>
      </c>
      <c r="D3037" s="21">
        <v>110</v>
      </c>
      <c r="F3037" s="57">
        <f t="shared" si="194"/>
        <v>0</v>
      </c>
    </row>
    <row r="3038" spans="1:6" x14ac:dyDescent="0.25">
      <c r="A3038" s="5" t="s">
        <v>18</v>
      </c>
      <c r="B3038" s="19">
        <v>44019</v>
      </c>
      <c r="C3038" s="4">
        <v>23</v>
      </c>
      <c r="D3038" s="21">
        <v>218</v>
      </c>
      <c r="F3038" s="57">
        <f t="shared" si="194"/>
        <v>0</v>
      </c>
    </row>
    <row r="3039" spans="1:6" x14ac:dyDescent="0.25">
      <c r="A3039" s="5" t="s">
        <v>24</v>
      </c>
      <c r="B3039" s="19">
        <v>44019</v>
      </c>
      <c r="C3039" s="4">
        <v>0</v>
      </c>
      <c r="D3039" s="21">
        <v>49</v>
      </c>
      <c r="F3039" s="57">
        <f t="shared" si="194"/>
        <v>0</v>
      </c>
    </row>
    <row r="3040" spans="1:6" x14ac:dyDescent="0.25">
      <c r="A3040" s="5" t="s">
        <v>20</v>
      </c>
      <c r="B3040" s="19">
        <v>44019</v>
      </c>
      <c r="C3040" s="4">
        <v>22</v>
      </c>
      <c r="D3040" s="21">
        <v>607</v>
      </c>
      <c r="F3040" s="57">
        <f t="shared" si="194"/>
        <v>0</v>
      </c>
    </row>
    <row r="3041" spans="1:6" x14ac:dyDescent="0.25">
      <c r="A3041" s="5" t="s">
        <v>19</v>
      </c>
      <c r="B3041" s="19">
        <v>44019</v>
      </c>
      <c r="C3041" s="4">
        <v>25</v>
      </c>
      <c r="D3041" s="21">
        <v>997</v>
      </c>
      <c r="E3041" s="4">
        <v>1</v>
      </c>
      <c r="F3041" s="57">
        <f t="shared" si="194"/>
        <v>2</v>
      </c>
    </row>
    <row r="3042" spans="1:6" x14ac:dyDescent="0.25">
      <c r="A3042" s="5" t="s">
        <v>35</v>
      </c>
      <c r="B3042" s="19">
        <v>44019</v>
      </c>
      <c r="C3042" s="4">
        <v>8</v>
      </c>
      <c r="D3042" s="21">
        <v>69</v>
      </c>
      <c r="E3042" s="4">
        <v>1</v>
      </c>
      <c r="F3042" s="57">
        <f t="shared" si="194"/>
        <v>7</v>
      </c>
    </row>
    <row r="3043" spans="1:6" x14ac:dyDescent="0.25">
      <c r="A3043" s="5" t="s">
        <v>36</v>
      </c>
      <c r="B3043" s="19">
        <v>44019</v>
      </c>
      <c r="C3043" s="4">
        <v>0</v>
      </c>
      <c r="D3043" s="21">
        <v>9</v>
      </c>
      <c r="F3043" s="57">
        <f>E3043+F3019</f>
        <v>0</v>
      </c>
    </row>
    <row r="3044" spans="1:6" x14ac:dyDescent="0.25">
      <c r="A3044" s="5" t="s">
        <v>37</v>
      </c>
      <c r="B3044" s="19">
        <v>44019</v>
      </c>
      <c r="C3044" s="4">
        <v>0</v>
      </c>
      <c r="D3044" s="21">
        <v>12</v>
      </c>
      <c r="F3044" s="57">
        <f t="shared" si="194"/>
        <v>0</v>
      </c>
    </row>
    <row r="3045" spans="1:6" x14ac:dyDescent="0.25">
      <c r="A3045" s="5" t="s">
        <v>38</v>
      </c>
      <c r="B3045" s="19">
        <v>44019</v>
      </c>
      <c r="C3045" s="4">
        <v>0</v>
      </c>
      <c r="D3045" s="21">
        <v>54</v>
      </c>
      <c r="F3045" s="57">
        <f t="shared" si="194"/>
        <v>0</v>
      </c>
    </row>
    <row r="3046" spans="1:6" x14ac:dyDescent="0.25">
      <c r="A3046" s="5" t="s">
        <v>23</v>
      </c>
      <c r="B3046" s="19">
        <v>44019</v>
      </c>
      <c r="C3046" s="4">
        <v>9</v>
      </c>
      <c r="D3046" s="21">
        <v>451</v>
      </c>
      <c r="F3046" s="57">
        <f>E3046+F3022</f>
        <v>6</v>
      </c>
    </row>
    <row r="3047" spans="1:6" x14ac:dyDescent="0.25">
      <c r="A3047" s="5" t="s">
        <v>39</v>
      </c>
      <c r="B3047" s="19">
        <v>44019</v>
      </c>
      <c r="C3047" s="4">
        <v>1</v>
      </c>
      <c r="D3047" s="21">
        <v>27</v>
      </c>
      <c r="F3047" s="57">
        <f>E3047+F3023</f>
        <v>0</v>
      </c>
    </row>
    <row r="3048" spans="1:6" x14ac:dyDescent="0.25">
      <c r="A3048" s="5" t="s">
        <v>40</v>
      </c>
      <c r="B3048" s="19">
        <v>44019</v>
      </c>
      <c r="C3048" s="4">
        <v>1</v>
      </c>
      <c r="D3048" s="21">
        <v>154</v>
      </c>
      <c r="F3048" s="57">
        <f>E3048+F3024</f>
        <v>1</v>
      </c>
    </row>
    <row r="3049" spans="1:6" x14ac:dyDescent="0.25">
      <c r="A3049" s="5" t="s">
        <v>41</v>
      </c>
      <c r="B3049" s="19">
        <v>44019</v>
      </c>
      <c r="C3049" s="4">
        <v>0</v>
      </c>
      <c r="D3049" s="21">
        <v>87</v>
      </c>
      <c r="F3049" s="57">
        <f>E3049+F3025</f>
        <v>4</v>
      </c>
    </row>
    <row r="3050" spans="1:6" x14ac:dyDescent="0.25">
      <c r="A3050" s="42" t="s">
        <v>17</v>
      </c>
      <c r="B3050" s="19">
        <v>44020</v>
      </c>
      <c r="C3050" s="4">
        <v>2222</v>
      </c>
      <c r="D3050" s="21">
        <v>45421</v>
      </c>
      <c r="E3050" s="4">
        <v>35</v>
      </c>
      <c r="F3050" s="57">
        <f>E3050+F3026</f>
        <v>819</v>
      </c>
    </row>
    <row r="3051" spans="1:6" x14ac:dyDescent="0.25">
      <c r="A3051" s="5" t="s">
        <v>29</v>
      </c>
      <c r="B3051" s="19">
        <v>44020</v>
      </c>
      <c r="C3051" s="4">
        <v>21</v>
      </c>
      <c r="D3051" s="21">
        <v>28</v>
      </c>
      <c r="F3051" s="57">
        <f t="shared" ref="F3051:F3057" si="195">E3051+F3027</f>
        <v>0</v>
      </c>
    </row>
    <row r="3052" spans="1:6" x14ac:dyDescent="0.25">
      <c r="A3052" s="5" t="s">
        <v>16</v>
      </c>
      <c r="B3052" s="19">
        <v>44020</v>
      </c>
      <c r="C3052" s="4">
        <v>59</v>
      </c>
      <c r="D3052" s="21">
        <v>2416</v>
      </c>
      <c r="F3052" s="57">
        <f t="shared" si="195"/>
        <v>108</v>
      </c>
    </row>
    <row r="3053" spans="1:6" x14ac:dyDescent="0.25">
      <c r="A3053" s="5" t="s">
        <v>30</v>
      </c>
      <c r="B3053" s="19">
        <v>44020</v>
      </c>
      <c r="C3053" s="4">
        <v>13</v>
      </c>
      <c r="D3053" s="21">
        <v>173</v>
      </c>
      <c r="F3053" s="57">
        <f t="shared" si="195"/>
        <v>2</v>
      </c>
    </row>
    <row r="3054" spans="1:6" x14ac:dyDescent="0.25">
      <c r="A3054" s="5" t="s">
        <v>44</v>
      </c>
      <c r="B3054" s="19">
        <v>44020</v>
      </c>
      <c r="C3054" s="4">
        <v>1116</v>
      </c>
      <c r="D3054" s="21">
        <v>34413</v>
      </c>
      <c r="E3054" s="4">
        <v>16</v>
      </c>
      <c r="F3054" s="57">
        <f t="shared" si="195"/>
        <v>625</v>
      </c>
    </row>
    <row r="3055" spans="1:6" x14ac:dyDescent="0.25">
      <c r="A3055" s="5" t="s">
        <v>21</v>
      </c>
      <c r="B3055" s="19">
        <v>44020</v>
      </c>
      <c r="C3055" s="4">
        <v>21</v>
      </c>
      <c r="D3055" s="21">
        <v>802</v>
      </c>
      <c r="F3055" s="57">
        <f t="shared" si="195"/>
        <v>34</v>
      </c>
    </row>
    <row r="3056" spans="1:6" x14ac:dyDescent="0.25">
      <c r="A3056" s="5" t="s">
        <v>31</v>
      </c>
      <c r="B3056" s="19">
        <v>44020</v>
      </c>
      <c r="C3056" s="4">
        <v>4</v>
      </c>
      <c r="D3056" s="21">
        <v>126</v>
      </c>
      <c r="F3056" s="57">
        <f t="shared" si="195"/>
        <v>0</v>
      </c>
    </row>
    <row r="3057" spans="1:6" x14ac:dyDescent="0.25">
      <c r="A3057" s="5" t="s">
        <v>32</v>
      </c>
      <c r="B3057" s="19">
        <v>44020</v>
      </c>
      <c r="C3057" s="4">
        <v>11</v>
      </c>
      <c r="D3057" s="21">
        <v>355</v>
      </c>
      <c r="F3057" s="57">
        <f t="shared" si="195"/>
        <v>0</v>
      </c>
    </row>
    <row r="3058" spans="1:6" x14ac:dyDescent="0.25">
      <c r="A3058" s="5" t="s">
        <v>42</v>
      </c>
      <c r="B3058" s="19">
        <v>44020</v>
      </c>
      <c r="C3058" s="4">
        <v>0</v>
      </c>
      <c r="D3058" s="21">
        <v>76</v>
      </c>
      <c r="F3058" s="57">
        <f t="shared" ref="F3058:F3069" si="196">E3058+F3033</f>
        <v>0</v>
      </c>
    </row>
    <row r="3059" spans="1:6" x14ac:dyDescent="0.25">
      <c r="A3059" s="5" t="s">
        <v>33</v>
      </c>
      <c r="B3059" s="19">
        <v>44020</v>
      </c>
      <c r="C3059" s="4">
        <v>38</v>
      </c>
      <c r="D3059" s="21">
        <v>259</v>
      </c>
      <c r="F3059" s="57">
        <f t="shared" si="196"/>
        <v>0</v>
      </c>
    </row>
    <row r="3060" spans="1:6" x14ac:dyDescent="0.25">
      <c r="A3060" s="5" t="s">
        <v>34</v>
      </c>
      <c r="B3060" s="19">
        <v>44020</v>
      </c>
      <c r="C3060" s="4">
        <v>0</v>
      </c>
      <c r="D3060" s="21">
        <v>7</v>
      </c>
      <c r="F3060" s="57">
        <f t="shared" si="196"/>
        <v>0</v>
      </c>
    </row>
    <row r="3061" spans="1:6" x14ac:dyDescent="0.25">
      <c r="A3061" s="5" t="s">
        <v>22</v>
      </c>
      <c r="B3061" s="19">
        <v>44020</v>
      </c>
      <c r="C3061" s="4">
        <v>14</v>
      </c>
      <c r="D3061" s="21">
        <v>124</v>
      </c>
      <c r="F3061" s="57">
        <f t="shared" si="196"/>
        <v>0</v>
      </c>
    </row>
    <row r="3062" spans="1:6" x14ac:dyDescent="0.25">
      <c r="A3062" s="5" t="s">
        <v>18</v>
      </c>
      <c r="B3062" s="19">
        <v>44020</v>
      </c>
      <c r="C3062" s="4">
        <v>22</v>
      </c>
      <c r="D3062" s="21">
        <v>240</v>
      </c>
      <c r="F3062" s="57">
        <f t="shared" si="196"/>
        <v>0</v>
      </c>
    </row>
    <row r="3063" spans="1:6" x14ac:dyDescent="0.25">
      <c r="A3063" s="5" t="s">
        <v>24</v>
      </c>
      <c r="B3063" s="19">
        <v>44020</v>
      </c>
      <c r="C3063" s="4">
        <v>0</v>
      </c>
      <c r="D3063" s="21">
        <v>49</v>
      </c>
      <c r="F3063" s="57">
        <f t="shared" si="196"/>
        <v>0</v>
      </c>
    </row>
    <row r="3064" spans="1:6" x14ac:dyDescent="0.25">
      <c r="A3064" s="5" t="s">
        <v>20</v>
      </c>
      <c r="B3064" s="19">
        <v>44020</v>
      </c>
      <c r="C3064" s="4">
        <v>23</v>
      </c>
      <c r="D3064" s="21">
        <v>630</v>
      </c>
      <c r="F3064" s="57">
        <f t="shared" si="196"/>
        <v>0</v>
      </c>
    </row>
    <row r="3065" spans="1:6" x14ac:dyDescent="0.25">
      <c r="A3065" s="5" t="s">
        <v>19</v>
      </c>
      <c r="B3065" s="19">
        <v>44020</v>
      </c>
      <c r="C3065" s="4">
        <v>11</v>
      </c>
      <c r="D3065" s="21">
        <v>1008</v>
      </c>
      <c r="F3065" s="57">
        <f t="shared" si="196"/>
        <v>0</v>
      </c>
    </row>
    <row r="3066" spans="1:6" x14ac:dyDescent="0.25">
      <c r="A3066" s="5" t="s">
        <v>35</v>
      </c>
      <c r="B3066" s="19">
        <v>44020</v>
      </c>
      <c r="C3066" s="4">
        <v>6</v>
      </c>
      <c r="D3066" s="21">
        <v>75</v>
      </c>
      <c r="F3066" s="57">
        <f t="shared" si="196"/>
        <v>2</v>
      </c>
    </row>
    <row r="3067" spans="1:6" x14ac:dyDescent="0.25">
      <c r="A3067" s="5" t="s">
        <v>36</v>
      </c>
      <c r="B3067" s="19">
        <v>44020</v>
      </c>
      <c r="C3067" s="4">
        <v>0</v>
      </c>
      <c r="D3067" s="21">
        <v>9</v>
      </c>
      <c r="F3067" s="57">
        <f>E3067+F3043</f>
        <v>0</v>
      </c>
    </row>
    <row r="3068" spans="1:6" x14ac:dyDescent="0.25">
      <c r="A3068" s="5" t="s">
        <v>37</v>
      </c>
      <c r="B3068" s="19">
        <v>44020</v>
      </c>
      <c r="C3068" s="4">
        <v>0</v>
      </c>
      <c r="D3068" s="21">
        <v>12</v>
      </c>
      <c r="F3068" s="57">
        <f t="shared" si="196"/>
        <v>0</v>
      </c>
    </row>
    <row r="3069" spans="1:6" x14ac:dyDescent="0.25">
      <c r="A3069" s="5" t="s">
        <v>38</v>
      </c>
      <c r="B3069" s="19">
        <v>44020</v>
      </c>
      <c r="C3069" s="4">
        <v>0</v>
      </c>
      <c r="D3069" s="21">
        <v>54</v>
      </c>
      <c r="F3069" s="57">
        <f t="shared" si="196"/>
        <v>0</v>
      </c>
    </row>
    <row r="3070" spans="1:6" x14ac:dyDescent="0.25">
      <c r="A3070" s="5" t="s">
        <v>23</v>
      </c>
      <c r="B3070" s="19">
        <v>44020</v>
      </c>
      <c r="C3070" s="4">
        <v>14</v>
      </c>
      <c r="D3070" s="21">
        <v>465</v>
      </c>
      <c r="F3070" s="57">
        <f>E3070+F3046</f>
        <v>6</v>
      </c>
    </row>
    <row r="3071" spans="1:6" x14ac:dyDescent="0.25">
      <c r="A3071" s="5" t="s">
        <v>39</v>
      </c>
      <c r="B3071" s="19">
        <v>44020</v>
      </c>
      <c r="C3071" s="4">
        <v>8</v>
      </c>
      <c r="D3071" s="21">
        <v>35</v>
      </c>
      <c r="F3071" s="57">
        <f>E3071+F3047</f>
        <v>0</v>
      </c>
    </row>
    <row r="3072" spans="1:6" x14ac:dyDescent="0.25">
      <c r="A3072" s="5" t="s">
        <v>40</v>
      </c>
      <c r="B3072" s="19">
        <v>44020</v>
      </c>
      <c r="C3072" s="4">
        <v>0</v>
      </c>
      <c r="D3072" s="21">
        <v>154</v>
      </c>
      <c r="F3072" s="57">
        <f>E3072+F3048</f>
        <v>1</v>
      </c>
    </row>
    <row r="3073" spans="1:6" x14ac:dyDescent="0.25">
      <c r="A3073" s="5" t="s">
        <v>41</v>
      </c>
      <c r="B3073" s="19">
        <v>44020</v>
      </c>
      <c r="C3073" s="4">
        <v>1</v>
      </c>
      <c r="D3073" s="21">
        <v>88</v>
      </c>
      <c r="F3073" s="57">
        <f>E3073+F3049</f>
        <v>4</v>
      </c>
    </row>
    <row r="3074" spans="1:6" x14ac:dyDescent="0.25">
      <c r="A3074" s="42" t="s">
        <v>17</v>
      </c>
      <c r="B3074" s="19">
        <v>44021</v>
      </c>
      <c r="C3074" s="4">
        <v>2372</v>
      </c>
      <c r="D3074" s="21">
        <v>47793</v>
      </c>
      <c r="E3074" s="4">
        <v>11</v>
      </c>
      <c r="F3074" s="57">
        <f>E3074+F3050</f>
        <v>830</v>
      </c>
    </row>
    <row r="3075" spans="1:6" x14ac:dyDescent="0.25">
      <c r="A3075" s="5" t="s">
        <v>29</v>
      </c>
      <c r="B3075" s="19">
        <v>44021</v>
      </c>
      <c r="C3075" s="4">
        <v>10</v>
      </c>
      <c r="D3075" s="21">
        <v>38</v>
      </c>
      <c r="F3075" s="57">
        <f t="shared" ref="F3075:F3081" si="197">E3075+F3051</f>
        <v>0</v>
      </c>
    </row>
    <row r="3076" spans="1:6" x14ac:dyDescent="0.25">
      <c r="A3076" s="5" t="s">
        <v>16</v>
      </c>
      <c r="B3076" s="19">
        <v>44021</v>
      </c>
      <c r="C3076" s="4">
        <v>30</v>
      </c>
      <c r="D3076" s="21">
        <v>2446</v>
      </c>
      <c r="E3076" s="4">
        <v>4</v>
      </c>
      <c r="F3076" s="57">
        <f t="shared" si="197"/>
        <v>112</v>
      </c>
    </row>
    <row r="3077" spans="1:6" x14ac:dyDescent="0.25">
      <c r="A3077" s="5" t="s">
        <v>30</v>
      </c>
      <c r="B3077" s="19">
        <v>44021</v>
      </c>
      <c r="C3077" s="4">
        <v>19</v>
      </c>
      <c r="D3077" s="21">
        <v>192</v>
      </c>
      <c r="F3077" s="57">
        <f t="shared" si="197"/>
        <v>2</v>
      </c>
    </row>
    <row r="3078" spans="1:6" x14ac:dyDescent="0.25">
      <c r="A3078" s="5" t="s">
        <v>44</v>
      </c>
      <c r="B3078" s="19">
        <v>44021</v>
      </c>
      <c r="C3078" s="4">
        <v>1058</v>
      </c>
      <c r="D3078" s="21">
        <v>35471</v>
      </c>
      <c r="E3078" s="4">
        <v>10</v>
      </c>
      <c r="F3078" s="57">
        <f t="shared" si="197"/>
        <v>635</v>
      </c>
    </row>
    <row r="3079" spans="1:6" x14ac:dyDescent="0.25">
      <c r="A3079" s="5" t="s">
        <v>21</v>
      </c>
      <c r="B3079" s="19">
        <v>44021</v>
      </c>
      <c r="C3079" s="4">
        <v>27</v>
      </c>
      <c r="D3079" s="21">
        <v>829</v>
      </c>
      <c r="F3079" s="57">
        <f t="shared" si="197"/>
        <v>34</v>
      </c>
    </row>
    <row r="3080" spans="1:6" x14ac:dyDescent="0.25">
      <c r="A3080" s="5" t="s">
        <v>31</v>
      </c>
      <c r="B3080" s="19">
        <v>44021</v>
      </c>
      <c r="C3080" s="4">
        <v>0</v>
      </c>
      <c r="D3080" s="21">
        <v>126</v>
      </c>
      <c r="F3080" s="57">
        <f t="shared" si="197"/>
        <v>0</v>
      </c>
    </row>
    <row r="3081" spans="1:6" x14ac:dyDescent="0.25">
      <c r="A3081" s="5" t="s">
        <v>32</v>
      </c>
      <c r="B3081" s="19">
        <v>44021</v>
      </c>
      <c r="C3081" s="4">
        <v>21</v>
      </c>
      <c r="D3081" s="21">
        <v>376</v>
      </c>
      <c r="F3081" s="57">
        <f t="shared" si="197"/>
        <v>0</v>
      </c>
    </row>
    <row r="3082" spans="1:6" x14ac:dyDescent="0.25">
      <c r="A3082" s="5" t="s">
        <v>42</v>
      </c>
      <c r="B3082" s="19">
        <v>44021</v>
      </c>
      <c r="C3082" s="4">
        <v>0</v>
      </c>
      <c r="D3082" s="21">
        <v>76</v>
      </c>
      <c r="F3082" s="57">
        <f t="shared" ref="F3082:F3093" si="198">E3082+F3057</f>
        <v>0</v>
      </c>
    </row>
    <row r="3083" spans="1:6" x14ac:dyDescent="0.25">
      <c r="A3083" s="5" t="s">
        <v>33</v>
      </c>
      <c r="B3083" s="19">
        <v>44021</v>
      </c>
      <c r="C3083" s="4">
        <v>52</v>
      </c>
      <c r="D3083" s="21">
        <v>311</v>
      </c>
      <c r="F3083" s="57">
        <f t="shared" si="198"/>
        <v>0</v>
      </c>
    </row>
    <row r="3084" spans="1:6" x14ac:dyDescent="0.25">
      <c r="A3084" s="5" t="s">
        <v>34</v>
      </c>
      <c r="B3084" s="19">
        <v>44021</v>
      </c>
      <c r="C3084" s="4">
        <v>0</v>
      </c>
      <c r="D3084" s="21">
        <v>7</v>
      </c>
      <c r="F3084" s="57">
        <f t="shared" si="198"/>
        <v>0</v>
      </c>
    </row>
    <row r="3085" spans="1:6" x14ac:dyDescent="0.25">
      <c r="A3085" s="5" t="s">
        <v>22</v>
      </c>
      <c r="B3085" s="19">
        <v>44021</v>
      </c>
      <c r="C3085" s="4">
        <v>1</v>
      </c>
      <c r="D3085" s="21">
        <v>125</v>
      </c>
      <c r="F3085" s="57">
        <f t="shared" si="198"/>
        <v>0</v>
      </c>
    </row>
    <row r="3086" spans="1:6" x14ac:dyDescent="0.25">
      <c r="A3086" s="5" t="s">
        <v>18</v>
      </c>
      <c r="B3086" s="19">
        <v>44021</v>
      </c>
      <c r="C3086" s="4">
        <v>11</v>
      </c>
      <c r="D3086" s="21">
        <v>251</v>
      </c>
      <c r="F3086" s="57">
        <f t="shared" si="198"/>
        <v>0</v>
      </c>
    </row>
    <row r="3087" spans="1:6" x14ac:dyDescent="0.25">
      <c r="A3087" s="5" t="s">
        <v>24</v>
      </c>
      <c r="B3087" s="19">
        <v>44021</v>
      </c>
      <c r="C3087" s="4">
        <v>0</v>
      </c>
      <c r="D3087" s="21">
        <v>49</v>
      </c>
      <c r="F3087" s="57">
        <f t="shared" si="198"/>
        <v>0</v>
      </c>
    </row>
    <row r="3088" spans="1:6" x14ac:dyDescent="0.25">
      <c r="A3088" s="5" t="s">
        <v>20</v>
      </c>
      <c r="B3088" s="19">
        <v>44021</v>
      </c>
      <c r="C3088" s="4">
        <v>10</v>
      </c>
      <c r="D3088" s="21">
        <v>640</v>
      </c>
      <c r="F3088" s="57">
        <f t="shared" si="198"/>
        <v>0</v>
      </c>
    </row>
    <row r="3089" spans="1:6" x14ac:dyDescent="0.25">
      <c r="A3089" s="5" t="s">
        <v>19</v>
      </c>
      <c r="B3089" s="19">
        <v>44021</v>
      </c>
      <c r="C3089" s="4">
        <v>23</v>
      </c>
      <c r="D3089" s="21">
        <v>1031</v>
      </c>
      <c r="F3089" s="57">
        <f t="shared" si="198"/>
        <v>0</v>
      </c>
    </row>
    <row r="3090" spans="1:6" x14ac:dyDescent="0.25">
      <c r="A3090" s="5" t="s">
        <v>35</v>
      </c>
      <c r="B3090" s="19">
        <v>44021</v>
      </c>
      <c r="C3090" s="4">
        <v>9</v>
      </c>
      <c r="D3090" s="21">
        <v>84</v>
      </c>
      <c r="E3090" s="4">
        <v>1</v>
      </c>
      <c r="F3090" s="57">
        <f t="shared" si="198"/>
        <v>1</v>
      </c>
    </row>
    <row r="3091" spans="1:6" x14ac:dyDescent="0.25">
      <c r="A3091" s="5" t="s">
        <v>36</v>
      </c>
      <c r="B3091" s="19">
        <v>44021</v>
      </c>
      <c r="C3091" s="4">
        <v>0</v>
      </c>
      <c r="D3091" s="21">
        <v>9</v>
      </c>
      <c r="F3091" s="57">
        <f>E3091+F3067</f>
        <v>0</v>
      </c>
    </row>
    <row r="3092" spans="1:6" x14ac:dyDescent="0.25">
      <c r="A3092" s="5" t="s">
        <v>37</v>
      </c>
      <c r="B3092" s="19">
        <v>44021</v>
      </c>
      <c r="C3092" s="4">
        <v>0</v>
      </c>
      <c r="D3092" s="21">
        <v>12</v>
      </c>
      <c r="F3092" s="57">
        <f t="shared" si="198"/>
        <v>0</v>
      </c>
    </row>
    <row r="3093" spans="1:6" x14ac:dyDescent="0.25">
      <c r="A3093" s="5" t="s">
        <v>38</v>
      </c>
      <c r="B3093" s="19">
        <v>44021</v>
      </c>
      <c r="C3093" s="4">
        <v>2</v>
      </c>
      <c r="D3093" s="21">
        <v>56</v>
      </c>
      <c r="F3093" s="57">
        <f t="shared" si="198"/>
        <v>0</v>
      </c>
    </row>
    <row r="3094" spans="1:6" x14ac:dyDescent="0.25">
      <c r="A3094" s="5" t="s">
        <v>23</v>
      </c>
      <c r="B3094" s="19">
        <v>44021</v>
      </c>
      <c r="C3094" s="4">
        <v>15</v>
      </c>
      <c r="D3094" s="21">
        <v>480</v>
      </c>
      <c r="F3094" s="57">
        <f>E3094+F3070</f>
        <v>6</v>
      </c>
    </row>
    <row r="3095" spans="1:6" x14ac:dyDescent="0.25">
      <c r="A3095" s="5" t="s">
        <v>39</v>
      </c>
      <c r="B3095" s="19">
        <v>44021</v>
      </c>
      <c r="C3095" s="4">
        <v>1</v>
      </c>
      <c r="D3095" s="21">
        <v>36</v>
      </c>
      <c r="F3095" s="57">
        <f>E3095+F3071</f>
        <v>0</v>
      </c>
    </row>
    <row r="3096" spans="1:6" x14ac:dyDescent="0.25">
      <c r="A3096" s="5" t="s">
        <v>40</v>
      </c>
      <c r="B3096" s="19">
        <v>44021</v>
      </c>
      <c r="C3096" s="4">
        <v>1</v>
      </c>
      <c r="D3096" s="21">
        <v>155</v>
      </c>
      <c r="F3096" s="57">
        <f>E3096+F3072</f>
        <v>1</v>
      </c>
    </row>
    <row r="3097" spans="1:6" x14ac:dyDescent="0.25">
      <c r="A3097" s="5" t="s">
        <v>41</v>
      </c>
      <c r="B3097" s="19">
        <v>44021</v>
      </c>
      <c r="C3097" s="4">
        <v>1</v>
      </c>
      <c r="D3097" s="21">
        <v>89</v>
      </c>
      <c r="F3097" s="57">
        <f>E3097+F3073</f>
        <v>4</v>
      </c>
    </row>
    <row r="3098" spans="1:6" x14ac:dyDescent="0.25">
      <c r="A3098" s="42" t="s">
        <v>17</v>
      </c>
      <c r="B3098" s="19">
        <v>44022</v>
      </c>
      <c r="C3098" s="4">
        <v>2118</v>
      </c>
      <c r="D3098" s="21">
        <v>49911</v>
      </c>
      <c r="E3098" s="4">
        <v>29</v>
      </c>
      <c r="F3098" s="57">
        <f>E3098+F3074</f>
        <v>859</v>
      </c>
    </row>
    <row r="3099" spans="1:6" x14ac:dyDescent="0.25">
      <c r="A3099" s="5" t="s">
        <v>29</v>
      </c>
      <c r="B3099" s="19">
        <v>44022</v>
      </c>
      <c r="C3099" s="4">
        <v>0</v>
      </c>
      <c r="D3099" s="21">
        <v>38</v>
      </c>
      <c r="F3099" s="57">
        <f t="shared" ref="F3099:F3105" si="199">E3099+F3075</f>
        <v>0</v>
      </c>
    </row>
    <row r="3100" spans="1:6" x14ac:dyDescent="0.25">
      <c r="A3100" s="5" t="s">
        <v>16</v>
      </c>
      <c r="B3100" s="19">
        <v>44022</v>
      </c>
      <c r="C3100" s="4">
        <v>50</v>
      </c>
      <c r="D3100" s="21">
        <v>2496</v>
      </c>
      <c r="E3100" s="4">
        <v>1</v>
      </c>
      <c r="F3100" s="57">
        <f t="shared" si="199"/>
        <v>113</v>
      </c>
    </row>
    <row r="3101" spans="1:6" x14ac:dyDescent="0.25">
      <c r="A3101" s="5" t="s">
        <v>30</v>
      </c>
      <c r="B3101" s="19">
        <v>44022</v>
      </c>
      <c r="C3101" s="4">
        <v>4</v>
      </c>
      <c r="D3101" s="21">
        <v>196</v>
      </c>
      <c r="F3101" s="57">
        <f t="shared" si="199"/>
        <v>2</v>
      </c>
    </row>
    <row r="3102" spans="1:6" x14ac:dyDescent="0.25">
      <c r="A3102" s="5" t="s">
        <v>44</v>
      </c>
      <c r="B3102" s="19">
        <v>44022</v>
      </c>
      <c r="C3102" s="4">
        <v>1049</v>
      </c>
      <c r="D3102" s="21">
        <v>36520</v>
      </c>
      <c r="E3102" s="4">
        <v>21</v>
      </c>
      <c r="F3102" s="57">
        <f t="shared" si="199"/>
        <v>656</v>
      </c>
    </row>
    <row r="3103" spans="1:6" x14ac:dyDescent="0.25">
      <c r="A3103" s="5" t="s">
        <v>21</v>
      </c>
      <c r="B3103" s="19">
        <v>44022</v>
      </c>
      <c r="C3103" s="4">
        <v>26</v>
      </c>
      <c r="D3103" s="21">
        <v>855</v>
      </c>
      <c r="F3103" s="57">
        <f t="shared" si="199"/>
        <v>34</v>
      </c>
    </row>
    <row r="3104" spans="1:6" x14ac:dyDescent="0.25">
      <c r="A3104" s="5" t="s">
        <v>31</v>
      </c>
      <c r="B3104" s="19">
        <v>44022</v>
      </c>
      <c r="C3104" s="4">
        <v>0</v>
      </c>
      <c r="D3104" s="21">
        <v>126</v>
      </c>
      <c r="F3104" s="57">
        <f t="shared" si="199"/>
        <v>0</v>
      </c>
    </row>
    <row r="3105" spans="1:6" x14ac:dyDescent="0.25">
      <c r="A3105" s="5" t="s">
        <v>32</v>
      </c>
      <c r="B3105" s="19">
        <v>44022</v>
      </c>
      <c r="C3105" s="4">
        <v>25</v>
      </c>
      <c r="D3105" s="21">
        <v>401</v>
      </c>
      <c r="F3105" s="57">
        <f t="shared" si="199"/>
        <v>0</v>
      </c>
    </row>
    <row r="3106" spans="1:6" x14ac:dyDescent="0.25">
      <c r="A3106" s="5" t="s">
        <v>42</v>
      </c>
      <c r="B3106" s="19">
        <v>44022</v>
      </c>
      <c r="C3106" s="4">
        <v>0</v>
      </c>
      <c r="D3106" s="21">
        <v>76</v>
      </c>
      <c r="F3106" s="57">
        <f t="shared" ref="F3106:F3117" si="200">E3106+F3081</f>
        <v>0</v>
      </c>
    </row>
    <row r="3107" spans="1:6" x14ac:dyDescent="0.25">
      <c r="A3107" s="5" t="s">
        <v>33</v>
      </c>
      <c r="B3107" s="19">
        <v>44022</v>
      </c>
      <c r="C3107" s="4">
        <v>23</v>
      </c>
      <c r="D3107" s="21">
        <v>334</v>
      </c>
      <c r="F3107" s="57">
        <f t="shared" si="200"/>
        <v>0</v>
      </c>
    </row>
    <row r="3108" spans="1:6" x14ac:dyDescent="0.25">
      <c r="A3108" s="5" t="s">
        <v>34</v>
      </c>
      <c r="B3108" s="19">
        <v>44022</v>
      </c>
      <c r="C3108" s="4">
        <v>0</v>
      </c>
      <c r="D3108" s="21">
        <v>7</v>
      </c>
      <c r="F3108" s="57">
        <f t="shared" si="200"/>
        <v>0</v>
      </c>
    </row>
    <row r="3109" spans="1:6" x14ac:dyDescent="0.25">
      <c r="A3109" s="5" t="s">
        <v>22</v>
      </c>
      <c r="B3109" s="19">
        <v>44022</v>
      </c>
      <c r="C3109" s="4">
        <v>6</v>
      </c>
      <c r="D3109" s="21">
        <v>131</v>
      </c>
      <c r="E3109" s="4">
        <v>2</v>
      </c>
      <c r="F3109" s="57">
        <f t="shared" si="200"/>
        <v>2</v>
      </c>
    </row>
    <row r="3110" spans="1:6" x14ac:dyDescent="0.25">
      <c r="A3110" s="5" t="s">
        <v>18</v>
      </c>
      <c r="B3110" s="19">
        <v>44022</v>
      </c>
      <c r="C3110" s="4">
        <v>12</v>
      </c>
      <c r="D3110" s="21">
        <v>263</v>
      </c>
      <c r="F3110" s="57">
        <f t="shared" si="200"/>
        <v>0</v>
      </c>
    </row>
    <row r="3111" spans="1:6" x14ac:dyDescent="0.25">
      <c r="A3111" s="5" t="s">
        <v>24</v>
      </c>
      <c r="B3111" s="19">
        <v>44022</v>
      </c>
      <c r="C3111" s="4">
        <v>0</v>
      </c>
      <c r="D3111" s="21">
        <v>49</v>
      </c>
      <c r="F3111" s="57">
        <f t="shared" si="200"/>
        <v>0</v>
      </c>
    </row>
    <row r="3112" spans="1:6" x14ac:dyDescent="0.25">
      <c r="A3112" s="5" t="s">
        <v>20</v>
      </c>
      <c r="B3112" s="19">
        <v>44022</v>
      </c>
      <c r="C3112" s="4">
        <v>14</v>
      </c>
      <c r="D3112" s="21">
        <v>654</v>
      </c>
      <c r="E3112" s="4">
        <v>1</v>
      </c>
      <c r="F3112" s="57">
        <f t="shared" si="200"/>
        <v>1</v>
      </c>
    </row>
    <row r="3113" spans="1:6" x14ac:dyDescent="0.25">
      <c r="A3113" s="5" t="s">
        <v>19</v>
      </c>
      <c r="B3113" s="19">
        <v>44022</v>
      </c>
      <c r="C3113" s="4">
        <v>26</v>
      </c>
      <c r="D3113" s="21">
        <v>1057</v>
      </c>
      <c r="F3113" s="57">
        <f t="shared" si="200"/>
        <v>0</v>
      </c>
    </row>
    <row r="3114" spans="1:6" x14ac:dyDescent="0.25">
      <c r="A3114" s="5" t="s">
        <v>35</v>
      </c>
      <c r="B3114" s="19">
        <v>44022</v>
      </c>
      <c r="C3114" s="4">
        <v>2</v>
      </c>
      <c r="D3114" s="21">
        <v>86</v>
      </c>
      <c r="F3114" s="57">
        <f t="shared" si="200"/>
        <v>0</v>
      </c>
    </row>
    <row r="3115" spans="1:6" x14ac:dyDescent="0.25">
      <c r="A3115" s="5" t="s">
        <v>36</v>
      </c>
      <c r="B3115" s="19">
        <v>44022</v>
      </c>
      <c r="C3115" s="4">
        <v>0</v>
      </c>
      <c r="D3115" s="21">
        <v>9</v>
      </c>
      <c r="F3115" s="57">
        <f>E3115+F3091</f>
        <v>0</v>
      </c>
    </row>
    <row r="3116" spans="1:6" x14ac:dyDescent="0.25">
      <c r="A3116" s="5" t="s">
        <v>37</v>
      </c>
      <c r="B3116" s="19">
        <v>44022</v>
      </c>
      <c r="C3116" s="4">
        <v>0</v>
      </c>
      <c r="D3116" s="21">
        <v>12</v>
      </c>
      <c r="F3116" s="57">
        <f t="shared" si="200"/>
        <v>0</v>
      </c>
    </row>
    <row r="3117" spans="1:6" x14ac:dyDescent="0.25">
      <c r="A3117" s="5" t="s">
        <v>38</v>
      </c>
      <c r="B3117" s="19">
        <v>44022</v>
      </c>
      <c r="C3117" s="4">
        <v>4</v>
      </c>
      <c r="D3117" s="21">
        <v>60</v>
      </c>
      <c r="F3117" s="57">
        <f t="shared" si="200"/>
        <v>0</v>
      </c>
    </row>
    <row r="3118" spans="1:6" x14ac:dyDescent="0.25">
      <c r="A3118" s="5" t="s">
        <v>23</v>
      </c>
      <c r="B3118" s="19">
        <v>44022</v>
      </c>
      <c r="C3118" s="4">
        <v>6</v>
      </c>
      <c r="D3118" s="21">
        <v>486</v>
      </c>
      <c r="F3118" s="57">
        <f>E3118+F3094</f>
        <v>6</v>
      </c>
    </row>
    <row r="3119" spans="1:6" x14ac:dyDescent="0.25">
      <c r="A3119" s="5" t="s">
        <v>39</v>
      </c>
      <c r="B3119" s="19">
        <v>44022</v>
      </c>
      <c r="C3119" s="4">
        <v>0</v>
      </c>
      <c r="D3119" s="21">
        <v>36</v>
      </c>
      <c r="F3119" s="57">
        <f>E3119+F3095</f>
        <v>0</v>
      </c>
    </row>
    <row r="3120" spans="1:6" x14ac:dyDescent="0.25">
      <c r="A3120" s="5" t="s">
        <v>40</v>
      </c>
      <c r="B3120" s="19">
        <v>44022</v>
      </c>
      <c r="C3120" s="4">
        <v>0</v>
      </c>
      <c r="D3120" s="21">
        <v>155</v>
      </c>
      <c r="F3120" s="57">
        <f>E3120+F3096</f>
        <v>1</v>
      </c>
    </row>
    <row r="3121" spans="1:6" x14ac:dyDescent="0.25">
      <c r="A3121" s="5" t="s">
        <v>41</v>
      </c>
      <c r="B3121" s="19">
        <v>44022</v>
      </c>
      <c r="C3121" s="4">
        <v>2</v>
      </c>
      <c r="D3121" s="21">
        <v>91</v>
      </c>
      <c r="F3121" s="57">
        <f>E3121+F3097</f>
        <v>4</v>
      </c>
    </row>
    <row r="3122" spans="1:6" x14ac:dyDescent="0.25">
      <c r="A3122" s="42" t="s">
        <v>17</v>
      </c>
      <c r="B3122" s="19">
        <v>44023</v>
      </c>
      <c r="C3122" s="4">
        <v>2113</v>
      </c>
      <c r="D3122" s="21">
        <v>52024</v>
      </c>
      <c r="E3122" s="4">
        <v>21</v>
      </c>
      <c r="F3122" s="57">
        <f>E3122+F3098</f>
        <v>880</v>
      </c>
    </row>
    <row r="3123" spans="1:6" x14ac:dyDescent="0.25">
      <c r="A3123" s="5" t="s">
        <v>29</v>
      </c>
      <c r="B3123" s="19">
        <v>44023</v>
      </c>
      <c r="C3123" s="4">
        <v>1</v>
      </c>
      <c r="D3123" s="21">
        <v>39</v>
      </c>
      <c r="F3123" s="57">
        <f t="shared" ref="F3123:F3129" si="201">E3123+F3099</f>
        <v>0</v>
      </c>
    </row>
    <row r="3124" spans="1:6" x14ac:dyDescent="0.25">
      <c r="A3124" s="5" t="s">
        <v>16</v>
      </c>
      <c r="B3124" s="19">
        <v>44023</v>
      </c>
      <c r="C3124" s="4">
        <v>56</v>
      </c>
      <c r="D3124" s="21">
        <v>2552</v>
      </c>
      <c r="E3124" s="4">
        <v>1</v>
      </c>
      <c r="F3124" s="57">
        <f t="shared" si="201"/>
        <v>114</v>
      </c>
    </row>
    <row r="3125" spans="1:6" x14ac:dyDescent="0.25">
      <c r="A3125" s="5" t="s">
        <v>30</v>
      </c>
      <c r="B3125" s="19">
        <v>44023</v>
      </c>
      <c r="C3125" s="4">
        <v>9</v>
      </c>
      <c r="D3125" s="21">
        <v>205</v>
      </c>
      <c r="E3125" s="4">
        <v>1</v>
      </c>
      <c r="F3125" s="57">
        <f t="shared" si="201"/>
        <v>3</v>
      </c>
    </row>
    <row r="3126" spans="1:6" x14ac:dyDescent="0.25">
      <c r="A3126" s="5" t="s">
        <v>44</v>
      </c>
      <c r="B3126" s="19">
        <v>44023</v>
      </c>
      <c r="C3126" s="4">
        <v>1051</v>
      </c>
      <c r="D3126" s="21">
        <v>37571</v>
      </c>
      <c r="E3126" s="4">
        <v>13</v>
      </c>
      <c r="F3126" s="57">
        <f t="shared" si="201"/>
        <v>669</v>
      </c>
    </row>
    <row r="3127" spans="1:6" x14ac:dyDescent="0.25">
      <c r="A3127" s="5" t="s">
        <v>21</v>
      </c>
      <c r="B3127" s="19">
        <v>44023</v>
      </c>
      <c r="C3127" s="4">
        <v>30</v>
      </c>
      <c r="D3127" s="21">
        <v>885</v>
      </c>
      <c r="F3127" s="57">
        <f t="shared" si="201"/>
        <v>34</v>
      </c>
    </row>
    <row r="3128" spans="1:6" x14ac:dyDescent="0.25">
      <c r="A3128" s="5" t="s">
        <v>31</v>
      </c>
      <c r="B3128" s="19">
        <v>44023</v>
      </c>
      <c r="C3128" s="4">
        <v>1</v>
      </c>
      <c r="D3128" s="21">
        <v>127</v>
      </c>
      <c r="F3128" s="57">
        <f t="shared" si="201"/>
        <v>0</v>
      </c>
    </row>
    <row r="3129" spans="1:6" x14ac:dyDescent="0.25">
      <c r="A3129" s="5" t="s">
        <v>32</v>
      </c>
      <c r="B3129" s="19">
        <v>44023</v>
      </c>
      <c r="C3129" s="4">
        <v>31</v>
      </c>
      <c r="D3129" s="21">
        <v>432</v>
      </c>
      <c r="F3129" s="57">
        <f t="shared" si="201"/>
        <v>0</v>
      </c>
    </row>
    <row r="3130" spans="1:6" x14ac:dyDescent="0.25">
      <c r="A3130" s="5" t="s">
        <v>42</v>
      </c>
      <c r="B3130" s="19">
        <v>44023</v>
      </c>
      <c r="C3130" s="4">
        <v>0</v>
      </c>
      <c r="D3130" s="21">
        <v>76</v>
      </c>
      <c r="F3130" s="57">
        <f t="shared" ref="F3130:F3141" si="202">E3130+F3105</f>
        <v>0</v>
      </c>
    </row>
    <row r="3131" spans="1:6" x14ac:dyDescent="0.25">
      <c r="A3131" s="5" t="s">
        <v>33</v>
      </c>
      <c r="B3131" s="19">
        <v>44023</v>
      </c>
      <c r="C3131" s="4">
        <v>59</v>
      </c>
      <c r="D3131" s="21">
        <v>393</v>
      </c>
      <c r="F3131" s="57">
        <f t="shared" si="202"/>
        <v>0</v>
      </c>
    </row>
    <row r="3132" spans="1:6" x14ac:dyDescent="0.25">
      <c r="A3132" s="5" t="s">
        <v>34</v>
      </c>
      <c r="B3132" s="19">
        <v>44023</v>
      </c>
      <c r="C3132" s="4">
        <v>0</v>
      </c>
      <c r="D3132" s="21">
        <v>7</v>
      </c>
      <c r="F3132" s="57">
        <f t="shared" si="202"/>
        <v>0</v>
      </c>
    </row>
    <row r="3133" spans="1:6" x14ac:dyDescent="0.25">
      <c r="A3133" s="5" t="s">
        <v>22</v>
      </c>
      <c r="B3133" s="19">
        <v>44023</v>
      </c>
      <c r="C3133" s="4">
        <v>5</v>
      </c>
      <c r="D3133" s="21">
        <v>136</v>
      </c>
      <c r="F3133" s="57">
        <f t="shared" si="202"/>
        <v>0</v>
      </c>
    </row>
    <row r="3134" spans="1:6" x14ac:dyDescent="0.25">
      <c r="A3134" s="5" t="s">
        <v>18</v>
      </c>
      <c r="B3134" s="19">
        <v>44023</v>
      </c>
      <c r="C3134" s="4">
        <v>14</v>
      </c>
      <c r="D3134" s="21">
        <v>277</v>
      </c>
      <c r="F3134" s="57">
        <f t="shared" si="202"/>
        <v>2</v>
      </c>
    </row>
    <row r="3135" spans="1:6" x14ac:dyDescent="0.25">
      <c r="A3135" s="5" t="s">
        <v>24</v>
      </c>
      <c r="B3135" s="19">
        <v>44023</v>
      </c>
      <c r="C3135" s="4">
        <v>0</v>
      </c>
      <c r="D3135" s="21">
        <v>49</v>
      </c>
      <c r="F3135" s="57">
        <f t="shared" si="202"/>
        <v>0</v>
      </c>
    </row>
    <row r="3136" spans="1:6" x14ac:dyDescent="0.25">
      <c r="A3136" s="5" t="s">
        <v>20</v>
      </c>
      <c r="B3136" s="19">
        <v>44023</v>
      </c>
      <c r="C3136" s="4">
        <v>13</v>
      </c>
      <c r="D3136" s="21">
        <v>667</v>
      </c>
      <c r="F3136" s="57">
        <f t="shared" si="202"/>
        <v>0</v>
      </c>
    </row>
    <row r="3137" spans="1:6" x14ac:dyDescent="0.25">
      <c r="A3137" s="5" t="s">
        <v>19</v>
      </c>
      <c r="B3137" s="19">
        <v>44023</v>
      </c>
      <c r="C3137" s="4">
        <v>25</v>
      </c>
      <c r="D3137" s="21">
        <v>1082</v>
      </c>
      <c r="F3137" s="57">
        <f t="shared" si="202"/>
        <v>1</v>
      </c>
    </row>
    <row r="3138" spans="1:6" x14ac:dyDescent="0.25">
      <c r="A3138" s="5" t="s">
        <v>35</v>
      </c>
      <c r="B3138" s="19">
        <v>44023</v>
      </c>
      <c r="C3138" s="4">
        <v>21</v>
      </c>
      <c r="D3138" s="21">
        <v>107</v>
      </c>
      <c r="F3138" s="57">
        <f t="shared" si="202"/>
        <v>0</v>
      </c>
    </row>
    <row r="3139" spans="1:6" x14ac:dyDescent="0.25">
      <c r="A3139" s="5" t="s">
        <v>36</v>
      </c>
      <c r="B3139" s="19">
        <v>44023</v>
      </c>
      <c r="C3139" s="4">
        <v>0</v>
      </c>
      <c r="D3139" s="21">
        <v>9</v>
      </c>
      <c r="F3139" s="57">
        <f>E3139+F3115</f>
        <v>0</v>
      </c>
    </row>
    <row r="3140" spans="1:6" x14ac:dyDescent="0.25">
      <c r="A3140" s="5" t="s">
        <v>37</v>
      </c>
      <c r="B3140" s="19">
        <v>44023</v>
      </c>
      <c r="C3140" s="4">
        <v>0</v>
      </c>
      <c r="D3140" s="21">
        <v>12</v>
      </c>
      <c r="F3140" s="57">
        <f t="shared" si="202"/>
        <v>0</v>
      </c>
    </row>
    <row r="3141" spans="1:6" x14ac:dyDescent="0.25">
      <c r="A3141" s="5" t="s">
        <v>38</v>
      </c>
      <c r="B3141" s="19">
        <v>44023</v>
      </c>
      <c r="C3141" s="4">
        <v>0</v>
      </c>
      <c r="D3141" s="21">
        <v>60</v>
      </c>
      <c r="F3141" s="57">
        <f t="shared" si="202"/>
        <v>0</v>
      </c>
    </row>
    <row r="3142" spans="1:6" x14ac:dyDescent="0.25">
      <c r="A3142" s="5" t="s">
        <v>23</v>
      </c>
      <c r="B3142" s="19">
        <v>44023</v>
      </c>
      <c r="C3142" s="4">
        <v>19</v>
      </c>
      <c r="D3142" s="21">
        <v>505</v>
      </c>
      <c r="F3142" s="57">
        <f>E3142+F3118</f>
        <v>6</v>
      </c>
    </row>
    <row r="3143" spans="1:6" x14ac:dyDescent="0.25">
      <c r="A3143" s="5" t="s">
        <v>39</v>
      </c>
      <c r="B3143" s="19">
        <v>44023</v>
      </c>
      <c r="C3143" s="4">
        <v>0</v>
      </c>
      <c r="D3143" s="21">
        <v>36</v>
      </c>
      <c r="F3143" s="57">
        <f>E3143+F3119</f>
        <v>0</v>
      </c>
    </row>
    <row r="3144" spans="1:6" x14ac:dyDescent="0.25">
      <c r="A3144" s="5" t="s">
        <v>40</v>
      </c>
      <c r="B3144" s="19">
        <v>44023</v>
      </c>
      <c r="C3144" s="4">
        <v>0</v>
      </c>
      <c r="D3144" s="21">
        <v>155</v>
      </c>
      <c r="F3144" s="57">
        <f>E3144+F3120</f>
        <v>1</v>
      </c>
    </row>
    <row r="3145" spans="1:6" x14ac:dyDescent="0.25">
      <c r="A3145" s="5" t="s">
        <v>41</v>
      </c>
      <c r="B3145" s="19">
        <v>44023</v>
      </c>
      <c r="C3145" s="4">
        <v>0</v>
      </c>
      <c r="D3145" s="21">
        <v>91</v>
      </c>
      <c r="F3145" s="57">
        <f>E3145+F3121</f>
        <v>4</v>
      </c>
    </row>
    <row r="3146" spans="1:6" x14ac:dyDescent="0.25">
      <c r="A3146" s="42" t="s">
        <v>17</v>
      </c>
      <c r="B3146" s="19">
        <v>44024</v>
      </c>
      <c r="C3146" s="4">
        <v>1633</v>
      </c>
      <c r="D3146" s="21">
        <v>53657</v>
      </c>
      <c r="E3146" s="4">
        <v>23</v>
      </c>
      <c r="F3146" s="57">
        <f>E3146+F3122</f>
        <v>903</v>
      </c>
    </row>
    <row r="3147" spans="1:6" x14ac:dyDescent="0.25">
      <c r="A3147" s="5" t="s">
        <v>29</v>
      </c>
      <c r="B3147" s="19">
        <v>44024</v>
      </c>
      <c r="C3147" s="4">
        <v>0</v>
      </c>
      <c r="D3147" s="21">
        <v>39</v>
      </c>
      <c r="F3147" s="57">
        <f t="shared" ref="F3147:F3153" si="203">E3147+F3123</f>
        <v>0</v>
      </c>
    </row>
    <row r="3148" spans="1:6" x14ac:dyDescent="0.25">
      <c r="A3148" s="5" t="s">
        <v>16</v>
      </c>
      <c r="B3148" s="19">
        <v>44024</v>
      </c>
      <c r="C3148" s="4">
        <v>25</v>
      </c>
      <c r="D3148" s="21">
        <v>2577</v>
      </c>
      <c r="F3148" s="57">
        <f t="shared" si="203"/>
        <v>114</v>
      </c>
    </row>
    <row r="3149" spans="1:6" x14ac:dyDescent="0.25">
      <c r="A3149" s="5" t="s">
        <v>30</v>
      </c>
      <c r="B3149" s="19">
        <v>44024</v>
      </c>
      <c r="C3149" s="4">
        <v>1</v>
      </c>
      <c r="D3149" s="21">
        <v>206</v>
      </c>
      <c r="F3149" s="57">
        <f t="shared" si="203"/>
        <v>3</v>
      </c>
    </row>
    <row r="3150" spans="1:6" x14ac:dyDescent="0.25">
      <c r="A3150" s="5" t="s">
        <v>44</v>
      </c>
      <c r="B3150" s="19">
        <v>44024</v>
      </c>
      <c r="C3150" s="4">
        <v>754</v>
      </c>
      <c r="D3150" s="21">
        <v>38325</v>
      </c>
      <c r="E3150" s="4">
        <v>11</v>
      </c>
      <c r="F3150" s="57">
        <f t="shared" si="203"/>
        <v>680</v>
      </c>
    </row>
    <row r="3151" spans="1:6" x14ac:dyDescent="0.25">
      <c r="A3151" s="5" t="s">
        <v>21</v>
      </c>
      <c r="B3151" s="19">
        <v>44024</v>
      </c>
      <c r="C3151" s="4">
        <v>34</v>
      </c>
      <c r="D3151" s="21">
        <v>919</v>
      </c>
      <c r="F3151" s="57">
        <f t="shared" si="203"/>
        <v>34</v>
      </c>
    </row>
    <row r="3152" spans="1:6" x14ac:dyDescent="0.25">
      <c r="A3152" s="5" t="s">
        <v>31</v>
      </c>
      <c r="B3152" s="19">
        <v>44024</v>
      </c>
      <c r="C3152" s="4">
        <v>0</v>
      </c>
      <c r="D3152" s="21">
        <v>127</v>
      </c>
      <c r="F3152" s="57">
        <f t="shared" si="203"/>
        <v>0</v>
      </c>
    </row>
    <row r="3153" spans="1:6" x14ac:dyDescent="0.25">
      <c r="A3153" s="5" t="s">
        <v>32</v>
      </c>
      <c r="B3153" s="19">
        <v>44024</v>
      </c>
      <c r="C3153" s="4">
        <v>60</v>
      </c>
      <c r="D3153" s="21">
        <v>492</v>
      </c>
      <c r="F3153" s="57">
        <f t="shared" si="203"/>
        <v>0</v>
      </c>
    </row>
    <row r="3154" spans="1:6" x14ac:dyDescent="0.25">
      <c r="A3154" s="5" t="s">
        <v>42</v>
      </c>
      <c r="B3154" s="19">
        <v>44024</v>
      </c>
      <c r="C3154" s="4">
        <v>0</v>
      </c>
      <c r="D3154" s="21">
        <v>76</v>
      </c>
      <c r="F3154" s="57">
        <f t="shared" ref="F3154:F3165" si="204">E3154+F3129</f>
        <v>0</v>
      </c>
    </row>
    <row r="3155" spans="1:6" x14ac:dyDescent="0.25">
      <c r="A3155" s="5" t="s">
        <v>33</v>
      </c>
      <c r="B3155" s="19">
        <v>44024</v>
      </c>
      <c r="C3155" s="4">
        <v>68</v>
      </c>
      <c r="D3155" s="21">
        <v>461</v>
      </c>
      <c r="F3155" s="57">
        <f t="shared" si="204"/>
        <v>0</v>
      </c>
    </row>
    <row r="3156" spans="1:6" x14ac:dyDescent="0.25">
      <c r="A3156" s="5" t="s">
        <v>34</v>
      </c>
      <c r="B3156" s="19">
        <v>44024</v>
      </c>
      <c r="C3156" s="4">
        <v>0</v>
      </c>
      <c r="D3156" s="21">
        <v>7</v>
      </c>
      <c r="F3156" s="57">
        <f t="shared" si="204"/>
        <v>0</v>
      </c>
    </row>
    <row r="3157" spans="1:6" x14ac:dyDescent="0.25">
      <c r="A3157" s="5" t="s">
        <v>22</v>
      </c>
      <c r="B3157" s="19">
        <v>44024</v>
      </c>
      <c r="C3157" s="4">
        <v>4</v>
      </c>
      <c r="D3157" s="21">
        <v>140</v>
      </c>
      <c r="F3157" s="57">
        <f t="shared" si="204"/>
        <v>0</v>
      </c>
    </row>
    <row r="3158" spans="1:6" x14ac:dyDescent="0.25">
      <c r="A3158" s="5" t="s">
        <v>18</v>
      </c>
      <c r="B3158" s="19">
        <v>44024</v>
      </c>
      <c r="C3158" s="4">
        <v>14</v>
      </c>
      <c r="D3158" s="21">
        <v>291</v>
      </c>
      <c r="F3158" s="57">
        <f t="shared" si="204"/>
        <v>0</v>
      </c>
    </row>
    <row r="3159" spans="1:6" x14ac:dyDescent="0.25">
      <c r="A3159" s="5" t="s">
        <v>24</v>
      </c>
      <c r="B3159" s="19">
        <v>44024</v>
      </c>
      <c r="C3159" s="4">
        <v>0</v>
      </c>
      <c r="D3159" s="21">
        <v>49</v>
      </c>
      <c r="F3159" s="57">
        <f t="shared" si="204"/>
        <v>2</v>
      </c>
    </row>
    <row r="3160" spans="1:6" x14ac:dyDescent="0.25">
      <c r="A3160" s="5" t="s">
        <v>20</v>
      </c>
      <c r="B3160" s="19">
        <v>44024</v>
      </c>
      <c r="C3160" s="4">
        <v>17</v>
      </c>
      <c r="D3160" s="21">
        <v>684</v>
      </c>
      <c r="F3160" s="57">
        <f t="shared" si="204"/>
        <v>0</v>
      </c>
    </row>
    <row r="3161" spans="1:6" x14ac:dyDescent="0.25">
      <c r="A3161" s="5" t="s">
        <v>19</v>
      </c>
      <c r="B3161" s="19">
        <v>44024</v>
      </c>
      <c r="C3161" s="4">
        <v>14</v>
      </c>
      <c r="D3161" s="21">
        <v>1096</v>
      </c>
      <c r="E3161" s="4">
        <v>1</v>
      </c>
      <c r="F3161" s="57">
        <f t="shared" si="204"/>
        <v>1</v>
      </c>
    </row>
    <row r="3162" spans="1:6" x14ac:dyDescent="0.25">
      <c r="A3162" s="5" t="s">
        <v>35</v>
      </c>
      <c r="B3162" s="19">
        <v>44024</v>
      </c>
      <c r="C3162" s="4">
        <v>2</v>
      </c>
      <c r="D3162" s="21">
        <v>109</v>
      </c>
      <c r="F3162" s="57">
        <f t="shared" si="204"/>
        <v>1</v>
      </c>
    </row>
    <row r="3163" spans="1:6" x14ac:dyDescent="0.25">
      <c r="A3163" s="5" t="s">
        <v>36</v>
      </c>
      <c r="B3163" s="19">
        <v>44024</v>
      </c>
      <c r="C3163" s="4">
        <v>0</v>
      </c>
      <c r="D3163" s="21">
        <v>9</v>
      </c>
      <c r="F3163" s="57">
        <f>E3163+F3139</f>
        <v>0</v>
      </c>
    </row>
    <row r="3164" spans="1:6" x14ac:dyDescent="0.25">
      <c r="A3164" s="5" t="s">
        <v>37</v>
      </c>
      <c r="B3164" s="19">
        <v>44024</v>
      </c>
      <c r="C3164" s="4">
        <v>0</v>
      </c>
      <c r="D3164" s="21">
        <v>12</v>
      </c>
      <c r="F3164" s="57">
        <f t="shared" si="204"/>
        <v>0</v>
      </c>
    </row>
    <row r="3165" spans="1:6" x14ac:dyDescent="0.25">
      <c r="A3165" s="5" t="s">
        <v>38</v>
      </c>
      <c r="B3165" s="19">
        <v>44024</v>
      </c>
      <c r="C3165" s="4">
        <v>1</v>
      </c>
      <c r="D3165" s="21">
        <v>61</v>
      </c>
      <c r="F3165" s="57">
        <f t="shared" si="204"/>
        <v>0</v>
      </c>
    </row>
    <row r="3166" spans="1:6" x14ac:dyDescent="0.25">
      <c r="A3166" s="5" t="s">
        <v>23</v>
      </c>
      <c r="B3166" s="19">
        <v>44024</v>
      </c>
      <c r="C3166" s="4">
        <v>23</v>
      </c>
      <c r="D3166" s="21">
        <v>528</v>
      </c>
      <c r="F3166" s="57">
        <f>E3166+F3142</f>
        <v>6</v>
      </c>
    </row>
    <row r="3167" spans="1:6" x14ac:dyDescent="0.25">
      <c r="A3167" s="5" t="s">
        <v>39</v>
      </c>
      <c r="B3167" s="19">
        <v>44024</v>
      </c>
      <c r="C3167" s="4">
        <v>0</v>
      </c>
      <c r="D3167" s="21">
        <v>36</v>
      </c>
      <c r="F3167" s="57">
        <f>E3167+F3143</f>
        <v>0</v>
      </c>
    </row>
    <row r="3168" spans="1:6" x14ac:dyDescent="0.25">
      <c r="A3168" s="5" t="s">
        <v>40</v>
      </c>
      <c r="B3168" s="19">
        <v>44024</v>
      </c>
      <c r="C3168" s="4">
        <v>6</v>
      </c>
      <c r="D3168" s="21">
        <v>161</v>
      </c>
      <c r="F3168" s="57">
        <f>E3168+F3144</f>
        <v>1</v>
      </c>
    </row>
    <row r="3169" spans="1:6" x14ac:dyDescent="0.25">
      <c r="A3169" s="5" t="s">
        <v>41</v>
      </c>
      <c r="B3169" s="19">
        <v>44024</v>
      </c>
      <c r="C3169" s="4">
        <v>1</v>
      </c>
      <c r="D3169" s="21">
        <v>92</v>
      </c>
      <c r="F3169" s="57">
        <f>E3169+F3145</f>
        <v>4</v>
      </c>
    </row>
    <row r="3170" spans="1:6" x14ac:dyDescent="0.25">
      <c r="A3170" s="42" t="s">
        <v>17</v>
      </c>
      <c r="B3170" s="19">
        <v>44025</v>
      </c>
      <c r="C3170" s="4">
        <v>2002</v>
      </c>
      <c r="D3170" s="21">
        <v>55659</v>
      </c>
      <c r="E3170" s="4">
        <v>27</v>
      </c>
      <c r="F3170" s="57">
        <f>E3170+F3146</f>
        <v>930</v>
      </c>
    </row>
    <row r="3171" spans="1:6" x14ac:dyDescent="0.25">
      <c r="A3171" s="5" t="s">
        <v>29</v>
      </c>
      <c r="B3171" s="19">
        <v>44025</v>
      </c>
      <c r="C3171" s="4">
        <v>0</v>
      </c>
      <c r="D3171" s="21">
        <v>39</v>
      </c>
      <c r="F3171" s="57">
        <f t="shared" ref="F3171:F3177" si="205">E3171+F3147</f>
        <v>0</v>
      </c>
    </row>
    <row r="3172" spans="1:6" x14ac:dyDescent="0.25">
      <c r="A3172" s="5" t="s">
        <v>16</v>
      </c>
      <c r="B3172" s="19">
        <v>44025</v>
      </c>
      <c r="C3172" s="4">
        <v>25</v>
      </c>
      <c r="D3172" s="21">
        <v>2602</v>
      </c>
      <c r="F3172" s="57">
        <f t="shared" si="205"/>
        <v>114</v>
      </c>
    </row>
    <row r="3173" spans="1:6" x14ac:dyDescent="0.25">
      <c r="A3173" s="5" t="s">
        <v>30</v>
      </c>
      <c r="B3173" s="19">
        <v>44025</v>
      </c>
      <c r="C3173" s="4">
        <v>5</v>
      </c>
      <c r="D3173" s="21">
        <v>211</v>
      </c>
      <c r="F3173" s="57">
        <f t="shared" si="205"/>
        <v>3</v>
      </c>
    </row>
    <row r="3174" spans="1:6" x14ac:dyDescent="0.25">
      <c r="A3174" s="5" t="s">
        <v>44</v>
      </c>
      <c r="B3174" s="19">
        <v>44025</v>
      </c>
      <c r="C3174" s="4">
        <v>860</v>
      </c>
      <c r="D3174" s="21">
        <v>39185</v>
      </c>
      <c r="E3174" s="4">
        <v>31</v>
      </c>
      <c r="F3174" s="57">
        <f t="shared" si="205"/>
        <v>711</v>
      </c>
    </row>
    <row r="3175" spans="1:6" x14ac:dyDescent="0.25">
      <c r="A3175" s="5" t="s">
        <v>21</v>
      </c>
      <c r="B3175" s="19">
        <v>44025</v>
      </c>
      <c r="C3175" s="4">
        <v>44</v>
      </c>
      <c r="D3175" s="21">
        <v>963</v>
      </c>
      <c r="F3175" s="57">
        <f t="shared" si="205"/>
        <v>34</v>
      </c>
    </row>
    <row r="3176" spans="1:6" x14ac:dyDescent="0.25">
      <c r="A3176" s="5" t="s">
        <v>31</v>
      </c>
      <c r="B3176" s="19">
        <v>44025</v>
      </c>
      <c r="C3176" s="4">
        <v>0</v>
      </c>
      <c r="D3176" s="21">
        <v>127</v>
      </c>
      <c r="F3176" s="57">
        <f t="shared" si="205"/>
        <v>0</v>
      </c>
    </row>
    <row r="3177" spans="1:6" x14ac:dyDescent="0.25">
      <c r="A3177" s="5" t="s">
        <v>32</v>
      </c>
      <c r="B3177" s="19">
        <v>44025</v>
      </c>
      <c r="C3177" s="4">
        <v>42</v>
      </c>
      <c r="D3177" s="21">
        <v>534</v>
      </c>
      <c r="F3177" s="57">
        <f t="shared" si="205"/>
        <v>0</v>
      </c>
    </row>
    <row r="3178" spans="1:6" x14ac:dyDescent="0.25">
      <c r="A3178" s="5" t="s">
        <v>42</v>
      </c>
      <c r="B3178" s="19">
        <v>44025</v>
      </c>
      <c r="C3178" s="4">
        <v>2</v>
      </c>
      <c r="D3178" s="21">
        <v>78</v>
      </c>
      <c r="F3178" s="57">
        <f t="shared" ref="F3178:F3189" si="206">E3178+F3153</f>
        <v>0</v>
      </c>
    </row>
    <row r="3179" spans="1:6" x14ac:dyDescent="0.25">
      <c r="A3179" s="5" t="s">
        <v>33</v>
      </c>
      <c r="B3179" s="19">
        <v>44025</v>
      </c>
      <c r="C3179" s="4">
        <v>5</v>
      </c>
      <c r="D3179" s="21">
        <v>466</v>
      </c>
      <c r="F3179" s="57">
        <f t="shared" si="206"/>
        <v>0</v>
      </c>
    </row>
    <row r="3180" spans="1:6" x14ac:dyDescent="0.25">
      <c r="A3180" s="5" t="s">
        <v>34</v>
      </c>
      <c r="B3180" s="19">
        <v>44025</v>
      </c>
      <c r="C3180" s="4">
        <v>0</v>
      </c>
      <c r="D3180" s="21">
        <v>7</v>
      </c>
      <c r="F3180" s="57">
        <f t="shared" si="206"/>
        <v>0</v>
      </c>
    </row>
    <row r="3181" spans="1:6" x14ac:dyDescent="0.25">
      <c r="A3181" s="5" t="s">
        <v>22</v>
      </c>
      <c r="B3181" s="19">
        <v>44025</v>
      </c>
      <c r="C3181" s="4">
        <v>6</v>
      </c>
      <c r="D3181" s="21">
        <v>146</v>
      </c>
      <c r="F3181" s="57">
        <f t="shared" si="206"/>
        <v>0</v>
      </c>
    </row>
    <row r="3182" spans="1:6" x14ac:dyDescent="0.25">
      <c r="A3182" s="5" t="s">
        <v>18</v>
      </c>
      <c r="B3182" s="19">
        <v>44025</v>
      </c>
      <c r="C3182" s="4">
        <v>13</v>
      </c>
      <c r="D3182" s="21">
        <v>304</v>
      </c>
      <c r="F3182" s="57">
        <f t="shared" si="206"/>
        <v>0</v>
      </c>
    </row>
    <row r="3183" spans="1:6" x14ac:dyDescent="0.25">
      <c r="A3183" s="5" t="s">
        <v>24</v>
      </c>
      <c r="B3183" s="19">
        <v>44025</v>
      </c>
      <c r="C3183" s="4">
        <v>0</v>
      </c>
      <c r="D3183" s="21">
        <v>49</v>
      </c>
      <c r="F3183" s="57">
        <f t="shared" si="206"/>
        <v>0</v>
      </c>
    </row>
    <row r="3184" spans="1:6" x14ac:dyDescent="0.25">
      <c r="A3184" s="5" t="s">
        <v>20</v>
      </c>
      <c r="B3184" s="19">
        <v>44025</v>
      </c>
      <c r="C3184" s="4">
        <v>47</v>
      </c>
      <c r="D3184" s="21">
        <v>731</v>
      </c>
      <c r="F3184" s="57">
        <f t="shared" si="206"/>
        <v>2</v>
      </c>
    </row>
    <row r="3185" spans="1:6" x14ac:dyDescent="0.25">
      <c r="A3185" s="5" t="s">
        <v>19</v>
      </c>
      <c r="B3185" s="19">
        <v>44025</v>
      </c>
      <c r="C3185" s="4">
        <v>27</v>
      </c>
      <c r="D3185" s="21">
        <v>1123</v>
      </c>
      <c r="F3185" s="57">
        <f t="shared" si="206"/>
        <v>0</v>
      </c>
    </row>
    <row r="3186" spans="1:6" x14ac:dyDescent="0.25">
      <c r="A3186" s="5" t="s">
        <v>35</v>
      </c>
      <c r="B3186" s="19">
        <v>44025</v>
      </c>
      <c r="C3186" s="4">
        <v>8</v>
      </c>
      <c r="D3186" s="21">
        <v>117</v>
      </c>
      <c r="F3186" s="57">
        <f t="shared" si="206"/>
        <v>1</v>
      </c>
    </row>
    <row r="3187" spans="1:6" x14ac:dyDescent="0.25">
      <c r="A3187" s="5" t="s">
        <v>36</v>
      </c>
      <c r="B3187" s="19">
        <v>44025</v>
      </c>
      <c r="C3187" s="4">
        <v>0</v>
      </c>
      <c r="D3187" s="21">
        <v>9</v>
      </c>
      <c r="F3187" s="57">
        <f>E3187+F3163</f>
        <v>0</v>
      </c>
    </row>
    <row r="3188" spans="1:6" x14ac:dyDescent="0.25">
      <c r="A3188" s="5" t="s">
        <v>37</v>
      </c>
      <c r="B3188" s="19">
        <v>44025</v>
      </c>
      <c r="C3188" s="4">
        <v>0</v>
      </c>
      <c r="D3188" s="21">
        <v>12</v>
      </c>
      <c r="F3188" s="57">
        <f t="shared" si="206"/>
        <v>0</v>
      </c>
    </row>
    <row r="3189" spans="1:6" x14ac:dyDescent="0.25">
      <c r="A3189" s="5" t="s">
        <v>38</v>
      </c>
      <c r="B3189" s="19">
        <v>44025</v>
      </c>
      <c r="C3189" s="4">
        <v>0</v>
      </c>
      <c r="D3189" s="21">
        <v>61</v>
      </c>
      <c r="F3189" s="57">
        <f t="shared" si="206"/>
        <v>0</v>
      </c>
    </row>
    <row r="3190" spans="1:6" x14ac:dyDescent="0.25">
      <c r="A3190" s="5" t="s">
        <v>23</v>
      </c>
      <c r="B3190" s="19">
        <v>44025</v>
      </c>
      <c r="C3190" s="4">
        <v>11</v>
      </c>
      <c r="D3190" s="21">
        <v>539</v>
      </c>
      <c r="F3190" s="57">
        <f>E3190+F3166</f>
        <v>6</v>
      </c>
    </row>
    <row r="3191" spans="1:6" x14ac:dyDescent="0.25">
      <c r="A3191" s="5" t="s">
        <v>39</v>
      </c>
      <c r="B3191" s="19">
        <v>44025</v>
      </c>
      <c r="C3191" s="4">
        <v>0</v>
      </c>
      <c r="D3191" s="21">
        <v>36</v>
      </c>
      <c r="F3191" s="57">
        <f>E3191+F3167</f>
        <v>0</v>
      </c>
    </row>
    <row r="3192" spans="1:6" x14ac:dyDescent="0.25">
      <c r="A3192" s="5" t="s">
        <v>40</v>
      </c>
      <c r="B3192" s="19">
        <v>44025</v>
      </c>
      <c r="C3192" s="4">
        <v>0</v>
      </c>
      <c r="D3192" s="21">
        <v>161</v>
      </c>
      <c r="F3192" s="57">
        <f>E3192+F3168</f>
        <v>1</v>
      </c>
    </row>
    <row r="3193" spans="1:6" x14ac:dyDescent="0.25">
      <c r="A3193" s="5" t="s">
        <v>41</v>
      </c>
      <c r="B3193" s="19">
        <v>44025</v>
      </c>
      <c r="C3193" s="4">
        <v>2</v>
      </c>
      <c r="D3193" s="21">
        <v>94</v>
      </c>
      <c r="F3193" s="57">
        <f>E3193+F3169</f>
        <v>4</v>
      </c>
    </row>
    <row r="3194" spans="1:6" x14ac:dyDescent="0.25">
      <c r="A3194" s="42" t="s">
        <v>17</v>
      </c>
      <c r="B3194" s="19">
        <v>44026</v>
      </c>
      <c r="C3194" s="4">
        <v>2262</v>
      </c>
      <c r="D3194" s="21">
        <v>57921</v>
      </c>
      <c r="E3194" s="4">
        <v>35</v>
      </c>
      <c r="F3194" s="57">
        <f>E3194+F3170</f>
        <v>965</v>
      </c>
    </row>
    <row r="3195" spans="1:6" x14ac:dyDescent="0.25">
      <c r="A3195" s="5" t="s">
        <v>29</v>
      </c>
      <c r="B3195" s="19">
        <v>44026</v>
      </c>
      <c r="C3195" s="4">
        <v>0</v>
      </c>
      <c r="D3195" s="21">
        <v>39</v>
      </c>
      <c r="F3195" s="57">
        <f t="shared" ref="F3195:F3201" si="207">E3195+F3171</f>
        <v>0</v>
      </c>
    </row>
    <row r="3196" spans="1:6" x14ac:dyDescent="0.25">
      <c r="A3196" s="5" t="s">
        <v>16</v>
      </c>
      <c r="B3196" s="19">
        <v>44026</v>
      </c>
      <c r="C3196" s="4">
        <v>72</v>
      </c>
      <c r="D3196" s="21">
        <v>2674</v>
      </c>
      <c r="E3196" s="4">
        <v>1</v>
      </c>
      <c r="F3196" s="57">
        <f t="shared" si="207"/>
        <v>115</v>
      </c>
    </row>
    <row r="3197" spans="1:6" x14ac:dyDescent="0.25">
      <c r="A3197" s="5" t="s">
        <v>30</v>
      </c>
      <c r="B3197" s="19">
        <v>44026</v>
      </c>
      <c r="C3197" s="4">
        <v>2</v>
      </c>
      <c r="D3197" s="21">
        <v>213</v>
      </c>
      <c r="F3197" s="57">
        <f t="shared" si="207"/>
        <v>3</v>
      </c>
    </row>
    <row r="3198" spans="1:6" x14ac:dyDescent="0.25">
      <c r="A3198" s="5" t="s">
        <v>44</v>
      </c>
      <c r="B3198" s="19">
        <v>44026</v>
      </c>
      <c r="C3198" s="4">
        <v>1039</v>
      </c>
      <c r="D3198" s="21">
        <v>40224</v>
      </c>
      <c r="E3198" s="4">
        <v>28</v>
      </c>
      <c r="F3198" s="57">
        <f t="shared" si="207"/>
        <v>739</v>
      </c>
    </row>
    <row r="3199" spans="1:6" x14ac:dyDescent="0.25">
      <c r="A3199" s="5" t="s">
        <v>21</v>
      </c>
      <c r="B3199" s="19">
        <v>44026</v>
      </c>
      <c r="C3199" s="4">
        <v>43</v>
      </c>
      <c r="D3199" s="21">
        <v>1006</v>
      </c>
      <c r="F3199" s="57">
        <f t="shared" si="207"/>
        <v>34</v>
      </c>
    </row>
    <row r="3200" spans="1:6" x14ac:dyDescent="0.25">
      <c r="A3200" s="5" t="s">
        <v>31</v>
      </c>
      <c r="B3200" s="19">
        <v>44026</v>
      </c>
      <c r="C3200" s="4">
        <v>1</v>
      </c>
      <c r="D3200" s="21">
        <v>128</v>
      </c>
      <c r="F3200" s="57">
        <f t="shared" si="207"/>
        <v>0</v>
      </c>
    </row>
    <row r="3201" spans="1:6" x14ac:dyDescent="0.25">
      <c r="A3201" s="5" t="s">
        <v>32</v>
      </c>
      <c r="B3201" s="19">
        <v>44026</v>
      </c>
      <c r="C3201" s="4">
        <v>22</v>
      </c>
      <c r="D3201" s="21">
        <v>556</v>
      </c>
      <c r="F3201" s="57">
        <f t="shared" si="207"/>
        <v>0</v>
      </c>
    </row>
    <row r="3202" spans="1:6" x14ac:dyDescent="0.25">
      <c r="A3202" s="5" t="s">
        <v>42</v>
      </c>
      <c r="B3202" s="19">
        <v>44026</v>
      </c>
      <c r="C3202" s="4">
        <v>0</v>
      </c>
      <c r="D3202" s="21">
        <v>78</v>
      </c>
      <c r="F3202" s="57">
        <f t="shared" ref="F3202:F3213" si="208">E3202+F3177</f>
        <v>0</v>
      </c>
    </row>
    <row r="3203" spans="1:6" x14ac:dyDescent="0.25">
      <c r="A3203" s="5" t="s">
        <v>33</v>
      </c>
      <c r="B3203" s="19">
        <v>44026</v>
      </c>
      <c r="C3203" s="4">
        <v>16</v>
      </c>
      <c r="D3203" s="21">
        <v>482</v>
      </c>
      <c r="F3203" s="57">
        <f t="shared" si="208"/>
        <v>0</v>
      </c>
    </row>
    <row r="3204" spans="1:6" x14ac:dyDescent="0.25">
      <c r="A3204" s="5" t="s">
        <v>34</v>
      </c>
      <c r="B3204" s="19">
        <v>44026</v>
      </c>
      <c r="C3204" s="4">
        <v>0</v>
      </c>
      <c r="D3204" s="21">
        <v>7</v>
      </c>
      <c r="F3204" s="57">
        <f t="shared" si="208"/>
        <v>0</v>
      </c>
    </row>
    <row r="3205" spans="1:6" x14ac:dyDescent="0.25">
      <c r="A3205" s="5" t="s">
        <v>22</v>
      </c>
      <c r="B3205" s="19">
        <v>44026</v>
      </c>
      <c r="C3205" s="4">
        <v>8</v>
      </c>
      <c r="D3205" s="21">
        <v>154</v>
      </c>
      <c r="F3205" s="57">
        <f t="shared" si="208"/>
        <v>0</v>
      </c>
    </row>
    <row r="3206" spans="1:6" x14ac:dyDescent="0.25">
      <c r="A3206" s="5" t="s">
        <v>18</v>
      </c>
      <c r="B3206" s="19">
        <v>44026</v>
      </c>
      <c r="C3206" s="4">
        <v>27</v>
      </c>
      <c r="D3206" s="21">
        <v>331</v>
      </c>
      <c r="F3206" s="57">
        <f t="shared" si="208"/>
        <v>0</v>
      </c>
    </row>
    <row r="3207" spans="1:6" x14ac:dyDescent="0.25">
      <c r="A3207" s="5" t="s">
        <v>24</v>
      </c>
      <c r="B3207" s="19">
        <v>44026</v>
      </c>
      <c r="C3207" s="4">
        <v>0</v>
      </c>
      <c r="D3207" s="21">
        <v>49</v>
      </c>
      <c r="F3207" s="57">
        <f t="shared" si="208"/>
        <v>0</v>
      </c>
    </row>
    <row r="3208" spans="1:6" x14ac:dyDescent="0.25">
      <c r="A3208" s="5" t="s">
        <v>20</v>
      </c>
      <c r="B3208" s="19">
        <v>44026</v>
      </c>
      <c r="C3208" s="4">
        <v>21</v>
      </c>
      <c r="D3208" s="21">
        <v>752</v>
      </c>
      <c r="F3208" s="57">
        <f t="shared" si="208"/>
        <v>0</v>
      </c>
    </row>
    <row r="3209" spans="1:6" x14ac:dyDescent="0.25">
      <c r="A3209" s="5" t="s">
        <v>19</v>
      </c>
      <c r="B3209" s="19">
        <v>44026</v>
      </c>
      <c r="C3209" s="4">
        <v>43</v>
      </c>
      <c r="D3209" s="21">
        <v>1166</v>
      </c>
      <c r="E3209" s="4">
        <v>1</v>
      </c>
      <c r="F3209" s="57">
        <f t="shared" si="208"/>
        <v>3</v>
      </c>
    </row>
    <row r="3210" spans="1:6" x14ac:dyDescent="0.25">
      <c r="A3210" s="5" t="s">
        <v>35</v>
      </c>
      <c r="B3210" s="19">
        <v>44026</v>
      </c>
      <c r="C3210" s="4">
        <v>9</v>
      </c>
      <c r="D3210" s="21">
        <v>126</v>
      </c>
      <c r="F3210" s="57">
        <f t="shared" si="208"/>
        <v>0</v>
      </c>
    </row>
    <row r="3211" spans="1:6" x14ac:dyDescent="0.25">
      <c r="A3211" s="5" t="s">
        <v>36</v>
      </c>
      <c r="B3211" s="19">
        <v>44026</v>
      </c>
      <c r="C3211" s="4">
        <v>0</v>
      </c>
      <c r="D3211" s="21">
        <v>9</v>
      </c>
      <c r="F3211" s="57">
        <f>E3211+F3187</f>
        <v>0</v>
      </c>
    </row>
    <row r="3212" spans="1:6" x14ac:dyDescent="0.25">
      <c r="A3212" s="5" t="s">
        <v>37</v>
      </c>
      <c r="B3212" s="19">
        <v>44026</v>
      </c>
      <c r="C3212" s="4">
        <v>1</v>
      </c>
      <c r="D3212" s="21">
        <v>13</v>
      </c>
      <c r="F3212" s="57">
        <f t="shared" si="208"/>
        <v>0</v>
      </c>
    </row>
    <row r="3213" spans="1:6" x14ac:dyDescent="0.25">
      <c r="A3213" s="5" t="s">
        <v>38</v>
      </c>
      <c r="B3213" s="19">
        <v>44026</v>
      </c>
      <c r="C3213" s="4">
        <v>0</v>
      </c>
      <c r="D3213" s="21">
        <v>61</v>
      </c>
      <c r="F3213" s="57">
        <f t="shared" si="208"/>
        <v>0</v>
      </c>
    </row>
    <row r="3214" spans="1:6" x14ac:dyDescent="0.25">
      <c r="A3214" s="5" t="s">
        <v>23</v>
      </c>
      <c r="B3214" s="19">
        <v>44026</v>
      </c>
      <c r="C3214" s="4">
        <v>29</v>
      </c>
      <c r="D3214" s="21">
        <v>568</v>
      </c>
      <c r="F3214" s="57">
        <f>E3214+F3190</f>
        <v>6</v>
      </c>
    </row>
    <row r="3215" spans="1:6" x14ac:dyDescent="0.25">
      <c r="A3215" s="5" t="s">
        <v>39</v>
      </c>
      <c r="B3215" s="19">
        <v>44026</v>
      </c>
      <c r="C3215" s="4">
        <v>1</v>
      </c>
      <c r="D3215" s="21">
        <v>37</v>
      </c>
      <c r="F3215" s="57">
        <f>E3215+F3191</f>
        <v>0</v>
      </c>
    </row>
    <row r="3216" spans="1:6" x14ac:dyDescent="0.25">
      <c r="A3216" s="5" t="s">
        <v>40</v>
      </c>
      <c r="B3216" s="19">
        <v>44026</v>
      </c>
      <c r="C3216" s="4">
        <v>47</v>
      </c>
      <c r="D3216" s="21">
        <v>208</v>
      </c>
      <c r="F3216" s="57">
        <f>E3216+F3192</f>
        <v>1</v>
      </c>
    </row>
    <row r="3217" spans="1:6" x14ac:dyDescent="0.25">
      <c r="A3217" s="5" t="s">
        <v>41</v>
      </c>
      <c r="B3217" s="19">
        <v>44026</v>
      </c>
      <c r="C3217" s="4">
        <v>0</v>
      </c>
      <c r="D3217" s="21">
        <v>94</v>
      </c>
      <c r="F3217" s="57">
        <f>E3217+F3193</f>
        <v>4</v>
      </c>
    </row>
    <row r="3218" spans="1:6" x14ac:dyDescent="0.25">
      <c r="A3218" s="42" t="s">
        <v>17</v>
      </c>
      <c r="B3218" s="19">
        <v>44027</v>
      </c>
      <c r="C3218" s="4">
        <v>2735</v>
      </c>
      <c r="D3218" s="21">
        <v>60656</v>
      </c>
      <c r="E3218" s="4">
        <v>42</v>
      </c>
      <c r="F3218" s="57">
        <f>E3218+F3194</f>
        <v>1007</v>
      </c>
    </row>
    <row r="3219" spans="1:6" x14ac:dyDescent="0.25">
      <c r="A3219" s="5" t="s">
        <v>29</v>
      </c>
      <c r="B3219" s="19">
        <v>44027</v>
      </c>
      <c r="C3219" s="4">
        <v>2</v>
      </c>
      <c r="D3219" s="21">
        <v>41</v>
      </c>
      <c r="F3219" s="57">
        <f t="shared" ref="F3219:F3225" si="209">E3219+F3195</f>
        <v>0</v>
      </c>
    </row>
    <row r="3220" spans="1:6" x14ac:dyDescent="0.25">
      <c r="A3220" s="5" t="s">
        <v>16</v>
      </c>
      <c r="B3220" s="19">
        <v>44027</v>
      </c>
      <c r="C3220" s="4">
        <v>77</v>
      </c>
      <c r="D3220" s="21">
        <v>2751</v>
      </c>
      <c r="F3220" s="57">
        <f t="shared" si="209"/>
        <v>115</v>
      </c>
    </row>
    <row r="3221" spans="1:6" x14ac:dyDescent="0.25">
      <c r="A3221" s="5" t="s">
        <v>30</v>
      </c>
      <c r="B3221" s="19">
        <v>44027</v>
      </c>
      <c r="C3221" s="4">
        <v>5</v>
      </c>
      <c r="D3221" s="21">
        <v>218</v>
      </c>
      <c r="F3221" s="57">
        <f t="shared" si="209"/>
        <v>3</v>
      </c>
    </row>
    <row r="3222" spans="1:6" x14ac:dyDescent="0.25">
      <c r="A3222" s="5" t="s">
        <v>44</v>
      </c>
      <c r="B3222" s="19">
        <v>44027</v>
      </c>
      <c r="C3222" s="4">
        <v>1220</v>
      </c>
      <c r="D3222" s="21">
        <v>41444</v>
      </c>
      <c r="E3222" s="4">
        <v>28</v>
      </c>
      <c r="F3222" s="57">
        <f t="shared" si="209"/>
        <v>767</v>
      </c>
    </row>
    <row r="3223" spans="1:6" x14ac:dyDescent="0.25">
      <c r="A3223" s="5" t="s">
        <v>21</v>
      </c>
      <c r="B3223" s="19">
        <v>44027</v>
      </c>
      <c r="C3223" s="4">
        <v>17</v>
      </c>
      <c r="D3223" s="21">
        <v>1023</v>
      </c>
      <c r="F3223" s="57">
        <f t="shared" si="209"/>
        <v>34</v>
      </c>
    </row>
    <row r="3224" spans="1:6" x14ac:dyDescent="0.25">
      <c r="A3224" s="5" t="s">
        <v>31</v>
      </c>
      <c r="B3224" s="19">
        <v>44027</v>
      </c>
      <c r="C3224" s="4">
        <v>0</v>
      </c>
      <c r="D3224" s="21">
        <v>128</v>
      </c>
      <c r="F3224" s="57">
        <f t="shared" si="209"/>
        <v>0</v>
      </c>
    </row>
    <row r="3225" spans="1:6" x14ac:dyDescent="0.25">
      <c r="A3225" s="5" t="s">
        <v>32</v>
      </c>
      <c r="B3225" s="19">
        <v>44027</v>
      </c>
      <c r="C3225" s="4">
        <v>9</v>
      </c>
      <c r="D3225" s="21">
        <v>565</v>
      </c>
      <c r="E3225" s="4">
        <v>4</v>
      </c>
      <c r="F3225" s="57">
        <f t="shared" si="209"/>
        <v>4</v>
      </c>
    </row>
    <row r="3226" spans="1:6" x14ac:dyDescent="0.25">
      <c r="A3226" s="5" t="s">
        <v>42</v>
      </c>
      <c r="B3226" s="19">
        <v>44027</v>
      </c>
      <c r="C3226" s="4">
        <v>0</v>
      </c>
      <c r="D3226" s="21">
        <v>78</v>
      </c>
      <c r="F3226" s="57">
        <f t="shared" ref="F3226:F3237" si="210">E3226+F3201</f>
        <v>0</v>
      </c>
    </row>
    <row r="3227" spans="1:6" x14ac:dyDescent="0.25">
      <c r="A3227" s="5" t="s">
        <v>33</v>
      </c>
      <c r="B3227" s="19">
        <v>44027</v>
      </c>
      <c r="C3227" s="4">
        <v>50</v>
      </c>
      <c r="D3227" s="21">
        <v>532</v>
      </c>
      <c r="F3227" s="57">
        <f t="shared" si="210"/>
        <v>0</v>
      </c>
    </row>
    <row r="3228" spans="1:6" x14ac:dyDescent="0.25">
      <c r="A3228" s="5" t="s">
        <v>34</v>
      </c>
      <c r="B3228" s="19">
        <v>44027</v>
      </c>
      <c r="C3228" s="4">
        <v>1</v>
      </c>
      <c r="D3228" s="21">
        <v>8</v>
      </c>
      <c r="F3228" s="57">
        <f t="shared" si="210"/>
        <v>0</v>
      </c>
    </row>
    <row r="3229" spans="1:6" x14ac:dyDescent="0.25">
      <c r="A3229" s="5" t="s">
        <v>22</v>
      </c>
      <c r="B3229" s="19">
        <v>44027</v>
      </c>
      <c r="C3229" s="4">
        <v>3</v>
      </c>
      <c r="D3229" s="21">
        <v>157</v>
      </c>
      <c r="F3229" s="57">
        <f t="shared" si="210"/>
        <v>0</v>
      </c>
    </row>
    <row r="3230" spans="1:6" x14ac:dyDescent="0.25">
      <c r="A3230" s="5" t="s">
        <v>18</v>
      </c>
      <c r="B3230" s="19">
        <v>44027</v>
      </c>
      <c r="C3230" s="4">
        <v>29</v>
      </c>
      <c r="D3230" s="21">
        <v>360</v>
      </c>
      <c r="F3230" s="57">
        <f t="shared" si="210"/>
        <v>0</v>
      </c>
    </row>
    <row r="3231" spans="1:6" x14ac:dyDescent="0.25">
      <c r="A3231" s="5" t="s">
        <v>24</v>
      </c>
      <c r="B3231" s="19">
        <v>44027</v>
      </c>
      <c r="C3231" s="4">
        <v>0</v>
      </c>
      <c r="D3231" s="21">
        <v>49</v>
      </c>
      <c r="F3231" s="57">
        <f t="shared" si="210"/>
        <v>0</v>
      </c>
    </row>
    <row r="3232" spans="1:6" x14ac:dyDescent="0.25">
      <c r="A3232" s="5" t="s">
        <v>20</v>
      </c>
      <c r="B3232" s="19">
        <v>44027</v>
      </c>
      <c r="C3232" s="4">
        <v>35</v>
      </c>
      <c r="D3232" s="21">
        <v>787</v>
      </c>
      <c r="E3232" s="4">
        <v>1</v>
      </c>
      <c r="F3232" s="57">
        <f t="shared" si="210"/>
        <v>1</v>
      </c>
    </row>
    <row r="3233" spans="1:6" x14ac:dyDescent="0.25">
      <c r="A3233" s="5" t="s">
        <v>19</v>
      </c>
      <c r="B3233" s="19">
        <v>44027</v>
      </c>
      <c r="C3233" s="4">
        <v>28</v>
      </c>
      <c r="D3233" s="21">
        <v>1194</v>
      </c>
      <c r="E3233" s="4">
        <v>5</v>
      </c>
      <c r="F3233" s="57">
        <f t="shared" si="210"/>
        <v>5</v>
      </c>
    </row>
    <row r="3234" spans="1:6" x14ac:dyDescent="0.25">
      <c r="A3234" s="5" t="s">
        <v>35</v>
      </c>
      <c r="B3234" s="19">
        <v>44027</v>
      </c>
      <c r="C3234" s="4">
        <v>2</v>
      </c>
      <c r="D3234" s="21">
        <v>128</v>
      </c>
      <c r="F3234" s="57">
        <f t="shared" si="210"/>
        <v>3</v>
      </c>
    </row>
    <row r="3235" spans="1:6" x14ac:dyDescent="0.25">
      <c r="A3235" s="5" t="s">
        <v>36</v>
      </c>
      <c r="B3235" s="19">
        <v>44027</v>
      </c>
      <c r="C3235" s="4">
        <v>5</v>
      </c>
      <c r="D3235" s="21">
        <v>14</v>
      </c>
      <c r="F3235" s="57">
        <f>E3235+F3211</f>
        <v>0</v>
      </c>
    </row>
    <row r="3236" spans="1:6" x14ac:dyDescent="0.25">
      <c r="A3236" s="5" t="s">
        <v>37</v>
      </c>
      <c r="B3236" s="19">
        <v>44027</v>
      </c>
      <c r="C3236" s="4">
        <v>0</v>
      </c>
      <c r="D3236" s="21">
        <v>13</v>
      </c>
      <c r="F3236" s="57">
        <f t="shared" si="210"/>
        <v>0</v>
      </c>
    </row>
    <row r="3237" spans="1:6" x14ac:dyDescent="0.25">
      <c r="A3237" s="5" t="s">
        <v>38</v>
      </c>
      <c r="B3237" s="19">
        <v>44027</v>
      </c>
      <c r="C3237" s="4">
        <v>9</v>
      </c>
      <c r="D3237" s="21">
        <v>70</v>
      </c>
      <c r="F3237" s="57">
        <f t="shared" si="210"/>
        <v>0</v>
      </c>
    </row>
    <row r="3238" spans="1:6" x14ac:dyDescent="0.25">
      <c r="A3238" s="5" t="s">
        <v>23</v>
      </c>
      <c r="B3238" s="19">
        <v>44027</v>
      </c>
      <c r="C3238" s="4">
        <v>23</v>
      </c>
      <c r="D3238" s="21">
        <v>591</v>
      </c>
      <c r="E3238" s="4">
        <v>2</v>
      </c>
      <c r="F3238" s="57">
        <f>E3238+F3214</f>
        <v>8</v>
      </c>
    </row>
    <row r="3239" spans="1:6" x14ac:dyDescent="0.25">
      <c r="A3239" s="5" t="s">
        <v>39</v>
      </c>
      <c r="B3239" s="19">
        <v>44027</v>
      </c>
      <c r="C3239" s="4">
        <v>0</v>
      </c>
      <c r="D3239" s="21">
        <v>37</v>
      </c>
      <c r="F3239" s="57">
        <f>E3239+F3215</f>
        <v>0</v>
      </c>
    </row>
    <row r="3240" spans="1:6" x14ac:dyDescent="0.25">
      <c r="A3240" s="5" t="s">
        <v>40</v>
      </c>
      <c r="B3240" s="19">
        <v>44027</v>
      </c>
      <c r="C3240" s="4">
        <v>0</v>
      </c>
      <c r="D3240" s="21">
        <v>208</v>
      </c>
      <c r="F3240" s="57">
        <f>E3240+F3216</f>
        <v>1</v>
      </c>
    </row>
    <row r="3241" spans="1:6" x14ac:dyDescent="0.25">
      <c r="A3241" s="5" t="s">
        <v>41</v>
      </c>
      <c r="B3241" s="19">
        <v>44027</v>
      </c>
      <c r="C3241" s="4">
        <v>1</v>
      </c>
      <c r="D3241" s="21">
        <v>95</v>
      </c>
      <c r="F3241" s="57">
        <f>E3241+F3217</f>
        <v>4</v>
      </c>
    </row>
    <row r="3242" spans="1:6" x14ac:dyDescent="0.25">
      <c r="A3242" s="42" t="s">
        <v>17</v>
      </c>
      <c r="B3242" s="19">
        <v>44028</v>
      </c>
      <c r="C3242" s="4">
        <v>2546</v>
      </c>
      <c r="D3242" s="21">
        <v>63202</v>
      </c>
      <c r="E3242" s="4">
        <v>42</v>
      </c>
      <c r="F3242" s="57">
        <f>E3242+F3218</f>
        <v>1049</v>
      </c>
    </row>
    <row r="3243" spans="1:6" x14ac:dyDescent="0.25">
      <c r="A3243" s="5" t="s">
        <v>29</v>
      </c>
      <c r="B3243" s="19">
        <v>44028</v>
      </c>
      <c r="C3243" s="4">
        <v>0</v>
      </c>
      <c r="D3243" s="21">
        <v>41</v>
      </c>
      <c r="F3243" s="57">
        <f t="shared" ref="F3243:F3249" si="211">E3243+F3219</f>
        <v>0</v>
      </c>
    </row>
    <row r="3244" spans="1:6" x14ac:dyDescent="0.25">
      <c r="A3244" s="5" t="s">
        <v>16</v>
      </c>
      <c r="B3244" s="19">
        <v>44028</v>
      </c>
      <c r="C3244" s="4">
        <v>42</v>
      </c>
      <c r="D3244" s="21">
        <v>2793</v>
      </c>
      <c r="E3244" s="4">
        <v>2</v>
      </c>
      <c r="F3244" s="57">
        <f t="shared" si="211"/>
        <v>117</v>
      </c>
    </row>
    <row r="3245" spans="1:6" x14ac:dyDescent="0.25">
      <c r="A3245" s="5" t="s">
        <v>30</v>
      </c>
      <c r="B3245" s="19">
        <v>44028</v>
      </c>
      <c r="C3245" s="4">
        <v>0</v>
      </c>
      <c r="D3245" s="21">
        <v>218</v>
      </c>
      <c r="F3245" s="57">
        <f t="shared" si="211"/>
        <v>3</v>
      </c>
    </row>
    <row r="3246" spans="1:6" x14ac:dyDescent="0.25">
      <c r="A3246" s="5" t="s">
        <v>44</v>
      </c>
      <c r="B3246" s="19">
        <v>44028</v>
      </c>
      <c r="C3246" s="4">
        <v>854</v>
      </c>
      <c r="D3246" s="21">
        <v>42298</v>
      </c>
      <c r="E3246" s="4">
        <v>15</v>
      </c>
      <c r="F3246" s="57">
        <f t="shared" si="211"/>
        <v>782</v>
      </c>
    </row>
    <row r="3247" spans="1:6" x14ac:dyDescent="0.25">
      <c r="A3247" s="5" t="s">
        <v>21</v>
      </c>
      <c r="B3247" s="19">
        <v>44028</v>
      </c>
      <c r="C3247" s="4">
        <v>40</v>
      </c>
      <c r="D3247" s="21">
        <v>1063</v>
      </c>
      <c r="F3247" s="57">
        <f t="shared" si="211"/>
        <v>34</v>
      </c>
    </row>
    <row r="3248" spans="1:6" x14ac:dyDescent="0.25">
      <c r="A3248" s="5" t="s">
        <v>31</v>
      </c>
      <c r="B3248" s="19">
        <v>44028</v>
      </c>
      <c r="C3248" s="4">
        <v>1</v>
      </c>
      <c r="D3248" s="21">
        <v>129</v>
      </c>
      <c r="F3248" s="57">
        <f t="shared" si="211"/>
        <v>0</v>
      </c>
    </row>
    <row r="3249" spans="1:6" x14ac:dyDescent="0.25">
      <c r="A3249" s="5" t="s">
        <v>32</v>
      </c>
      <c r="B3249" s="19">
        <v>44028</v>
      </c>
      <c r="C3249" s="4">
        <v>10</v>
      </c>
      <c r="D3249" s="21">
        <v>575</v>
      </c>
      <c r="F3249" s="57">
        <f t="shared" si="211"/>
        <v>4</v>
      </c>
    </row>
    <row r="3250" spans="1:6" x14ac:dyDescent="0.25">
      <c r="A3250" s="5" t="s">
        <v>42</v>
      </c>
      <c r="B3250" s="19">
        <v>44028</v>
      </c>
      <c r="C3250" s="4">
        <v>0</v>
      </c>
      <c r="D3250" s="21">
        <v>78</v>
      </c>
      <c r="F3250" s="57">
        <f>E3250+F3226</f>
        <v>0</v>
      </c>
    </row>
    <row r="3251" spans="1:6" x14ac:dyDescent="0.25">
      <c r="A3251" s="5" t="s">
        <v>33</v>
      </c>
      <c r="B3251" s="19">
        <v>44028</v>
      </c>
      <c r="C3251" s="4">
        <v>22</v>
      </c>
      <c r="D3251" s="21">
        <v>554</v>
      </c>
      <c r="F3251" s="57">
        <f t="shared" ref="F3251:F3261" si="212">E3251+F3226</f>
        <v>0</v>
      </c>
    </row>
    <row r="3252" spans="1:6" x14ac:dyDescent="0.25">
      <c r="A3252" s="5" t="s">
        <v>34</v>
      </c>
      <c r="B3252" s="19">
        <v>44028</v>
      </c>
      <c r="C3252" s="4">
        <v>0</v>
      </c>
      <c r="D3252" s="21">
        <v>8</v>
      </c>
      <c r="F3252" s="57">
        <f t="shared" si="212"/>
        <v>0</v>
      </c>
    </row>
    <row r="3253" spans="1:6" x14ac:dyDescent="0.25">
      <c r="A3253" s="5" t="s">
        <v>22</v>
      </c>
      <c r="B3253" s="19">
        <v>44028</v>
      </c>
      <c r="C3253" s="4">
        <v>4</v>
      </c>
      <c r="D3253" s="21">
        <v>161</v>
      </c>
      <c r="E3253" s="4">
        <v>2</v>
      </c>
      <c r="F3253" s="57">
        <f t="shared" si="212"/>
        <v>2</v>
      </c>
    </row>
    <row r="3254" spans="1:6" x14ac:dyDescent="0.25">
      <c r="A3254" s="5" t="s">
        <v>18</v>
      </c>
      <c r="B3254" s="19">
        <v>44028</v>
      </c>
      <c r="C3254" s="4">
        <v>22</v>
      </c>
      <c r="D3254" s="21">
        <v>382</v>
      </c>
      <c r="E3254" s="4">
        <v>1</v>
      </c>
      <c r="F3254" s="57">
        <f t="shared" si="212"/>
        <v>1</v>
      </c>
    </row>
    <row r="3255" spans="1:6" x14ac:dyDescent="0.25">
      <c r="A3255" s="5" t="s">
        <v>24</v>
      </c>
      <c r="B3255" s="19">
        <v>44028</v>
      </c>
      <c r="C3255" s="4">
        <v>0</v>
      </c>
      <c r="D3255" s="21">
        <v>49</v>
      </c>
      <c r="F3255" s="57">
        <f t="shared" si="212"/>
        <v>0</v>
      </c>
    </row>
    <row r="3256" spans="1:6" x14ac:dyDescent="0.25">
      <c r="A3256" s="5" t="s">
        <v>20</v>
      </c>
      <c r="B3256" s="19">
        <v>44028</v>
      </c>
      <c r="C3256" s="4">
        <v>15</v>
      </c>
      <c r="D3256" s="21">
        <v>802</v>
      </c>
      <c r="F3256" s="57">
        <f t="shared" si="212"/>
        <v>0</v>
      </c>
    </row>
    <row r="3257" spans="1:6" x14ac:dyDescent="0.25">
      <c r="A3257" s="5" t="s">
        <v>19</v>
      </c>
      <c r="B3257" s="19">
        <v>44028</v>
      </c>
      <c r="C3257" s="4">
        <v>21</v>
      </c>
      <c r="D3257" s="21">
        <v>1215</v>
      </c>
      <c r="F3257" s="57">
        <f t="shared" si="212"/>
        <v>1</v>
      </c>
    </row>
    <row r="3258" spans="1:6" x14ac:dyDescent="0.25">
      <c r="A3258" s="5" t="s">
        <v>35</v>
      </c>
      <c r="B3258" s="19">
        <v>44028</v>
      </c>
      <c r="C3258" s="4">
        <v>17</v>
      </c>
      <c r="D3258" s="21">
        <v>145</v>
      </c>
      <c r="F3258" s="57">
        <f t="shared" si="212"/>
        <v>5</v>
      </c>
    </row>
    <row r="3259" spans="1:6" x14ac:dyDescent="0.25">
      <c r="A3259" s="5" t="s">
        <v>36</v>
      </c>
      <c r="B3259" s="19">
        <v>44028</v>
      </c>
      <c r="C3259" s="4">
        <v>0</v>
      </c>
      <c r="D3259" s="21">
        <v>14</v>
      </c>
      <c r="F3259" s="57">
        <f>E3259+F3235</f>
        <v>0</v>
      </c>
    </row>
    <row r="3260" spans="1:6" x14ac:dyDescent="0.25">
      <c r="A3260" s="5" t="s">
        <v>37</v>
      </c>
      <c r="B3260" s="19">
        <v>44028</v>
      </c>
      <c r="C3260" s="4">
        <v>0</v>
      </c>
      <c r="D3260" s="21">
        <v>13</v>
      </c>
      <c r="F3260" s="57">
        <f t="shared" si="212"/>
        <v>0</v>
      </c>
    </row>
    <row r="3261" spans="1:6" x14ac:dyDescent="0.25">
      <c r="A3261" s="5" t="s">
        <v>38</v>
      </c>
      <c r="B3261" s="19">
        <v>44028</v>
      </c>
      <c r="C3261" s="4">
        <v>13</v>
      </c>
      <c r="D3261" s="21">
        <v>83</v>
      </c>
      <c r="F3261" s="57">
        <f t="shared" si="212"/>
        <v>0</v>
      </c>
    </row>
    <row r="3262" spans="1:6" x14ac:dyDescent="0.25">
      <c r="A3262" s="5" t="s">
        <v>23</v>
      </c>
      <c r="B3262" s="19">
        <v>44028</v>
      </c>
      <c r="C3262" s="4">
        <v>15</v>
      </c>
      <c r="D3262" s="21">
        <v>606</v>
      </c>
      <c r="F3262" s="57">
        <f>E3262+F3238</f>
        <v>8</v>
      </c>
    </row>
    <row r="3263" spans="1:6" x14ac:dyDescent="0.25">
      <c r="A3263" s="5" t="s">
        <v>39</v>
      </c>
      <c r="B3263" s="19">
        <v>44028</v>
      </c>
      <c r="C3263" s="4">
        <v>0</v>
      </c>
      <c r="D3263" s="21">
        <v>37</v>
      </c>
      <c r="F3263" s="57">
        <f>E3263+F3239</f>
        <v>0</v>
      </c>
    </row>
    <row r="3264" spans="1:6" x14ac:dyDescent="0.25">
      <c r="A3264" s="5" t="s">
        <v>40</v>
      </c>
      <c r="B3264" s="19">
        <v>44028</v>
      </c>
      <c r="C3264" s="4">
        <v>1</v>
      </c>
      <c r="D3264" s="21">
        <v>209</v>
      </c>
      <c r="F3264" s="57">
        <f>E3264+F3240</f>
        <v>1</v>
      </c>
    </row>
    <row r="3265" spans="1:6" x14ac:dyDescent="0.25">
      <c r="A3265" s="5" t="s">
        <v>41</v>
      </c>
      <c r="B3265" s="19">
        <v>44028</v>
      </c>
      <c r="C3265" s="4">
        <v>1</v>
      </c>
      <c r="D3265" s="21">
        <v>96</v>
      </c>
      <c r="F3265" s="57">
        <f>E3265+F3241</f>
        <v>4</v>
      </c>
    </row>
    <row r="3266" spans="1:6" x14ac:dyDescent="0.25">
      <c r="A3266" s="42" t="s">
        <v>17</v>
      </c>
      <c r="B3266" s="19">
        <v>44029</v>
      </c>
      <c r="C3266" s="4">
        <v>3002</v>
      </c>
      <c r="D3266" s="21">
        <v>66204</v>
      </c>
      <c r="E3266" s="4">
        <v>28</v>
      </c>
      <c r="F3266" s="57">
        <f>E3266+F3242</f>
        <v>1077</v>
      </c>
    </row>
    <row r="3267" spans="1:6" x14ac:dyDescent="0.25">
      <c r="A3267" s="5" t="s">
        <v>29</v>
      </c>
      <c r="B3267" s="19">
        <v>44029</v>
      </c>
      <c r="C3267" s="4">
        <v>14</v>
      </c>
      <c r="D3267" s="21">
        <v>55</v>
      </c>
      <c r="F3267" s="57">
        <f t="shared" ref="F3267:F3273" si="213">E3267+F3243</f>
        <v>0</v>
      </c>
    </row>
    <row r="3268" spans="1:6" x14ac:dyDescent="0.25">
      <c r="A3268" s="5" t="s">
        <v>16</v>
      </c>
      <c r="B3268" s="19">
        <v>44029</v>
      </c>
      <c r="C3268" s="4">
        <v>65</v>
      </c>
      <c r="D3268" s="21">
        <v>2858</v>
      </c>
      <c r="F3268" s="57">
        <f t="shared" si="213"/>
        <v>117</v>
      </c>
    </row>
    <row r="3269" spans="1:6" x14ac:dyDescent="0.25">
      <c r="A3269" s="5" t="s">
        <v>30</v>
      </c>
      <c r="B3269" s="19">
        <v>44029</v>
      </c>
      <c r="C3269" s="4">
        <v>9</v>
      </c>
      <c r="D3269" s="21">
        <v>227</v>
      </c>
      <c r="F3269" s="57">
        <f t="shared" si="213"/>
        <v>3</v>
      </c>
    </row>
    <row r="3270" spans="1:6" x14ac:dyDescent="0.25">
      <c r="A3270" s="5" t="s">
        <v>44</v>
      </c>
      <c r="B3270" s="19">
        <v>44029</v>
      </c>
      <c r="C3270" s="4">
        <v>1081</v>
      </c>
      <c r="D3270" s="21">
        <v>43379</v>
      </c>
      <c r="E3270" s="4">
        <v>28</v>
      </c>
      <c r="F3270" s="57">
        <f t="shared" si="213"/>
        <v>810</v>
      </c>
    </row>
    <row r="3271" spans="1:6" x14ac:dyDescent="0.25">
      <c r="A3271" s="5" t="s">
        <v>21</v>
      </c>
      <c r="B3271" s="19">
        <v>44029</v>
      </c>
      <c r="C3271" s="4">
        <v>49</v>
      </c>
      <c r="D3271" s="21">
        <v>1112</v>
      </c>
      <c r="E3271" s="4">
        <v>1</v>
      </c>
      <c r="F3271" s="57">
        <f t="shared" si="213"/>
        <v>35</v>
      </c>
    </row>
    <row r="3272" spans="1:6" x14ac:dyDescent="0.25">
      <c r="A3272" s="5" t="s">
        <v>31</v>
      </c>
      <c r="B3272" s="19">
        <v>44029</v>
      </c>
      <c r="C3272" s="4">
        <v>0</v>
      </c>
      <c r="D3272" s="21">
        <v>129</v>
      </c>
      <c r="F3272" s="57">
        <f t="shared" si="213"/>
        <v>0</v>
      </c>
    </row>
    <row r="3273" spans="1:6" x14ac:dyDescent="0.25">
      <c r="A3273" s="5" t="s">
        <v>32</v>
      </c>
      <c r="B3273" s="19">
        <v>44029</v>
      </c>
      <c r="C3273" s="4">
        <v>24</v>
      </c>
      <c r="D3273" s="21">
        <v>599</v>
      </c>
      <c r="E3273" s="4">
        <v>1</v>
      </c>
      <c r="F3273" s="57">
        <f t="shared" si="213"/>
        <v>5</v>
      </c>
    </row>
    <row r="3274" spans="1:6" x14ac:dyDescent="0.25">
      <c r="A3274" s="5" t="s">
        <v>42</v>
      </c>
      <c r="B3274" s="19">
        <v>44029</v>
      </c>
      <c r="C3274" s="4">
        <v>0</v>
      </c>
      <c r="D3274" s="21">
        <v>78</v>
      </c>
      <c r="F3274" s="57">
        <f>E3274+F3250</f>
        <v>0</v>
      </c>
    </row>
    <row r="3275" spans="1:6" x14ac:dyDescent="0.25">
      <c r="A3275" s="5" t="s">
        <v>33</v>
      </c>
      <c r="B3275" s="19">
        <v>44029</v>
      </c>
      <c r="C3275" s="4">
        <v>107</v>
      </c>
      <c r="D3275" s="21">
        <v>661</v>
      </c>
      <c r="F3275" s="57">
        <f t="shared" ref="F3275:F3285" si="214">E3275+F3250</f>
        <v>0</v>
      </c>
    </row>
    <row r="3276" spans="1:6" x14ac:dyDescent="0.25">
      <c r="A3276" s="5" t="s">
        <v>34</v>
      </c>
      <c r="B3276" s="19">
        <v>44029</v>
      </c>
      <c r="C3276" s="4">
        <v>0</v>
      </c>
      <c r="D3276" s="21">
        <v>8</v>
      </c>
      <c r="F3276" s="57">
        <f t="shared" si="214"/>
        <v>0</v>
      </c>
    </row>
    <row r="3277" spans="1:6" x14ac:dyDescent="0.25">
      <c r="A3277" s="5" t="s">
        <v>22</v>
      </c>
      <c r="B3277" s="19">
        <v>44029</v>
      </c>
      <c r="C3277" s="4">
        <v>2</v>
      </c>
      <c r="D3277" s="21">
        <v>163</v>
      </c>
      <c r="E3277" s="4">
        <v>2</v>
      </c>
      <c r="F3277" s="57">
        <f t="shared" si="214"/>
        <v>2</v>
      </c>
    </row>
    <row r="3278" spans="1:6" x14ac:dyDescent="0.25">
      <c r="A3278" s="5" t="s">
        <v>18</v>
      </c>
      <c r="B3278" s="19">
        <v>44029</v>
      </c>
      <c r="C3278" s="4">
        <v>21</v>
      </c>
      <c r="D3278" s="21">
        <v>403</v>
      </c>
      <c r="E3278" s="4">
        <v>3</v>
      </c>
      <c r="F3278" s="57">
        <f t="shared" si="214"/>
        <v>5</v>
      </c>
    </row>
    <row r="3279" spans="1:6" x14ac:dyDescent="0.25">
      <c r="A3279" s="5" t="s">
        <v>24</v>
      </c>
      <c r="B3279" s="19">
        <v>44029</v>
      </c>
      <c r="C3279" s="4">
        <v>0</v>
      </c>
      <c r="D3279" s="21">
        <v>49</v>
      </c>
      <c r="F3279" s="57">
        <f t="shared" si="214"/>
        <v>1</v>
      </c>
    </row>
    <row r="3280" spans="1:6" x14ac:dyDescent="0.25">
      <c r="A3280" s="5" t="s">
        <v>20</v>
      </c>
      <c r="B3280" s="19">
        <v>44029</v>
      </c>
      <c r="C3280" s="4">
        <v>29</v>
      </c>
      <c r="D3280" s="21">
        <v>831</v>
      </c>
      <c r="E3280" s="4">
        <v>2</v>
      </c>
      <c r="F3280" s="57">
        <f t="shared" si="214"/>
        <v>2</v>
      </c>
    </row>
    <row r="3281" spans="1:6" x14ac:dyDescent="0.25">
      <c r="A3281" s="5" t="s">
        <v>19</v>
      </c>
      <c r="B3281" s="19">
        <v>44029</v>
      </c>
      <c r="C3281" s="4">
        <v>57</v>
      </c>
      <c r="D3281" s="21">
        <v>1272</v>
      </c>
      <c r="E3281" s="4">
        <v>1</v>
      </c>
      <c r="F3281" s="57">
        <f t="shared" si="214"/>
        <v>1</v>
      </c>
    </row>
    <row r="3282" spans="1:6" x14ac:dyDescent="0.25">
      <c r="A3282" s="5" t="s">
        <v>35</v>
      </c>
      <c r="B3282" s="19">
        <v>44029</v>
      </c>
      <c r="C3282" s="4">
        <v>0</v>
      </c>
      <c r="D3282" s="21">
        <v>145</v>
      </c>
      <c r="F3282" s="57">
        <f t="shared" si="214"/>
        <v>1</v>
      </c>
    </row>
    <row r="3283" spans="1:6" x14ac:dyDescent="0.25">
      <c r="A3283" s="5" t="s">
        <v>36</v>
      </c>
      <c r="B3283" s="19">
        <v>44029</v>
      </c>
      <c r="C3283" s="4">
        <v>0</v>
      </c>
      <c r="D3283" s="21">
        <v>14</v>
      </c>
      <c r="F3283" s="57">
        <f>E3283+F3259</f>
        <v>0</v>
      </c>
    </row>
    <row r="3284" spans="1:6" x14ac:dyDescent="0.25">
      <c r="A3284" s="5" t="s">
        <v>37</v>
      </c>
      <c r="B3284" s="19">
        <v>44029</v>
      </c>
      <c r="C3284" s="4">
        <v>1</v>
      </c>
      <c r="D3284" s="21">
        <v>14</v>
      </c>
      <c r="F3284" s="57">
        <f t="shared" si="214"/>
        <v>0</v>
      </c>
    </row>
    <row r="3285" spans="1:6" x14ac:dyDescent="0.25">
      <c r="A3285" s="5" t="s">
        <v>38</v>
      </c>
      <c r="B3285" s="19">
        <v>44029</v>
      </c>
      <c r="C3285" s="4">
        <v>20</v>
      </c>
      <c r="D3285" s="21">
        <v>103</v>
      </c>
      <c r="F3285" s="57">
        <f t="shared" si="214"/>
        <v>0</v>
      </c>
    </row>
    <row r="3286" spans="1:6" x14ac:dyDescent="0.25">
      <c r="A3286" s="5" t="s">
        <v>23</v>
      </c>
      <c r="B3286" s="19">
        <v>44029</v>
      </c>
      <c r="C3286" s="4">
        <v>26</v>
      </c>
      <c r="D3286" s="21">
        <v>632</v>
      </c>
      <c r="F3286" s="57">
        <f>E3286+F3262</f>
        <v>8</v>
      </c>
    </row>
    <row r="3287" spans="1:6" x14ac:dyDescent="0.25">
      <c r="A3287" s="5" t="s">
        <v>39</v>
      </c>
      <c r="B3287" s="19">
        <v>44029</v>
      </c>
      <c r="C3287" s="4">
        <v>0</v>
      </c>
      <c r="D3287" s="21">
        <v>37</v>
      </c>
      <c r="F3287" s="57">
        <f>E3287+F3263</f>
        <v>0</v>
      </c>
    </row>
    <row r="3288" spans="1:6" x14ac:dyDescent="0.25">
      <c r="A3288" s="5" t="s">
        <v>40</v>
      </c>
      <c r="B3288" s="19">
        <v>44029</v>
      </c>
      <c r="C3288" s="4">
        <v>4</v>
      </c>
      <c r="D3288" s="21">
        <v>213</v>
      </c>
      <c r="F3288" s="57">
        <f>E3288+F3264</f>
        <v>1</v>
      </c>
    </row>
    <row r="3289" spans="1:6" x14ac:dyDescent="0.25">
      <c r="A3289" s="5" t="s">
        <v>41</v>
      </c>
      <c r="B3289" s="19">
        <v>44029</v>
      </c>
      <c r="C3289" s="4">
        <v>7</v>
      </c>
      <c r="D3289" s="21">
        <v>103</v>
      </c>
      <c r="F3289" s="57">
        <f>E3289+F3265</f>
        <v>4</v>
      </c>
    </row>
    <row r="3290" spans="1:6" x14ac:dyDescent="0.25">
      <c r="A3290" s="42" t="s">
        <v>17</v>
      </c>
      <c r="B3290" s="19">
        <v>44030</v>
      </c>
      <c r="C3290" s="4">
        <v>1817</v>
      </c>
      <c r="D3290" s="21">
        <v>68021</v>
      </c>
      <c r="E3290" s="4">
        <v>21</v>
      </c>
      <c r="F3290" s="57">
        <f>E3290+F3266</f>
        <v>1098</v>
      </c>
    </row>
    <row r="3291" spans="1:6" x14ac:dyDescent="0.25">
      <c r="A3291" s="5" t="s">
        <v>29</v>
      </c>
      <c r="B3291" s="19">
        <v>44030</v>
      </c>
      <c r="C3291" s="4">
        <v>0</v>
      </c>
      <c r="D3291" s="21">
        <v>55</v>
      </c>
      <c r="F3291" s="57">
        <f t="shared" ref="F3291:F3297" si="215">E3291+F3267</f>
        <v>0</v>
      </c>
    </row>
    <row r="3292" spans="1:6" x14ac:dyDescent="0.25">
      <c r="A3292" s="5" t="s">
        <v>16</v>
      </c>
      <c r="B3292" s="19">
        <v>44030</v>
      </c>
      <c r="C3292" s="4">
        <v>60</v>
      </c>
      <c r="D3292" s="21">
        <v>2918</v>
      </c>
      <c r="E3292" s="4">
        <v>3</v>
      </c>
      <c r="F3292" s="57">
        <f t="shared" si="215"/>
        <v>120</v>
      </c>
    </row>
    <row r="3293" spans="1:6" x14ac:dyDescent="0.25">
      <c r="A3293" s="5" t="s">
        <v>30</v>
      </c>
      <c r="B3293" s="19">
        <v>44030</v>
      </c>
      <c r="C3293" s="4">
        <v>8</v>
      </c>
      <c r="D3293" s="21">
        <v>235</v>
      </c>
      <c r="F3293" s="57">
        <f t="shared" si="215"/>
        <v>3</v>
      </c>
    </row>
    <row r="3294" spans="1:6" x14ac:dyDescent="0.25">
      <c r="A3294" s="5" t="s">
        <v>44</v>
      </c>
      <c r="B3294" s="19">
        <v>44030</v>
      </c>
      <c r="C3294" s="4">
        <v>1106</v>
      </c>
      <c r="D3294" s="21">
        <v>44485</v>
      </c>
      <c r="E3294" s="4">
        <v>16</v>
      </c>
      <c r="F3294" s="57">
        <f t="shared" si="215"/>
        <v>826</v>
      </c>
    </row>
    <row r="3295" spans="1:6" x14ac:dyDescent="0.25">
      <c r="A3295" s="5" t="s">
        <v>21</v>
      </c>
      <c r="B3295" s="19">
        <v>44030</v>
      </c>
      <c r="C3295" s="4">
        <v>104</v>
      </c>
      <c r="D3295" s="21">
        <v>1216</v>
      </c>
      <c r="F3295" s="57">
        <f t="shared" si="215"/>
        <v>35</v>
      </c>
    </row>
    <row r="3296" spans="1:6" x14ac:dyDescent="0.25">
      <c r="A3296" s="5" t="s">
        <v>31</v>
      </c>
      <c r="B3296" s="19">
        <v>44030</v>
      </c>
      <c r="C3296" s="4">
        <v>1</v>
      </c>
      <c r="D3296" s="21">
        <v>130</v>
      </c>
      <c r="F3296" s="57">
        <f t="shared" si="215"/>
        <v>0</v>
      </c>
    </row>
    <row r="3297" spans="1:6" x14ac:dyDescent="0.25">
      <c r="A3297" s="5" t="s">
        <v>32</v>
      </c>
      <c r="B3297" s="19">
        <v>44030</v>
      </c>
      <c r="C3297" s="4">
        <v>15</v>
      </c>
      <c r="D3297" s="21">
        <v>614</v>
      </c>
      <c r="F3297" s="57">
        <f t="shared" si="215"/>
        <v>5</v>
      </c>
    </row>
    <row r="3298" spans="1:6" x14ac:dyDescent="0.25">
      <c r="A3298" s="5" t="s">
        <v>42</v>
      </c>
      <c r="B3298" s="19">
        <v>44030</v>
      </c>
      <c r="C3298" s="4">
        <v>0</v>
      </c>
      <c r="D3298" s="21">
        <v>78</v>
      </c>
      <c r="F3298" s="57">
        <f>E3298+F3274</f>
        <v>0</v>
      </c>
    </row>
    <row r="3299" spans="1:6" x14ac:dyDescent="0.25">
      <c r="A3299" s="5" t="s">
        <v>33</v>
      </c>
      <c r="B3299" s="19">
        <v>44030</v>
      </c>
      <c r="C3299" s="4">
        <v>7</v>
      </c>
      <c r="D3299" s="21">
        <v>668</v>
      </c>
      <c r="F3299" s="57">
        <f t="shared" ref="F3299:F3309" si="216">E3299+F3274</f>
        <v>0</v>
      </c>
    </row>
    <row r="3300" spans="1:6" x14ac:dyDescent="0.25">
      <c r="A3300" s="5" t="s">
        <v>34</v>
      </c>
      <c r="B3300" s="19">
        <v>44030</v>
      </c>
      <c r="C3300" s="4">
        <v>0</v>
      </c>
      <c r="D3300" s="21">
        <v>8</v>
      </c>
      <c r="F3300" s="57">
        <f t="shared" si="216"/>
        <v>0</v>
      </c>
    </row>
    <row r="3301" spans="1:6" x14ac:dyDescent="0.25">
      <c r="A3301" s="5" t="s">
        <v>22</v>
      </c>
      <c r="B3301" s="19">
        <v>44030</v>
      </c>
      <c r="C3301" s="4">
        <v>17</v>
      </c>
      <c r="D3301" s="21">
        <v>180</v>
      </c>
      <c r="F3301" s="57">
        <f t="shared" si="216"/>
        <v>0</v>
      </c>
    </row>
    <row r="3302" spans="1:6" x14ac:dyDescent="0.25">
      <c r="A3302" s="5" t="s">
        <v>18</v>
      </c>
      <c r="B3302" s="19">
        <v>44030</v>
      </c>
      <c r="C3302" s="4">
        <v>44</v>
      </c>
      <c r="D3302" s="21">
        <v>447</v>
      </c>
      <c r="F3302" s="57">
        <f t="shared" si="216"/>
        <v>2</v>
      </c>
    </row>
    <row r="3303" spans="1:6" x14ac:dyDescent="0.25">
      <c r="A3303" s="5" t="s">
        <v>24</v>
      </c>
      <c r="B3303" s="19">
        <v>44030</v>
      </c>
      <c r="C3303" s="4">
        <v>0</v>
      </c>
      <c r="D3303" s="21">
        <v>49</v>
      </c>
      <c r="F3303" s="57">
        <f t="shared" si="216"/>
        <v>5</v>
      </c>
    </row>
    <row r="3304" spans="1:6" x14ac:dyDescent="0.25">
      <c r="A3304" s="5" t="s">
        <v>20</v>
      </c>
      <c r="B3304" s="19">
        <v>44030</v>
      </c>
      <c r="C3304" s="4">
        <v>16</v>
      </c>
      <c r="D3304" s="21">
        <v>847</v>
      </c>
      <c r="F3304" s="57">
        <f t="shared" si="216"/>
        <v>1</v>
      </c>
    </row>
    <row r="3305" spans="1:6" x14ac:dyDescent="0.25">
      <c r="A3305" s="5" t="s">
        <v>19</v>
      </c>
      <c r="B3305" s="19">
        <v>44030</v>
      </c>
      <c r="C3305" s="4">
        <v>25</v>
      </c>
      <c r="D3305" s="21">
        <v>1297</v>
      </c>
      <c r="E3305" s="4">
        <v>2</v>
      </c>
      <c r="F3305" s="57">
        <f t="shared" si="216"/>
        <v>4</v>
      </c>
    </row>
    <row r="3306" spans="1:6" x14ac:dyDescent="0.25">
      <c r="A3306" s="5" t="s">
        <v>35</v>
      </c>
      <c r="B3306" s="19">
        <v>44030</v>
      </c>
      <c r="C3306" s="4">
        <v>7</v>
      </c>
      <c r="D3306" s="21">
        <v>152</v>
      </c>
      <c r="F3306" s="57">
        <f t="shared" si="216"/>
        <v>1</v>
      </c>
    </row>
    <row r="3307" spans="1:6" x14ac:dyDescent="0.25">
      <c r="A3307" s="5" t="s">
        <v>36</v>
      </c>
      <c r="B3307" s="19">
        <v>44030</v>
      </c>
      <c r="C3307" s="4">
        <v>0</v>
      </c>
      <c r="D3307" s="21">
        <v>14</v>
      </c>
      <c r="F3307" s="57">
        <f>E3307+F3283</f>
        <v>0</v>
      </c>
    </row>
    <row r="3308" spans="1:6" x14ac:dyDescent="0.25">
      <c r="A3308" s="5" t="s">
        <v>37</v>
      </c>
      <c r="B3308" s="19">
        <v>44030</v>
      </c>
      <c r="C3308" s="4">
        <v>0</v>
      </c>
      <c r="D3308" s="21">
        <v>14</v>
      </c>
      <c r="F3308" s="57">
        <f t="shared" si="216"/>
        <v>0</v>
      </c>
    </row>
    <row r="3309" spans="1:6" x14ac:dyDescent="0.25">
      <c r="A3309" s="5" t="s">
        <v>38</v>
      </c>
      <c r="B3309" s="19">
        <v>44030</v>
      </c>
      <c r="C3309" s="4">
        <v>20</v>
      </c>
      <c r="D3309" s="21">
        <v>123</v>
      </c>
      <c r="F3309" s="57">
        <f t="shared" si="216"/>
        <v>0</v>
      </c>
    </row>
    <row r="3310" spans="1:6" x14ac:dyDescent="0.25">
      <c r="A3310" s="5" t="s">
        <v>23</v>
      </c>
      <c r="B3310" s="19">
        <v>44030</v>
      </c>
      <c r="C3310" s="4">
        <v>36</v>
      </c>
      <c r="D3310" s="21">
        <v>668</v>
      </c>
      <c r="F3310" s="57">
        <f>E3310+F3286</f>
        <v>8</v>
      </c>
    </row>
    <row r="3311" spans="1:6" x14ac:dyDescent="0.25">
      <c r="A3311" s="5" t="s">
        <v>39</v>
      </c>
      <c r="B3311" s="19">
        <v>44030</v>
      </c>
      <c r="C3311" s="4">
        <v>0</v>
      </c>
      <c r="D3311" s="21">
        <v>37</v>
      </c>
      <c r="F3311" s="57">
        <f>E3311+F3287</f>
        <v>0</v>
      </c>
    </row>
    <row r="3312" spans="1:6" x14ac:dyDescent="0.25">
      <c r="A3312" s="5" t="s">
        <v>40</v>
      </c>
      <c r="B3312" s="19">
        <v>44030</v>
      </c>
      <c r="C3312" s="4">
        <v>22</v>
      </c>
      <c r="D3312" s="21">
        <v>235</v>
      </c>
      <c r="F3312" s="57">
        <f>E3312+F3288</f>
        <v>1</v>
      </c>
    </row>
    <row r="3313" spans="1:6" x14ac:dyDescent="0.25">
      <c r="A3313" s="5" t="s">
        <v>41</v>
      </c>
      <c r="B3313" s="19">
        <v>44030</v>
      </c>
      <c r="C3313" s="4">
        <v>0</v>
      </c>
      <c r="D3313" s="21">
        <v>103</v>
      </c>
      <c r="F3313" s="57">
        <f>E3313+F3289</f>
        <v>4</v>
      </c>
    </row>
    <row r="3314" spans="1:6" x14ac:dyDescent="0.25">
      <c r="A3314" s="42" t="s">
        <v>17</v>
      </c>
      <c r="B3314" s="19">
        <v>44031</v>
      </c>
      <c r="C3314" s="4">
        <v>2761</v>
      </c>
      <c r="D3314" s="21">
        <v>70782</v>
      </c>
      <c r="E3314" s="4">
        <v>21</v>
      </c>
      <c r="F3314" s="57">
        <f>E3314+F3290</f>
        <v>1119</v>
      </c>
    </row>
    <row r="3315" spans="1:6" x14ac:dyDescent="0.25">
      <c r="A3315" s="5" t="s">
        <v>29</v>
      </c>
      <c r="B3315" s="19">
        <v>44031</v>
      </c>
      <c r="C3315" s="4">
        <v>3</v>
      </c>
      <c r="D3315" s="21">
        <v>58</v>
      </c>
      <c r="F3315" s="57">
        <f t="shared" ref="F3315:F3321" si="217">E3315+F3291</f>
        <v>0</v>
      </c>
    </row>
    <row r="3316" spans="1:6" x14ac:dyDescent="0.25">
      <c r="A3316" s="5" t="s">
        <v>16</v>
      </c>
      <c r="B3316" s="19">
        <v>44031</v>
      </c>
      <c r="C3316" s="4">
        <v>48</v>
      </c>
      <c r="D3316" s="21">
        <v>2966</v>
      </c>
      <c r="E3316" s="4">
        <v>1</v>
      </c>
      <c r="F3316" s="57">
        <f t="shared" si="217"/>
        <v>121</v>
      </c>
    </row>
    <row r="3317" spans="1:6" x14ac:dyDescent="0.25">
      <c r="A3317" s="5" t="s">
        <v>30</v>
      </c>
      <c r="B3317" s="19">
        <v>44031</v>
      </c>
      <c r="C3317" s="4">
        <v>3</v>
      </c>
      <c r="D3317" s="21">
        <v>238</v>
      </c>
      <c r="F3317" s="57">
        <f t="shared" si="217"/>
        <v>3</v>
      </c>
    </row>
    <row r="3318" spans="1:6" x14ac:dyDescent="0.25">
      <c r="A3318" s="5" t="s">
        <v>44</v>
      </c>
      <c r="B3318" s="19">
        <v>44031</v>
      </c>
      <c r="C3318" s="4">
        <v>1116</v>
      </c>
      <c r="D3318" s="21">
        <v>45601</v>
      </c>
      <c r="E3318" s="4">
        <v>14</v>
      </c>
      <c r="F3318" s="57">
        <f t="shared" si="217"/>
        <v>840</v>
      </c>
    </row>
    <row r="3319" spans="1:6" x14ac:dyDescent="0.25">
      <c r="A3319" s="5" t="s">
        <v>21</v>
      </c>
      <c r="B3319" s="19">
        <v>44031</v>
      </c>
      <c r="C3319" s="4">
        <v>67</v>
      </c>
      <c r="D3319" s="21">
        <v>1283</v>
      </c>
      <c r="E3319" s="4">
        <v>1</v>
      </c>
      <c r="F3319" s="57">
        <f t="shared" si="217"/>
        <v>36</v>
      </c>
    </row>
    <row r="3320" spans="1:6" x14ac:dyDescent="0.25">
      <c r="A3320" s="5" t="s">
        <v>31</v>
      </c>
      <c r="B3320" s="19">
        <v>44031</v>
      </c>
      <c r="C3320" s="4">
        <v>0</v>
      </c>
      <c r="D3320" s="21">
        <v>130</v>
      </c>
      <c r="E3320" s="4">
        <v>1</v>
      </c>
      <c r="F3320" s="57">
        <f t="shared" si="217"/>
        <v>1</v>
      </c>
    </row>
    <row r="3321" spans="1:6" x14ac:dyDescent="0.25">
      <c r="A3321" s="5" t="s">
        <v>32</v>
      </c>
      <c r="B3321" s="19">
        <v>44031</v>
      </c>
      <c r="C3321" s="4">
        <v>16</v>
      </c>
      <c r="D3321" s="21">
        <v>630</v>
      </c>
      <c r="F3321" s="57">
        <f t="shared" si="217"/>
        <v>5</v>
      </c>
    </row>
    <row r="3322" spans="1:6" x14ac:dyDescent="0.25">
      <c r="A3322" s="5" t="s">
        <v>42</v>
      </c>
      <c r="B3322" s="19">
        <v>44031</v>
      </c>
      <c r="C3322" s="4">
        <v>0</v>
      </c>
      <c r="D3322" s="21">
        <v>78</v>
      </c>
      <c r="F3322" s="57">
        <f>E3322+F3298</f>
        <v>0</v>
      </c>
    </row>
    <row r="3323" spans="1:6" x14ac:dyDescent="0.25">
      <c r="A3323" s="5" t="s">
        <v>33</v>
      </c>
      <c r="B3323" s="19">
        <v>44031</v>
      </c>
      <c r="C3323" s="4">
        <v>6</v>
      </c>
      <c r="D3323" s="21">
        <v>674</v>
      </c>
      <c r="F3323" s="57">
        <f t="shared" ref="F3323:F3333" si="218">E3323+F3298</f>
        <v>0</v>
      </c>
    </row>
    <row r="3324" spans="1:6" x14ac:dyDescent="0.25">
      <c r="A3324" s="5" t="s">
        <v>34</v>
      </c>
      <c r="B3324" s="19">
        <v>44031</v>
      </c>
      <c r="C3324" s="4">
        <v>0</v>
      </c>
      <c r="D3324" s="21">
        <v>8</v>
      </c>
      <c r="F3324" s="57">
        <f t="shared" si="218"/>
        <v>0</v>
      </c>
    </row>
    <row r="3325" spans="1:6" x14ac:dyDescent="0.25">
      <c r="A3325" s="5" t="s">
        <v>22</v>
      </c>
      <c r="B3325" s="19">
        <v>44031</v>
      </c>
      <c r="C3325" s="4">
        <v>4</v>
      </c>
      <c r="D3325" s="21">
        <v>184</v>
      </c>
      <c r="F3325" s="57">
        <f t="shared" si="218"/>
        <v>0</v>
      </c>
    </row>
    <row r="3326" spans="1:6" x14ac:dyDescent="0.25">
      <c r="A3326" s="5" t="s">
        <v>18</v>
      </c>
      <c r="B3326" s="19">
        <v>44031</v>
      </c>
      <c r="C3326" s="4">
        <v>41</v>
      </c>
      <c r="D3326" s="21">
        <v>488</v>
      </c>
      <c r="E3326" s="4">
        <v>1</v>
      </c>
      <c r="F3326" s="57">
        <f t="shared" si="218"/>
        <v>1</v>
      </c>
    </row>
    <row r="3327" spans="1:6" x14ac:dyDescent="0.25">
      <c r="A3327" s="5" t="s">
        <v>24</v>
      </c>
      <c r="B3327" s="19">
        <v>44031</v>
      </c>
      <c r="C3327" s="4">
        <v>0</v>
      </c>
      <c r="D3327" s="21">
        <v>49</v>
      </c>
      <c r="F3327" s="57">
        <f t="shared" si="218"/>
        <v>2</v>
      </c>
    </row>
    <row r="3328" spans="1:6" x14ac:dyDescent="0.25">
      <c r="A3328" s="5" t="s">
        <v>20</v>
      </c>
      <c r="B3328" s="19">
        <v>44031</v>
      </c>
      <c r="C3328" s="4">
        <v>33</v>
      </c>
      <c r="D3328" s="21">
        <v>880</v>
      </c>
      <c r="F3328" s="57">
        <f t="shared" si="218"/>
        <v>5</v>
      </c>
    </row>
    <row r="3329" spans="1:6" x14ac:dyDescent="0.25">
      <c r="A3329" s="5" t="s">
        <v>19</v>
      </c>
      <c r="B3329" s="19">
        <v>44031</v>
      </c>
      <c r="C3329" s="4">
        <v>23</v>
      </c>
      <c r="D3329" s="21">
        <v>1320</v>
      </c>
      <c r="F3329" s="57">
        <f t="shared" si="218"/>
        <v>1</v>
      </c>
    </row>
    <row r="3330" spans="1:6" x14ac:dyDescent="0.25">
      <c r="A3330" s="5" t="s">
        <v>35</v>
      </c>
      <c r="B3330" s="19">
        <v>44031</v>
      </c>
      <c r="C3330" s="4">
        <v>23</v>
      </c>
      <c r="D3330" s="21">
        <v>175</v>
      </c>
      <c r="F3330" s="57">
        <f t="shared" si="218"/>
        <v>4</v>
      </c>
    </row>
    <row r="3331" spans="1:6" x14ac:dyDescent="0.25">
      <c r="A3331" s="5" t="s">
        <v>36</v>
      </c>
      <c r="B3331" s="19">
        <v>44031</v>
      </c>
      <c r="C3331" s="4">
        <v>0</v>
      </c>
      <c r="D3331" s="21">
        <v>14</v>
      </c>
      <c r="F3331" s="57">
        <f>E3331+F3307</f>
        <v>0</v>
      </c>
    </row>
    <row r="3332" spans="1:6" x14ac:dyDescent="0.25">
      <c r="A3332" s="5" t="s">
        <v>37</v>
      </c>
      <c r="B3332" s="19">
        <v>44031</v>
      </c>
      <c r="C3332" s="4">
        <v>0</v>
      </c>
      <c r="D3332" s="21">
        <v>14</v>
      </c>
      <c r="F3332" s="57">
        <f t="shared" si="218"/>
        <v>0</v>
      </c>
    </row>
    <row r="3333" spans="1:6" x14ac:dyDescent="0.25">
      <c r="A3333" s="5" t="s">
        <v>38</v>
      </c>
      <c r="B3333" s="19">
        <v>44031</v>
      </c>
      <c r="C3333" s="4">
        <v>59</v>
      </c>
      <c r="D3333" s="21">
        <v>182</v>
      </c>
      <c r="F3333" s="57">
        <f t="shared" si="218"/>
        <v>0</v>
      </c>
    </row>
    <row r="3334" spans="1:6" x14ac:dyDescent="0.25">
      <c r="A3334" s="5" t="s">
        <v>23</v>
      </c>
      <c r="B3334" s="19">
        <v>44031</v>
      </c>
      <c r="C3334" s="4">
        <v>23</v>
      </c>
      <c r="D3334" s="21">
        <v>691</v>
      </c>
      <c r="E3334" s="4">
        <v>1</v>
      </c>
      <c r="F3334" s="57">
        <f>E3334+F3310</f>
        <v>9</v>
      </c>
    </row>
    <row r="3335" spans="1:6" x14ac:dyDescent="0.25">
      <c r="A3335" s="5" t="s">
        <v>39</v>
      </c>
      <c r="B3335" s="19">
        <v>44031</v>
      </c>
      <c r="C3335" s="4">
        <v>1</v>
      </c>
      <c r="D3335" s="21">
        <v>38</v>
      </c>
      <c r="F3335" s="57">
        <f>E3335+F3311</f>
        <v>0</v>
      </c>
    </row>
    <row r="3336" spans="1:6" x14ac:dyDescent="0.25">
      <c r="A3336" s="5" t="s">
        <v>40</v>
      </c>
      <c r="B3336" s="19">
        <v>44031</v>
      </c>
      <c r="C3336" s="4">
        <v>5</v>
      </c>
      <c r="D3336" s="21">
        <v>240</v>
      </c>
      <c r="F3336" s="57">
        <f>E3336+F3312</f>
        <v>1</v>
      </c>
    </row>
    <row r="3337" spans="1:6" x14ac:dyDescent="0.25">
      <c r="A3337" s="5" t="s">
        <v>41</v>
      </c>
      <c r="B3337" s="19">
        <v>44031</v>
      </c>
      <c r="C3337" s="4">
        <v>0</v>
      </c>
      <c r="D3337" s="21">
        <v>103</v>
      </c>
      <c r="F3337" s="57">
        <f>E3337+F3313</f>
        <v>4</v>
      </c>
    </row>
    <row r="3338" spans="1:6" x14ac:dyDescent="0.25">
      <c r="A3338" s="42" t="s">
        <v>17</v>
      </c>
      <c r="B3338" s="19">
        <v>44032</v>
      </c>
      <c r="C3338" s="4">
        <v>2556</v>
      </c>
      <c r="D3338" s="21">
        <v>73338</v>
      </c>
      <c r="E3338" s="4">
        <v>57</v>
      </c>
      <c r="F3338" s="57">
        <f>E3338+F3314</f>
        <v>1176</v>
      </c>
    </row>
    <row r="3339" spans="1:6" x14ac:dyDescent="0.25">
      <c r="A3339" s="5" t="s">
        <v>29</v>
      </c>
      <c r="B3339" s="19">
        <v>44032</v>
      </c>
      <c r="C3339" s="4">
        <v>0</v>
      </c>
      <c r="D3339" s="21">
        <v>58</v>
      </c>
      <c r="F3339" s="57">
        <f t="shared" ref="F3339:F3345" si="219">E3339+F3315</f>
        <v>0</v>
      </c>
    </row>
    <row r="3340" spans="1:6" x14ac:dyDescent="0.25">
      <c r="A3340" s="5" t="s">
        <v>16</v>
      </c>
      <c r="B3340" s="19">
        <v>44032</v>
      </c>
      <c r="C3340" s="4">
        <v>30</v>
      </c>
      <c r="D3340" s="21">
        <v>2996</v>
      </c>
      <c r="E3340" s="4">
        <v>1</v>
      </c>
      <c r="F3340" s="57">
        <f t="shared" si="219"/>
        <v>122</v>
      </c>
    </row>
    <row r="3341" spans="1:6" x14ac:dyDescent="0.25">
      <c r="A3341" s="5" t="s">
        <v>30</v>
      </c>
      <c r="B3341" s="19">
        <v>44032</v>
      </c>
      <c r="C3341" s="4">
        <v>4</v>
      </c>
      <c r="D3341" s="21">
        <v>242</v>
      </c>
      <c r="F3341" s="57">
        <f t="shared" si="219"/>
        <v>3</v>
      </c>
    </row>
    <row r="3342" spans="1:6" x14ac:dyDescent="0.25">
      <c r="A3342" s="5" t="s">
        <v>44</v>
      </c>
      <c r="B3342" s="19">
        <v>44032</v>
      </c>
      <c r="C3342" s="4">
        <v>1090</v>
      </c>
      <c r="D3342" s="21">
        <v>46691</v>
      </c>
      <c r="E3342" s="4">
        <v>50</v>
      </c>
      <c r="F3342" s="57">
        <f t="shared" si="219"/>
        <v>890</v>
      </c>
    </row>
    <row r="3343" spans="1:6" x14ac:dyDescent="0.25">
      <c r="A3343" s="5" t="s">
        <v>21</v>
      </c>
      <c r="B3343" s="19">
        <v>44032</v>
      </c>
      <c r="C3343" s="4">
        <v>39</v>
      </c>
      <c r="D3343" s="21">
        <v>1322</v>
      </c>
      <c r="F3343" s="57">
        <f t="shared" si="219"/>
        <v>36</v>
      </c>
    </row>
    <row r="3344" spans="1:6" x14ac:dyDescent="0.25">
      <c r="A3344" s="5" t="s">
        <v>31</v>
      </c>
      <c r="B3344" s="19">
        <v>44032</v>
      </c>
      <c r="C3344" s="4">
        <v>0</v>
      </c>
      <c r="D3344" s="21">
        <v>130</v>
      </c>
      <c r="F3344" s="57">
        <f t="shared" si="219"/>
        <v>1</v>
      </c>
    </row>
    <row r="3345" spans="1:6" x14ac:dyDescent="0.25">
      <c r="A3345" s="5" t="s">
        <v>32</v>
      </c>
      <c r="B3345" s="19">
        <v>44032</v>
      </c>
      <c r="C3345" s="4">
        <v>18</v>
      </c>
      <c r="D3345" s="21">
        <v>648</v>
      </c>
      <c r="F3345" s="57">
        <f t="shared" si="219"/>
        <v>5</v>
      </c>
    </row>
    <row r="3346" spans="1:6" x14ac:dyDescent="0.25">
      <c r="A3346" s="5" t="s">
        <v>42</v>
      </c>
      <c r="B3346" s="19">
        <v>44032</v>
      </c>
      <c r="C3346" s="4">
        <v>0</v>
      </c>
      <c r="D3346" s="21">
        <v>78</v>
      </c>
      <c r="F3346" s="57">
        <f>E3346+F3322</f>
        <v>0</v>
      </c>
    </row>
    <row r="3347" spans="1:6" x14ac:dyDescent="0.25">
      <c r="A3347" s="5" t="s">
        <v>33</v>
      </c>
      <c r="B3347" s="19">
        <v>44032</v>
      </c>
      <c r="C3347" s="4">
        <v>84</v>
      </c>
      <c r="D3347" s="21">
        <v>758</v>
      </c>
      <c r="F3347" s="57">
        <f t="shared" ref="F3347:F3357" si="220">E3347+F3322</f>
        <v>0</v>
      </c>
    </row>
    <row r="3348" spans="1:6" x14ac:dyDescent="0.25">
      <c r="A3348" s="5" t="s">
        <v>34</v>
      </c>
      <c r="B3348" s="19">
        <v>44032</v>
      </c>
      <c r="C3348" s="4">
        <v>0</v>
      </c>
      <c r="D3348" s="21">
        <v>8</v>
      </c>
      <c r="F3348" s="57">
        <f t="shared" si="220"/>
        <v>0</v>
      </c>
    </row>
    <row r="3349" spans="1:6" x14ac:dyDescent="0.25">
      <c r="A3349" s="5" t="s">
        <v>22</v>
      </c>
      <c r="B3349" s="19">
        <v>44032</v>
      </c>
      <c r="C3349" s="4">
        <v>0</v>
      </c>
      <c r="D3349" s="21">
        <v>184</v>
      </c>
      <c r="F3349" s="57">
        <f t="shared" si="220"/>
        <v>0</v>
      </c>
    </row>
    <row r="3350" spans="1:6" x14ac:dyDescent="0.25">
      <c r="A3350" s="5" t="s">
        <v>18</v>
      </c>
      <c r="B3350" s="19">
        <v>44032</v>
      </c>
      <c r="C3350" s="4">
        <v>25</v>
      </c>
      <c r="D3350" s="21">
        <v>513</v>
      </c>
      <c r="E3350" s="4">
        <v>1</v>
      </c>
      <c r="F3350" s="57">
        <f t="shared" si="220"/>
        <v>1</v>
      </c>
    </row>
    <row r="3351" spans="1:6" x14ac:dyDescent="0.25">
      <c r="A3351" s="5" t="s">
        <v>24</v>
      </c>
      <c r="B3351" s="19">
        <v>44032</v>
      </c>
      <c r="C3351" s="4">
        <v>0</v>
      </c>
      <c r="D3351" s="21">
        <v>49</v>
      </c>
      <c r="F3351" s="57">
        <f t="shared" si="220"/>
        <v>1</v>
      </c>
    </row>
    <row r="3352" spans="1:6" x14ac:dyDescent="0.25">
      <c r="A3352" s="5" t="s">
        <v>20</v>
      </c>
      <c r="B3352" s="19">
        <v>44032</v>
      </c>
      <c r="C3352" s="4">
        <v>17</v>
      </c>
      <c r="D3352" s="21">
        <v>897</v>
      </c>
      <c r="F3352" s="57">
        <f t="shared" si="220"/>
        <v>2</v>
      </c>
    </row>
    <row r="3353" spans="1:6" x14ac:dyDescent="0.25">
      <c r="A3353" s="5" t="s">
        <v>19</v>
      </c>
      <c r="B3353" s="19">
        <v>44032</v>
      </c>
      <c r="C3353" s="4">
        <v>21</v>
      </c>
      <c r="D3353" s="21">
        <v>1341</v>
      </c>
      <c r="E3353" s="4">
        <v>4</v>
      </c>
      <c r="F3353" s="57">
        <f t="shared" si="220"/>
        <v>9</v>
      </c>
    </row>
    <row r="3354" spans="1:6" x14ac:dyDescent="0.25">
      <c r="A3354" s="5" t="s">
        <v>35</v>
      </c>
      <c r="B3354" s="19">
        <v>44032</v>
      </c>
      <c r="C3354" s="4">
        <v>1</v>
      </c>
      <c r="D3354" s="21">
        <v>176</v>
      </c>
      <c r="F3354" s="57">
        <f t="shared" si="220"/>
        <v>1</v>
      </c>
    </row>
    <row r="3355" spans="1:6" x14ac:dyDescent="0.25">
      <c r="A3355" s="5" t="s">
        <v>36</v>
      </c>
      <c r="B3355" s="19">
        <v>44032</v>
      </c>
      <c r="C3355" s="4">
        <v>0</v>
      </c>
      <c r="D3355" s="21">
        <v>14</v>
      </c>
      <c r="F3355" s="57">
        <f>E3355+F3331</f>
        <v>0</v>
      </c>
    </row>
    <row r="3356" spans="1:6" x14ac:dyDescent="0.25">
      <c r="A3356" s="5" t="s">
        <v>37</v>
      </c>
      <c r="B3356" s="19">
        <v>44032</v>
      </c>
      <c r="C3356" s="4">
        <v>1</v>
      </c>
      <c r="D3356" s="21">
        <v>15</v>
      </c>
      <c r="F3356" s="57">
        <f t="shared" si="220"/>
        <v>0</v>
      </c>
    </row>
    <row r="3357" spans="1:6" x14ac:dyDescent="0.25">
      <c r="A3357" s="5" t="s">
        <v>38</v>
      </c>
      <c r="B3357" s="19">
        <v>44032</v>
      </c>
      <c r="C3357" s="4">
        <v>24</v>
      </c>
      <c r="D3357" s="21">
        <v>206</v>
      </c>
      <c r="F3357" s="57">
        <f t="shared" si="220"/>
        <v>0</v>
      </c>
    </row>
    <row r="3358" spans="1:6" x14ac:dyDescent="0.25">
      <c r="A3358" s="5" t="s">
        <v>23</v>
      </c>
      <c r="B3358" s="19">
        <v>44032</v>
      </c>
      <c r="C3358" s="4">
        <v>27</v>
      </c>
      <c r="D3358" s="21">
        <v>718</v>
      </c>
      <c r="F3358" s="57">
        <f>E3358+F3334</f>
        <v>9</v>
      </c>
    </row>
    <row r="3359" spans="1:6" x14ac:dyDescent="0.25">
      <c r="A3359" s="5" t="s">
        <v>39</v>
      </c>
      <c r="B3359" s="19">
        <v>44032</v>
      </c>
      <c r="C3359" s="4">
        <v>0</v>
      </c>
      <c r="D3359" s="21">
        <v>38</v>
      </c>
      <c r="F3359" s="57">
        <f>E3359+F3335</f>
        <v>0</v>
      </c>
    </row>
    <row r="3360" spans="1:6" x14ac:dyDescent="0.25">
      <c r="A3360" s="5" t="s">
        <v>40</v>
      </c>
      <c r="B3360" s="19">
        <v>44032</v>
      </c>
      <c r="C3360" s="4">
        <v>0</v>
      </c>
      <c r="D3360" s="21">
        <v>240</v>
      </c>
      <c r="F3360" s="57">
        <f>E3360+F3336</f>
        <v>1</v>
      </c>
    </row>
    <row r="3361" spans="1:6" x14ac:dyDescent="0.25">
      <c r="A3361" s="5" t="s">
        <v>41</v>
      </c>
      <c r="B3361" s="19">
        <v>44032</v>
      </c>
      <c r="C3361" s="4">
        <v>0</v>
      </c>
      <c r="D3361" s="21">
        <v>103</v>
      </c>
      <c r="F3361" s="57">
        <f>E3361+F3337</f>
        <v>4</v>
      </c>
    </row>
    <row r="3362" spans="1:6" x14ac:dyDescent="0.25">
      <c r="A3362" s="42" t="s">
        <v>17</v>
      </c>
      <c r="B3362" s="19">
        <v>44033</v>
      </c>
      <c r="C3362" s="4">
        <v>3477</v>
      </c>
      <c r="D3362" s="21">
        <v>76815</v>
      </c>
      <c r="E3362" s="4">
        <f>15+16+18</f>
        <v>49</v>
      </c>
      <c r="F3362" s="57">
        <f>E3362+F3338</f>
        <v>1225</v>
      </c>
    </row>
    <row r="3363" spans="1:6" x14ac:dyDescent="0.25">
      <c r="A3363" s="5" t="s">
        <v>29</v>
      </c>
      <c r="B3363" s="19">
        <v>44033</v>
      </c>
      <c r="C3363" s="4">
        <v>2</v>
      </c>
      <c r="D3363" s="21">
        <v>60</v>
      </c>
      <c r="F3363" s="57">
        <f t="shared" ref="F3363:F3369" si="221">E3363+F3339</f>
        <v>0</v>
      </c>
    </row>
    <row r="3364" spans="1:6" x14ac:dyDescent="0.25">
      <c r="A3364" s="5" t="s">
        <v>16</v>
      </c>
      <c r="B3364" s="19">
        <v>44033</v>
      </c>
      <c r="C3364" s="4">
        <v>35</v>
      </c>
      <c r="D3364" s="21">
        <v>3031</v>
      </c>
      <c r="F3364" s="57">
        <f t="shared" si="221"/>
        <v>122</v>
      </c>
    </row>
    <row r="3365" spans="1:6" x14ac:dyDescent="0.25">
      <c r="A3365" s="5" t="s">
        <v>30</v>
      </c>
      <c r="B3365" s="19">
        <v>44033</v>
      </c>
      <c r="C3365" s="4">
        <v>12</v>
      </c>
      <c r="D3365" s="21">
        <v>254</v>
      </c>
      <c r="F3365" s="57">
        <f t="shared" si="221"/>
        <v>3</v>
      </c>
    </row>
    <row r="3366" spans="1:6" x14ac:dyDescent="0.25">
      <c r="A3366" s="5" t="s">
        <v>44</v>
      </c>
      <c r="B3366" s="19">
        <v>44033</v>
      </c>
      <c r="C3366" s="4">
        <v>1452</v>
      </c>
      <c r="D3366" s="21">
        <v>48143</v>
      </c>
      <c r="E3366" s="4">
        <f>14+8+10</f>
        <v>32</v>
      </c>
      <c r="F3366" s="57">
        <f t="shared" si="221"/>
        <v>922</v>
      </c>
    </row>
    <row r="3367" spans="1:6" x14ac:dyDescent="0.25">
      <c r="A3367" s="5" t="s">
        <v>21</v>
      </c>
      <c r="B3367" s="19">
        <v>44033</v>
      </c>
      <c r="C3367" s="4">
        <v>58</v>
      </c>
      <c r="D3367" s="21">
        <v>1380</v>
      </c>
      <c r="E3367" s="4">
        <v>2</v>
      </c>
      <c r="F3367" s="57">
        <f t="shared" si="221"/>
        <v>38</v>
      </c>
    </row>
    <row r="3368" spans="1:6" x14ac:dyDescent="0.25">
      <c r="A3368" s="5" t="s">
        <v>31</v>
      </c>
      <c r="B3368" s="19">
        <v>44033</v>
      </c>
      <c r="C3368" s="4">
        <v>1</v>
      </c>
      <c r="D3368" s="21">
        <v>131</v>
      </c>
      <c r="F3368" s="57">
        <f t="shared" si="221"/>
        <v>1</v>
      </c>
    </row>
    <row r="3369" spans="1:6" x14ac:dyDescent="0.25">
      <c r="A3369" s="5" t="s">
        <v>32</v>
      </c>
      <c r="B3369" s="19">
        <v>44033</v>
      </c>
      <c r="C3369" s="4">
        <v>7</v>
      </c>
      <c r="D3369" s="21">
        <v>655</v>
      </c>
      <c r="E3369" s="4">
        <v>1</v>
      </c>
      <c r="F3369" s="57">
        <f t="shared" si="221"/>
        <v>6</v>
      </c>
    </row>
    <row r="3370" spans="1:6" x14ac:dyDescent="0.25">
      <c r="A3370" s="5" t="s">
        <v>42</v>
      </c>
      <c r="B3370" s="19">
        <v>44033</v>
      </c>
      <c r="C3370" s="4">
        <v>0</v>
      </c>
      <c r="D3370" s="21">
        <v>78</v>
      </c>
      <c r="F3370" s="57">
        <f>E3370+F3346</f>
        <v>0</v>
      </c>
    </row>
    <row r="3371" spans="1:6" x14ac:dyDescent="0.25">
      <c r="A3371" s="5" t="s">
        <v>33</v>
      </c>
      <c r="B3371" s="19">
        <v>44033</v>
      </c>
      <c r="C3371" s="4">
        <v>120</v>
      </c>
      <c r="D3371" s="21">
        <v>878</v>
      </c>
      <c r="E3371" s="4">
        <v>30</v>
      </c>
      <c r="F3371" s="57">
        <f t="shared" ref="F3371:F3381" si="222">E3371+F3346</f>
        <v>30</v>
      </c>
    </row>
    <row r="3372" spans="1:6" x14ac:dyDescent="0.25">
      <c r="A3372" s="5" t="s">
        <v>34</v>
      </c>
      <c r="B3372" s="19">
        <v>44033</v>
      </c>
      <c r="C3372" s="4">
        <v>0</v>
      </c>
      <c r="D3372" s="21">
        <v>8</v>
      </c>
      <c r="F3372" s="57">
        <f t="shared" si="222"/>
        <v>0</v>
      </c>
    </row>
    <row r="3373" spans="1:6" x14ac:dyDescent="0.25">
      <c r="A3373" s="5" t="s">
        <v>22</v>
      </c>
      <c r="B3373" s="19">
        <v>44033</v>
      </c>
      <c r="C3373" s="4">
        <v>2</v>
      </c>
      <c r="D3373" s="21">
        <v>186</v>
      </c>
      <c r="F3373" s="57">
        <f t="shared" si="222"/>
        <v>0</v>
      </c>
    </row>
    <row r="3374" spans="1:6" x14ac:dyDescent="0.25">
      <c r="A3374" s="5" t="s">
        <v>18</v>
      </c>
      <c r="B3374" s="19">
        <v>44033</v>
      </c>
      <c r="C3374" s="4">
        <v>49</v>
      </c>
      <c r="D3374" s="21">
        <v>562</v>
      </c>
      <c r="F3374" s="57">
        <f t="shared" si="222"/>
        <v>0</v>
      </c>
    </row>
    <row r="3375" spans="1:6" x14ac:dyDescent="0.25">
      <c r="A3375" s="5" t="s">
        <v>24</v>
      </c>
      <c r="B3375" s="19">
        <v>44033</v>
      </c>
      <c r="C3375" s="4">
        <v>0</v>
      </c>
      <c r="D3375" s="21">
        <v>49</v>
      </c>
      <c r="F3375" s="57">
        <f t="shared" si="222"/>
        <v>1</v>
      </c>
    </row>
    <row r="3376" spans="1:6" x14ac:dyDescent="0.25">
      <c r="A3376" s="5" t="s">
        <v>20</v>
      </c>
      <c r="B3376" s="19">
        <v>44033</v>
      </c>
      <c r="C3376" s="4">
        <v>26</v>
      </c>
      <c r="D3376" s="21">
        <v>923</v>
      </c>
      <c r="F3376" s="57">
        <f t="shared" si="222"/>
        <v>1</v>
      </c>
    </row>
    <row r="3377" spans="1:6" x14ac:dyDescent="0.25">
      <c r="A3377" s="5" t="s">
        <v>19</v>
      </c>
      <c r="B3377" s="19">
        <v>44033</v>
      </c>
      <c r="C3377" s="4">
        <v>34</v>
      </c>
      <c r="D3377" s="21">
        <v>1375</v>
      </c>
      <c r="E3377" s="4">
        <v>2</v>
      </c>
      <c r="F3377" s="57">
        <f t="shared" si="222"/>
        <v>4</v>
      </c>
    </row>
    <row r="3378" spans="1:6" x14ac:dyDescent="0.25">
      <c r="A3378" s="5" t="s">
        <v>35</v>
      </c>
      <c r="B3378" s="19">
        <v>44033</v>
      </c>
      <c r="C3378" s="4">
        <v>5</v>
      </c>
      <c r="D3378" s="21">
        <v>181</v>
      </c>
      <c r="F3378" s="57">
        <f t="shared" si="222"/>
        <v>9</v>
      </c>
    </row>
    <row r="3379" spans="1:6" x14ac:dyDescent="0.25">
      <c r="A3379" s="5" t="s">
        <v>36</v>
      </c>
      <c r="B3379" s="19">
        <v>44033</v>
      </c>
      <c r="C3379" s="4">
        <v>2</v>
      </c>
      <c r="D3379" s="21">
        <v>16</v>
      </c>
      <c r="F3379" s="57">
        <f>E3379+F3355</f>
        <v>0</v>
      </c>
    </row>
    <row r="3380" spans="1:6" x14ac:dyDescent="0.25">
      <c r="A3380" s="5" t="s">
        <v>37</v>
      </c>
      <c r="B3380" s="19">
        <v>44033</v>
      </c>
      <c r="C3380" s="4">
        <v>0</v>
      </c>
      <c r="D3380" s="21">
        <v>15</v>
      </c>
      <c r="F3380" s="57">
        <f t="shared" si="222"/>
        <v>0</v>
      </c>
    </row>
    <row r="3381" spans="1:6" x14ac:dyDescent="0.25">
      <c r="A3381" s="5" t="s">
        <v>38</v>
      </c>
      <c r="B3381" s="19">
        <v>44033</v>
      </c>
      <c r="C3381" s="4">
        <v>16</v>
      </c>
      <c r="D3381" s="21">
        <v>222</v>
      </c>
      <c r="F3381" s="57">
        <f t="shared" si="222"/>
        <v>0</v>
      </c>
    </row>
    <row r="3382" spans="1:6" x14ac:dyDescent="0.25">
      <c r="A3382" s="5" t="s">
        <v>23</v>
      </c>
      <c r="B3382" s="19">
        <v>44033</v>
      </c>
      <c r="C3382" s="4">
        <v>35</v>
      </c>
      <c r="D3382" s="21">
        <v>753</v>
      </c>
      <c r="F3382" s="57">
        <f>E3382+F3358</f>
        <v>9</v>
      </c>
    </row>
    <row r="3383" spans="1:6" x14ac:dyDescent="0.25">
      <c r="A3383" s="5" t="s">
        <v>39</v>
      </c>
      <c r="B3383" s="19">
        <v>44033</v>
      </c>
      <c r="C3383" s="4">
        <v>1</v>
      </c>
      <c r="D3383" s="21">
        <v>39</v>
      </c>
      <c r="E3383" s="4">
        <v>1</v>
      </c>
      <c r="F3383" s="57">
        <f>E3383+F3359</f>
        <v>1</v>
      </c>
    </row>
    <row r="3384" spans="1:6" x14ac:dyDescent="0.25">
      <c r="A3384" s="5" t="s">
        <v>40</v>
      </c>
      <c r="B3384" s="19">
        <v>44033</v>
      </c>
      <c r="C3384" s="4">
        <v>9</v>
      </c>
      <c r="D3384" s="21">
        <v>249</v>
      </c>
      <c r="F3384" s="57">
        <f>E3384+F3360</f>
        <v>1</v>
      </c>
    </row>
    <row r="3385" spans="1:6" x14ac:dyDescent="0.25">
      <c r="A3385" s="5" t="s">
        <v>41</v>
      </c>
      <c r="B3385" s="19">
        <v>44033</v>
      </c>
      <c r="C3385" s="4">
        <v>1</v>
      </c>
      <c r="D3385" s="21">
        <v>104</v>
      </c>
      <c r="F3385" s="57">
        <f>E3385+F3361</f>
        <v>4</v>
      </c>
    </row>
    <row r="3386" spans="1:6" x14ac:dyDescent="0.25">
      <c r="A3386" s="42" t="s">
        <v>17</v>
      </c>
      <c r="B3386" s="19">
        <v>44034</v>
      </c>
      <c r="C3386" s="4">
        <v>3801</v>
      </c>
      <c r="D3386" s="21">
        <v>80616</v>
      </c>
      <c r="E3386" s="4">
        <f>9+27+16</f>
        <v>52</v>
      </c>
      <c r="F3386" s="57">
        <f>E3386+F3362</f>
        <v>1277</v>
      </c>
    </row>
    <row r="3387" spans="1:6" x14ac:dyDescent="0.25">
      <c r="A3387" s="5" t="s">
        <v>29</v>
      </c>
      <c r="B3387" s="19">
        <v>44034</v>
      </c>
      <c r="C3387" s="4">
        <v>0</v>
      </c>
      <c r="D3387" s="21">
        <v>60</v>
      </c>
      <c r="F3387" s="57">
        <f t="shared" ref="F3387:F3393" si="223">E3387+F3363</f>
        <v>0</v>
      </c>
    </row>
    <row r="3388" spans="1:6" x14ac:dyDescent="0.25">
      <c r="A3388" s="5" t="s">
        <v>16</v>
      </c>
      <c r="B3388" s="19">
        <v>44034</v>
      </c>
      <c r="C3388" s="4">
        <v>73</v>
      </c>
      <c r="D3388" s="21">
        <v>3104</v>
      </c>
      <c r="E3388" s="4">
        <v>3</v>
      </c>
      <c r="F3388" s="57">
        <f t="shared" si="223"/>
        <v>125</v>
      </c>
    </row>
    <row r="3389" spans="1:6" x14ac:dyDescent="0.25">
      <c r="A3389" s="5" t="s">
        <v>30</v>
      </c>
      <c r="B3389" s="19">
        <v>44034</v>
      </c>
      <c r="C3389" s="4">
        <v>0</v>
      </c>
      <c r="D3389" s="21">
        <v>254</v>
      </c>
      <c r="F3389" s="57">
        <f t="shared" si="223"/>
        <v>3</v>
      </c>
    </row>
    <row r="3390" spans="1:6" x14ac:dyDescent="0.25">
      <c r="A3390" s="5" t="s">
        <v>44</v>
      </c>
      <c r="B3390" s="19">
        <v>44034</v>
      </c>
      <c r="C3390" s="4">
        <v>1390</v>
      </c>
      <c r="D3390" s="21">
        <v>49533</v>
      </c>
      <c r="E3390" s="4">
        <f>7+18+17</f>
        <v>42</v>
      </c>
      <c r="F3390" s="57">
        <f t="shared" si="223"/>
        <v>964</v>
      </c>
    </row>
    <row r="3391" spans="1:6" x14ac:dyDescent="0.25">
      <c r="A3391" s="5" t="s">
        <v>21</v>
      </c>
      <c r="B3391" s="19">
        <v>44034</v>
      </c>
      <c r="C3391" s="4">
        <v>87</v>
      </c>
      <c r="D3391" s="21">
        <v>1467</v>
      </c>
      <c r="F3391" s="57">
        <f t="shared" si="223"/>
        <v>38</v>
      </c>
    </row>
    <row r="3392" spans="1:6" x14ac:dyDescent="0.25">
      <c r="A3392" s="5" t="s">
        <v>31</v>
      </c>
      <c r="B3392" s="19">
        <v>44034</v>
      </c>
      <c r="C3392" s="4">
        <v>0</v>
      </c>
      <c r="D3392" s="21">
        <v>131</v>
      </c>
      <c r="F3392" s="57">
        <f t="shared" si="223"/>
        <v>1</v>
      </c>
    </row>
    <row r="3393" spans="1:6" x14ac:dyDescent="0.25">
      <c r="A3393" s="5" t="s">
        <v>32</v>
      </c>
      <c r="B3393" s="19">
        <v>44034</v>
      </c>
      <c r="C3393" s="4">
        <v>24</v>
      </c>
      <c r="D3393" s="21">
        <v>679</v>
      </c>
      <c r="F3393" s="57">
        <f t="shared" si="223"/>
        <v>6</v>
      </c>
    </row>
    <row r="3394" spans="1:6" x14ac:dyDescent="0.25">
      <c r="A3394" s="5" t="s">
        <v>42</v>
      </c>
      <c r="B3394" s="19">
        <v>44034</v>
      </c>
      <c r="C3394" s="4">
        <v>1</v>
      </c>
      <c r="D3394" s="21">
        <v>79</v>
      </c>
      <c r="F3394" s="57">
        <f>E3394+F3370</f>
        <v>0</v>
      </c>
    </row>
    <row r="3395" spans="1:6" x14ac:dyDescent="0.25">
      <c r="A3395" s="5" t="s">
        <v>33</v>
      </c>
      <c r="B3395" s="19">
        <v>44034</v>
      </c>
      <c r="C3395" s="4">
        <v>155</v>
      </c>
      <c r="D3395" s="21">
        <v>1033</v>
      </c>
      <c r="F3395" s="57">
        <f t="shared" ref="F3395:F3405" si="224">E3395+F3370</f>
        <v>0</v>
      </c>
    </row>
    <row r="3396" spans="1:6" x14ac:dyDescent="0.25">
      <c r="A3396" s="5" t="s">
        <v>34</v>
      </c>
      <c r="B3396" s="19">
        <v>44034</v>
      </c>
      <c r="C3396" s="4">
        <v>0</v>
      </c>
      <c r="D3396" s="21">
        <v>8</v>
      </c>
      <c r="F3396" s="57">
        <f t="shared" si="224"/>
        <v>30</v>
      </c>
    </row>
    <row r="3397" spans="1:6" x14ac:dyDescent="0.25">
      <c r="A3397" s="5" t="s">
        <v>22</v>
      </c>
      <c r="B3397" s="19">
        <v>44034</v>
      </c>
      <c r="C3397" s="4">
        <v>10</v>
      </c>
      <c r="D3397" s="21">
        <v>196</v>
      </c>
      <c r="F3397" s="57">
        <f t="shared" si="224"/>
        <v>0</v>
      </c>
    </row>
    <row r="3398" spans="1:6" x14ac:dyDescent="0.25">
      <c r="A3398" s="5" t="s">
        <v>18</v>
      </c>
      <c r="B3398" s="19">
        <v>44034</v>
      </c>
      <c r="C3398" s="4">
        <v>56</v>
      </c>
      <c r="D3398" s="21">
        <v>618</v>
      </c>
      <c r="E3398" s="4">
        <v>1</v>
      </c>
      <c r="F3398" s="57">
        <f t="shared" si="224"/>
        <v>1</v>
      </c>
    </row>
    <row r="3399" spans="1:6" x14ac:dyDescent="0.25">
      <c r="A3399" s="5" t="s">
        <v>24</v>
      </c>
      <c r="B3399" s="19">
        <v>44034</v>
      </c>
      <c r="C3399" s="4">
        <v>0</v>
      </c>
      <c r="D3399" s="21">
        <v>49</v>
      </c>
      <c r="F3399" s="57">
        <f t="shared" si="224"/>
        <v>0</v>
      </c>
    </row>
    <row r="3400" spans="1:6" x14ac:dyDescent="0.25">
      <c r="A3400" s="5" t="s">
        <v>20</v>
      </c>
      <c r="B3400" s="19">
        <v>44034</v>
      </c>
      <c r="C3400" s="4">
        <v>26</v>
      </c>
      <c r="D3400" s="21">
        <v>949</v>
      </c>
      <c r="F3400" s="57">
        <f t="shared" si="224"/>
        <v>1</v>
      </c>
    </row>
    <row r="3401" spans="1:6" x14ac:dyDescent="0.25">
      <c r="A3401" s="5" t="s">
        <v>19</v>
      </c>
      <c r="B3401" s="19">
        <v>44034</v>
      </c>
      <c r="C3401" s="4">
        <v>57</v>
      </c>
      <c r="D3401" s="21">
        <v>1432</v>
      </c>
      <c r="F3401" s="57">
        <f t="shared" si="224"/>
        <v>1</v>
      </c>
    </row>
    <row r="3402" spans="1:6" x14ac:dyDescent="0.25">
      <c r="A3402" s="5" t="s">
        <v>35</v>
      </c>
      <c r="B3402" s="19">
        <v>44034</v>
      </c>
      <c r="C3402" s="4">
        <v>19</v>
      </c>
      <c r="D3402" s="21">
        <v>200</v>
      </c>
      <c r="F3402" s="57">
        <f t="shared" si="224"/>
        <v>4</v>
      </c>
    </row>
    <row r="3403" spans="1:6" x14ac:dyDescent="0.25">
      <c r="A3403" s="5" t="s">
        <v>36</v>
      </c>
      <c r="B3403" s="19">
        <v>44034</v>
      </c>
      <c r="C3403" s="4">
        <v>1</v>
      </c>
      <c r="D3403" s="21">
        <v>17</v>
      </c>
      <c r="F3403" s="57">
        <f>E3403+F3379</f>
        <v>0</v>
      </c>
    </row>
    <row r="3404" spans="1:6" x14ac:dyDescent="0.25">
      <c r="A3404" s="5" t="s">
        <v>37</v>
      </c>
      <c r="B3404" s="19">
        <v>44034</v>
      </c>
      <c r="C3404" s="4">
        <v>2</v>
      </c>
      <c r="D3404" s="21">
        <v>17</v>
      </c>
      <c r="F3404" s="57">
        <f t="shared" si="224"/>
        <v>0</v>
      </c>
    </row>
    <row r="3405" spans="1:6" x14ac:dyDescent="0.25">
      <c r="A3405" s="5" t="s">
        <v>38</v>
      </c>
      <c r="B3405" s="19">
        <v>44034</v>
      </c>
      <c r="C3405" s="4">
        <v>17</v>
      </c>
      <c r="D3405" s="21">
        <v>239</v>
      </c>
      <c r="F3405" s="57">
        <f t="shared" si="224"/>
        <v>0</v>
      </c>
    </row>
    <row r="3406" spans="1:6" x14ac:dyDescent="0.25">
      <c r="A3406" s="5" t="s">
        <v>23</v>
      </c>
      <c r="B3406" s="19">
        <v>44034</v>
      </c>
      <c r="C3406" s="4">
        <v>49</v>
      </c>
      <c r="D3406" s="21">
        <v>802</v>
      </c>
      <c r="F3406" s="57">
        <f>E3406+F3382</f>
        <v>9</v>
      </c>
    </row>
    <row r="3407" spans="1:6" x14ac:dyDescent="0.25">
      <c r="A3407" s="5" t="s">
        <v>39</v>
      </c>
      <c r="B3407" s="19">
        <v>44034</v>
      </c>
      <c r="C3407" s="4">
        <v>1</v>
      </c>
      <c r="D3407" s="21">
        <v>40</v>
      </c>
      <c r="F3407" s="57">
        <f>E3407+F3383</f>
        <v>1</v>
      </c>
    </row>
    <row r="3408" spans="1:6" x14ac:dyDescent="0.25">
      <c r="A3408" s="5" t="s">
        <v>40</v>
      </c>
      <c r="B3408" s="19">
        <v>44034</v>
      </c>
      <c r="C3408" s="4">
        <v>10</v>
      </c>
      <c r="D3408" s="21">
        <v>259</v>
      </c>
      <c r="F3408" s="57">
        <f>E3408+F3384</f>
        <v>1</v>
      </c>
    </row>
    <row r="3409" spans="1:6" x14ac:dyDescent="0.25">
      <c r="A3409" s="5" t="s">
        <v>41</v>
      </c>
      <c r="B3409" s="19">
        <v>44034</v>
      </c>
      <c r="C3409" s="4">
        <v>2</v>
      </c>
      <c r="D3409" s="21">
        <v>106</v>
      </c>
      <c r="F3409" s="57">
        <f>E3409+F3385</f>
        <v>4</v>
      </c>
    </row>
    <row r="3410" spans="1:6" x14ac:dyDescent="0.25">
      <c r="A3410" s="42" t="s">
        <v>17</v>
      </c>
      <c r="B3410" s="19">
        <v>44035</v>
      </c>
      <c r="C3410" s="4">
        <v>4300</v>
      </c>
      <c r="D3410" s="21">
        <v>84916</v>
      </c>
      <c r="E3410" s="4">
        <f>4+6+30+29</f>
        <v>69</v>
      </c>
      <c r="F3410" s="57">
        <f>E3410+F3386</f>
        <v>1346</v>
      </c>
    </row>
    <row r="3411" spans="1:6" x14ac:dyDescent="0.25">
      <c r="A3411" s="5" t="s">
        <v>29</v>
      </c>
      <c r="B3411" s="19">
        <v>44035</v>
      </c>
      <c r="C3411" s="4">
        <v>0</v>
      </c>
      <c r="D3411" s="21">
        <v>60</v>
      </c>
      <c r="F3411" s="57">
        <f t="shared" ref="F3411:F3417" si="225">E3411+F3387</f>
        <v>0</v>
      </c>
    </row>
    <row r="3412" spans="1:6" x14ac:dyDescent="0.25">
      <c r="A3412" s="5" t="s">
        <v>16</v>
      </c>
      <c r="B3412" s="19">
        <v>44035</v>
      </c>
      <c r="C3412" s="4">
        <v>51</v>
      </c>
      <c r="D3412" s="21">
        <v>3155</v>
      </c>
      <c r="E3412" s="4">
        <v>3</v>
      </c>
      <c r="F3412" s="57">
        <f t="shared" si="225"/>
        <v>128</v>
      </c>
    </row>
    <row r="3413" spans="1:6" x14ac:dyDescent="0.25">
      <c r="A3413" s="5" t="s">
        <v>30</v>
      </c>
      <c r="B3413" s="19">
        <v>44035</v>
      </c>
      <c r="C3413" s="4">
        <v>1</v>
      </c>
      <c r="D3413" s="21">
        <v>255</v>
      </c>
      <c r="F3413" s="57">
        <f t="shared" si="225"/>
        <v>3</v>
      </c>
    </row>
    <row r="3414" spans="1:6" x14ac:dyDescent="0.25">
      <c r="A3414" s="5" t="s">
        <v>44</v>
      </c>
      <c r="B3414" s="19">
        <v>44035</v>
      </c>
      <c r="C3414" s="4">
        <v>1267</v>
      </c>
      <c r="D3414" s="21">
        <v>50800</v>
      </c>
      <c r="E3414" s="4">
        <f>9+8+9+13</f>
        <v>39</v>
      </c>
      <c r="F3414" s="57">
        <f t="shared" si="225"/>
        <v>1003</v>
      </c>
    </row>
    <row r="3415" spans="1:6" x14ac:dyDescent="0.25">
      <c r="A3415" s="5" t="s">
        <v>21</v>
      </c>
      <c r="B3415" s="19">
        <v>44035</v>
      </c>
      <c r="C3415" s="4">
        <v>102</v>
      </c>
      <c r="D3415" s="21">
        <v>1569</v>
      </c>
      <c r="F3415" s="57">
        <f t="shared" si="225"/>
        <v>38</v>
      </c>
    </row>
    <row r="3416" spans="1:6" x14ac:dyDescent="0.25">
      <c r="A3416" s="5" t="s">
        <v>31</v>
      </c>
      <c r="B3416" s="19">
        <v>44035</v>
      </c>
      <c r="C3416" s="4">
        <v>1</v>
      </c>
      <c r="D3416" s="21">
        <v>132</v>
      </c>
      <c r="F3416" s="57">
        <f t="shared" si="225"/>
        <v>1</v>
      </c>
    </row>
    <row r="3417" spans="1:6" x14ac:dyDescent="0.25">
      <c r="A3417" s="5" t="s">
        <v>32</v>
      </c>
      <c r="B3417" s="19">
        <v>44035</v>
      </c>
      <c r="C3417" s="4">
        <v>31</v>
      </c>
      <c r="D3417" s="21">
        <v>710</v>
      </c>
      <c r="F3417" s="57">
        <f t="shared" si="225"/>
        <v>6</v>
      </c>
    </row>
    <row r="3418" spans="1:6" x14ac:dyDescent="0.25">
      <c r="A3418" s="5" t="s">
        <v>42</v>
      </c>
      <c r="B3418" s="19">
        <v>44035</v>
      </c>
      <c r="C3418" s="4">
        <v>1</v>
      </c>
      <c r="D3418" s="21">
        <v>80</v>
      </c>
      <c r="F3418" s="57">
        <f>E3418+F3394</f>
        <v>0</v>
      </c>
    </row>
    <row r="3419" spans="1:6" x14ac:dyDescent="0.25">
      <c r="A3419" s="5" t="s">
        <v>33</v>
      </c>
      <c r="B3419" s="19">
        <v>44035</v>
      </c>
      <c r="C3419" s="4">
        <v>158</v>
      </c>
      <c r="D3419" s="21">
        <v>1191</v>
      </c>
      <c r="F3419" s="57">
        <f t="shared" ref="F3419:F3429" si="226">E3419+F3394</f>
        <v>0</v>
      </c>
    </row>
    <row r="3420" spans="1:6" x14ac:dyDescent="0.25">
      <c r="A3420" s="5" t="s">
        <v>34</v>
      </c>
      <c r="B3420" s="19">
        <v>44035</v>
      </c>
      <c r="C3420" s="4">
        <v>0</v>
      </c>
      <c r="D3420" s="21">
        <v>8</v>
      </c>
      <c r="F3420" s="57">
        <f t="shared" si="226"/>
        <v>0</v>
      </c>
    </row>
    <row r="3421" spans="1:6" x14ac:dyDescent="0.25">
      <c r="A3421" s="5" t="s">
        <v>22</v>
      </c>
      <c r="B3421" s="19">
        <v>44035</v>
      </c>
      <c r="C3421" s="4">
        <v>9</v>
      </c>
      <c r="D3421" s="21">
        <v>205</v>
      </c>
      <c r="F3421" s="57">
        <f t="shared" si="226"/>
        <v>30</v>
      </c>
    </row>
    <row r="3422" spans="1:6" x14ac:dyDescent="0.25">
      <c r="A3422" s="5" t="s">
        <v>18</v>
      </c>
      <c r="B3422" s="19">
        <v>44035</v>
      </c>
      <c r="C3422" s="4">
        <v>52</v>
      </c>
      <c r="D3422" s="21">
        <v>670</v>
      </c>
      <c r="E3422" s="4">
        <v>3</v>
      </c>
      <c r="F3422" s="57">
        <f t="shared" si="226"/>
        <v>3</v>
      </c>
    </row>
    <row r="3423" spans="1:6" x14ac:dyDescent="0.25">
      <c r="A3423" s="5" t="s">
        <v>24</v>
      </c>
      <c r="B3423" s="19">
        <v>44035</v>
      </c>
      <c r="C3423" s="4">
        <v>2</v>
      </c>
      <c r="D3423" s="21">
        <v>51</v>
      </c>
      <c r="F3423" s="57">
        <f t="shared" si="226"/>
        <v>1</v>
      </c>
    </row>
    <row r="3424" spans="1:6" x14ac:dyDescent="0.25">
      <c r="A3424" s="5" t="s">
        <v>20</v>
      </c>
      <c r="B3424" s="19">
        <v>44035</v>
      </c>
      <c r="C3424" s="4">
        <v>25</v>
      </c>
      <c r="D3424" s="21">
        <v>974</v>
      </c>
      <c r="F3424" s="57">
        <f t="shared" si="226"/>
        <v>0</v>
      </c>
    </row>
    <row r="3425" spans="1:6" x14ac:dyDescent="0.25">
      <c r="A3425" s="5" t="s">
        <v>19</v>
      </c>
      <c r="B3425" s="19">
        <v>44035</v>
      </c>
      <c r="C3425" s="4">
        <v>54</v>
      </c>
      <c r="D3425" s="21">
        <v>1486</v>
      </c>
      <c r="F3425" s="57">
        <f t="shared" si="226"/>
        <v>1</v>
      </c>
    </row>
    <row r="3426" spans="1:6" x14ac:dyDescent="0.25">
      <c r="A3426" s="5" t="s">
        <v>35</v>
      </c>
      <c r="B3426" s="19">
        <v>44035</v>
      </c>
      <c r="C3426" s="4">
        <v>1</v>
      </c>
      <c r="D3426" s="21">
        <v>201</v>
      </c>
      <c r="F3426" s="57">
        <f t="shared" si="226"/>
        <v>1</v>
      </c>
    </row>
    <row r="3427" spans="1:6" x14ac:dyDescent="0.25">
      <c r="A3427" s="5" t="s">
        <v>36</v>
      </c>
      <c r="B3427" s="19">
        <v>44035</v>
      </c>
      <c r="C3427" s="4">
        <v>2</v>
      </c>
      <c r="D3427" s="21">
        <v>19</v>
      </c>
      <c r="F3427" s="57">
        <f>E3427+F3403</f>
        <v>0</v>
      </c>
    </row>
    <row r="3428" spans="1:6" x14ac:dyDescent="0.25">
      <c r="A3428" s="5" t="s">
        <v>37</v>
      </c>
      <c r="B3428" s="19">
        <v>44035</v>
      </c>
      <c r="C3428" s="4">
        <v>1</v>
      </c>
      <c r="D3428" s="21">
        <v>18</v>
      </c>
      <c r="F3428" s="57">
        <f t="shared" si="226"/>
        <v>0</v>
      </c>
    </row>
    <row r="3429" spans="1:6" x14ac:dyDescent="0.25">
      <c r="A3429" s="5" t="s">
        <v>38</v>
      </c>
      <c r="B3429" s="19">
        <v>44035</v>
      </c>
      <c r="C3429" s="4">
        <v>24</v>
      </c>
      <c r="D3429" s="21">
        <v>263</v>
      </c>
      <c r="F3429" s="57">
        <f t="shared" si="226"/>
        <v>0</v>
      </c>
    </row>
    <row r="3430" spans="1:6" x14ac:dyDescent="0.25">
      <c r="A3430" s="5" t="s">
        <v>23</v>
      </c>
      <c r="B3430" s="19">
        <v>44035</v>
      </c>
      <c r="C3430" s="4">
        <v>34</v>
      </c>
      <c r="D3430" s="21">
        <v>836</v>
      </c>
      <c r="F3430" s="57">
        <f>E3430+F3406</f>
        <v>9</v>
      </c>
    </row>
    <row r="3431" spans="1:6" x14ac:dyDescent="0.25">
      <c r="A3431" s="5" t="s">
        <v>39</v>
      </c>
      <c r="B3431" s="19">
        <v>44035</v>
      </c>
      <c r="C3431" s="4">
        <v>4</v>
      </c>
      <c r="D3431" s="21">
        <v>44</v>
      </c>
      <c r="F3431" s="57">
        <f>E3431+F3407</f>
        <v>1</v>
      </c>
    </row>
    <row r="3432" spans="1:6" x14ac:dyDescent="0.25">
      <c r="A3432" s="5" t="s">
        <v>40</v>
      </c>
      <c r="B3432" s="19">
        <v>44035</v>
      </c>
      <c r="C3432" s="4">
        <v>4</v>
      </c>
      <c r="D3432" s="21">
        <v>263</v>
      </c>
      <c r="F3432" s="57">
        <f>E3432+F3408</f>
        <v>1</v>
      </c>
    </row>
    <row r="3433" spans="1:6" x14ac:dyDescent="0.25">
      <c r="A3433" s="5" t="s">
        <v>41</v>
      </c>
      <c r="B3433" s="19">
        <v>44035</v>
      </c>
      <c r="C3433" s="4">
        <v>0</v>
      </c>
      <c r="D3433" s="21">
        <v>106</v>
      </c>
      <c r="F3433" s="57">
        <f>E3433+F3409</f>
        <v>4</v>
      </c>
    </row>
    <row r="3434" spans="1:6" x14ac:dyDescent="0.25">
      <c r="A3434" s="42" t="s">
        <v>17</v>
      </c>
      <c r="B3434" s="19">
        <v>44036</v>
      </c>
      <c r="C3434" s="4">
        <v>3790</v>
      </c>
      <c r="D3434" s="21">
        <v>88706</v>
      </c>
      <c r="E3434" s="4">
        <f>12+32+36</f>
        <v>80</v>
      </c>
      <c r="F3434" s="57">
        <f>E3434+F3410</f>
        <v>1426</v>
      </c>
    </row>
    <row r="3435" spans="1:6" x14ac:dyDescent="0.25">
      <c r="A3435" s="5" t="s">
        <v>29</v>
      </c>
      <c r="B3435" s="19">
        <v>44036</v>
      </c>
      <c r="C3435" s="4">
        <v>0</v>
      </c>
      <c r="D3435" s="21">
        <v>60</v>
      </c>
      <c r="F3435" s="57">
        <f t="shared" ref="F3435:F3441" si="227">E3435+F3411</f>
        <v>0</v>
      </c>
    </row>
    <row r="3436" spans="1:6" x14ac:dyDescent="0.25">
      <c r="A3436" s="5" t="s">
        <v>16</v>
      </c>
      <c r="B3436" s="19">
        <v>44036</v>
      </c>
      <c r="C3436" s="4">
        <v>63</v>
      </c>
      <c r="D3436" s="21">
        <v>3218</v>
      </c>
      <c r="E3436" s="4">
        <v>3</v>
      </c>
      <c r="F3436" s="57">
        <f>E3436+F3412</f>
        <v>131</v>
      </c>
    </row>
    <row r="3437" spans="1:6" x14ac:dyDescent="0.25">
      <c r="A3437" s="5" t="s">
        <v>30</v>
      </c>
      <c r="B3437" s="19">
        <v>44036</v>
      </c>
      <c r="C3437" s="4">
        <v>6</v>
      </c>
      <c r="D3437" s="21">
        <v>261</v>
      </c>
      <c r="F3437" s="57">
        <f t="shared" si="227"/>
        <v>3</v>
      </c>
    </row>
    <row r="3438" spans="1:6" x14ac:dyDescent="0.25">
      <c r="A3438" s="5" t="s">
        <v>44</v>
      </c>
      <c r="B3438" s="19">
        <v>44036</v>
      </c>
      <c r="C3438" s="4">
        <v>1157</v>
      </c>
      <c r="D3438" s="21">
        <v>51957</v>
      </c>
      <c r="E3438" s="4">
        <f>4+8+7</f>
        <v>19</v>
      </c>
      <c r="F3438" s="57">
        <f t="shared" si="227"/>
        <v>1022</v>
      </c>
    </row>
    <row r="3439" spans="1:6" x14ac:dyDescent="0.25">
      <c r="A3439" s="5" t="s">
        <v>21</v>
      </c>
      <c r="B3439" s="19">
        <v>44036</v>
      </c>
      <c r="C3439" s="4">
        <v>56</v>
      </c>
      <c r="D3439" s="21">
        <v>1625</v>
      </c>
      <c r="E3439" s="4">
        <v>1</v>
      </c>
      <c r="F3439" s="57">
        <f t="shared" si="227"/>
        <v>39</v>
      </c>
    </row>
    <row r="3440" spans="1:6" x14ac:dyDescent="0.25">
      <c r="A3440" s="5" t="s">
        <v>31</v>
      </c>
      <c r="B3440" s="19">
        <v>44036</v>
      </c>
      <c r="C3440" s="4">
        <v>0</v>
      </c>
      <c r="D3440" s="21">
        <v>132</v>
      </c>
      <c r="F3440" s="57">
        <f t="shared" si="227"/>
        <v>1</v>
      </c>
    </row>
    <row r="3441" spans="1:6" x14ac:dyDescent="0.25">
      <c r="A3441" s="5" t="s">
        <v>32</v>
      </c>
      <c r="B3441" s="19">
        <v>44036</v>
      </c>
      <c r="C3441" s="4">
        <v>11</v>
      </c>
      <c r="D3441" s="21">
        <v>721</v>
      </c>
      <c r="F3441" s="57">
        <f t="shared" si="227"/>
        <v>6</v>
      </c>
    </row>
    <row r="3442" spans="1:6" x14ac:dyDescent="0.25">
      <c r="A3442" s="5" t="s">
        <v>42</v>
      </c>
      <c r="B3442" s="19">
        <v>44036</v>
      </c>
      <c r="C3442" s="4">
        <v>1</v>
      </c>
      <c r="D3442" s="21">
        <v>81</v>
      </c>
      <c r="F3442" s="57">
        <f>E3442+F3418</f>
        <v>0</v>
      </c>
    </row>
    <row r="3443" spans="1:6" x14ac:dyDescent="0.25">
      <c r="A3443" s="5" t="s">
        <v>33</v>
      </c>
      <c r="B3443" s="19">
        <v>44036</v>
      </c>
      <c r="C3443" s="4">
        <v>155</v>
      </c>
      <c r="D3443" s="21">
        <v>1346</v>
      </c>
      <c r="F3443" s="57">
        <f t="shared" ref="F3443:F3453" si="228">E3443+F3418</f>
        <v>0</v>
      </c>
    </row>
    <row r="3444" spans="1:6" x14ac:dyDescent="0.25">
      <c r="A3444" s="5" t="s">
        <v>34</v>
      </c>
      <c r="B3444" s="19">
        <v>44036</v>
      </c>
      <c r="C3444" s="4">
        <v>0</v>
      </c>
      <c r="D3444" s="21">
        <v>8</v>
      </c>
      <c r="F3444" s="57">
        <f t="shared" si="228"/>
        <v>0</v>
      </c>
    </row>
    <row r="3445" spans="1:6" x14ac:dyDescent="0.25">
      <c r="A3445" s="5" t="s">
        <v>22</v>
      </c>
      <c r="B3445" s="19">
        <v>44036</v>
      </c>
      <c r="C3445" s="4">
        <v>10</v>
      </c>
      <c r="D3445" s="21">
        <v>215</v>
      </c>
      <c r="F3445" s="57">
        <f t="shared" si="228"/>
        <v>0</v>
      </c>
    </row>
    <row r="3446" spans="1:6" x14ac:dyDescent="0.25">
      <c r="A3446" s="5" t="s">
        <v>18</v>
      </c>
      <c r="B3446" s="19">
        <v>44036</v>
      </c>
      <c r="C3446" s="4">
        <v>56</v>
      </c>
      <c r="D3446" s="21">
        <v>726</v>
      </c>
      <c r="E3446" s="4">
        <v>1</v>
      </c>
      <c r="F3446" s="57">
        <f t="shared" si="228"/>
        <v>31</v>
      </c>
    </row>
    <row r="3447" spans="1:6" x14ac:dyDescent="0.25">
      <c r="A3447" s="5" t="s">
        <v>24</v>
      </c>
      <c r="B3447" s="19">
        <v>44036</v>
      </c>
      <c r="C3447" s="4">
        <v>1</v>
      </c>
      <c r="D3447" s="21">
        <v>52</v>
      </c>
      <c r="F3447" s="57">
        <f t="shared" si="228"/>
        <v>3</v>
      </c>
    </row>
    <row r="3448" spans="1:6" x14ac:dyDescent="0.25">
      <c r="A3448" s="5" t="s">
        <v>20</v>
      </c>
      <c r="B3448" s="19">
        <v>44036</v>
      </c>
      <c r="C3448" s="4">
        <v>18</v>
      </c>
      <c r="D3448" s="21">
        <v>992</v>
      </c>
      <c r="F3448" s="57">
        <f t="shared" si="228"/>
        <v>1</v>
      </c>
    </row>
    <row r="3449" spans="1:6" x14ac:dyDescent="0.25">
      <c r="A3449" s="5" t="s">
        <v>19</v>
      </c>
      <c r="B3449" s="19">
        <v>44036</v>
      </c>
      <c r="C3449" s="4">
        <v>40</v>
      </c>
      <c r="D3449" s="21">
        <v>1526</v>
      </c>
      <c r="E3449" s="4">
        <v>1</v>
      </c>
      <c r="F3449" s="57">
        <f t="shared" si="228"/>
        <v>1</v>
      </c>
    </row>
    <row r="3450" spans="1:6" x14ac:dyDescent="0.25">
      <c r="A3450" s="5" t="s">
        <v>35</v>
      </c>
      <c r="B3450" s="19">
        <v>44036</v>
      </c>
      <c r="C3450" s="4">
        <v>13</v>
      </c>
      <c r="D3450" s="21">
        <v>214</v>
      </c>
      <c r="F3450" s="57">
        <f t="shared" si="228"/>
        <v>1</v>
      </c>
    </row>
    <row r="3451" spans="1:6" x14ac:dyDescent="0.25">
      <c r="A3451" s="5" t="s">
        <v>36</v>
      </c>
      <c r="B3451" s="19">
        <v>44036</v>
      </c>
      <c r="C3451" s="4">
        <v>0</v>
      </c>
      <c r="D3451" s="21">
        <v>19</v>
      </c>
      <c r="F3451" s="57">
        <f>E3451+F3427</f>
        <v>0</v>
      </c>
    </row>
    <row r="3452" spans="1:6" x14ac:dyDescent="0.25">
      <c r="A3452" s="5" t="s">
        <v>37</v>
      </c>
      <c r="B3452" s="19">
        <v>44036</v>
      </c>
      <c r="C3452" s="4">
        <v>1</v>
      </c>
      <c r="D3452" s="21">
        <v>19</v>
      </c>
      <c r="F3452" s="57">
        <f t="shared" si="228"/>
        <v>0</v>
      </c>
    </row>
    <row r="3453" spans="1:6" x14ac:dyDescent="0.25">
      <c r="A3453" s="5" t="s">
        <v>38</v>
      </c>
      <c r="B3453" s="19">
        <v>44036</v>
      </c>
      <c r="C3453" s="4">
        <v>38</v>
      </c>
      <c r="D3453" s="21">
        <v>301</v>
      </c>
      <c r="F3453" s="57">
        <f t="shared" si="228"/>
        <v>0</v>
      </c>
    </row>
    <row r="3454" spans="1:6" x14ac:dyDescent="0.25">
      <c r="A3454" s="5" t="s">
        <v>23</v>
      </c>
      <c r="B3454" s="19">
        <v>44036</v>
      </c>
      <c r="C3454" s="4">
        <v>32</v>
      </c>
      <c r="D3454" s="21">
        <v>868</v>
      </c>
      <c r="F3454" s="57">
        <f>E3454+F3430</f>
        <v>9</v>
      </c>
    </row>
    <row r="3455" spans="1:6" x14ac:dyDescent="0.25">
      <c r="A3455" s="5" t="s">
        <v>39</v>
      </c>
      <c r="B3455" s="19">
        <v>44036</v>
      </c>
      <c r="C3455" s="4">
        <v>2</v>
      </c>
      <c r="D3455" s="21">
        <v>46</v>
      </c>
      <c r="F3455" s="57">
        <f>E3455+F3431</f>
        <v>1</v>
      </c>
    </row>
    <row r="3456" spans="1:6" x14ac:dyDescent="0.25">
      <c r="A3456" s="5" t="s">
        <v>40</v>
      </c>
      <c r="B3456" s="19">
        <v>44036</v>
      </c>
      <c r="C3456" s="4">
        <v>37</v>
      </c>
      <c r="D3456" s="21">
        <v>300</v>
      </c>
      <c r="F3456" s="57">
        <f>E3456+F3432</f>
        <v>1</v>
      </c>
    </row>
    <row r="3457" spans="1:6" x14ac:dyDescent="0.25">
      <c r="A3457" s="5" t="s">
        <v>41</v>
      </c>
      <c r="B3457" s="19">
        <v>44036</v>
      </c>
      <c r="C3457" s="4">
        <v>4</v>
      </c>
      <c r="D3457" s="21">
        <v>110</v>
      </c>
      <c r="F3457" s="57">
        <f>E3457+F3433</f>
        <v>4</v>
      </c>
    </row>
    <row r="3458" spans="1:6" x14ac:dyDescent="0.25">
      <c r="A3458" s="42" t="s">
        <v>17</v>
      </c>
      <c r="B3458" s="19">
        <v>44037</v>
      </c>
      <c r="C3458" s="4">
        <v>3250</v>
      </c>
      <c r="D3458" s="21">
        <v>91956</v>
      </c>
      <c r="E3458" s="4">
        <f>34+18+22</f>
        <v>74</v>
      </c>
      <c r="F3458" s="57">
        <f>E3458+F3434</f>
        <v>1500</v>
      </c>
    </row>
    <row r="3459" spans="1:6" x14ac:dyDescent="0.25">
      <c r="A3459" s="5" t="s">
        <v>29</v>
      </c>
      <c r="B3459" s="19">
        <v>44037</v>
      </c>
      <c r="C3459" s="4">
        <v>0</v>
      </c>
      <c r="D3459" s="21">
        <v>60</v>
      </c>
      <c r="F3459" s="57">
        <f t="shared" ref="F3459:F3465" si="229">E3459+F3435</f>
        <v>0</v>
      </c>
    </row>
    <row r="3460" spans="1:6" x14ac:dyDescent="0.25">
      <c r="A3460" s="5" t="s">
        <v>16</v>
      </c>
      <c r="B3460" s="19">
        <v>44037</v>
      </c>
      <c r="C3460" s="4">
        <v>42</v>
      </c>
      <c r="D3460" s="21">
        <v>3260</v>
      </c>
      <c r="E3460" s="4">
        <v>2</v>
      </c>
      <c r="F3460" s="57">
        <f t="shared" si="229"/>
        <v>133</v>
      </c>
    </row>
    <row r="3461" spans="1:6" x14ac:dyDescent="0.25">
      <c r="A3461" s="5" t="s">
        <v>30</v>
      </c>
      <c r="B3461" s="19">
        <v>44037</v>
      </c>
      <c r="C3461" s="4">
        <v>2</v>
      </c>
      <c r="D3461" s="21">
        <v>263</v>
      </c>
      <c r="F3461" s="57">
        <f t="shared" si="229"/>
        <v>3</v>
      </c>
    </row>
    <row r="3462" spans="1:6" x14ac:dyDescent="0.25">
      <c r="A3462" s="5" t="s">
        <v>44</v>
      </c>
      <c r="B3462" s="19">
        <v>44037</v>
      </c>
      <c r="C3462" s="4">
        <v>1121</v>
      </c>
      <c r="D3462" s="21">
        <v>53078</v>
      </c>
      <c r="E3462" s="4">
        <v>8</v>
      </c>
      <c r="F3462" s="57">
        <f t="shared" si="229"/>
        <v>1030</v>
      </c>
    </row>
    <row r="3463" spans="1:6" x14ac:dyDescent="0.25">
      <c r="A3463" s="5" t="s">
        <v>21</v>
      </c>
      <c r="B3463" s="19">
        <v>44037</v>
      </c>
      <c r="C3463" s="4">
        <v>70</v>
      </c>
      <c r="D3463" s="21">
        <v>1695</v>
      </c>
      <c r="F3463" s="57">
        <f t="shared" si="229"/>
        <v>39</v>
      </c>
    </row>
    <row r="3464" spans="1:6" x14ac:dyDescent="0.25">
      <c r="A3464" s="5" t="s">
        <v>31</v>
      </c>
      <c r="B3464" s="19">
        <v>44037</v>
      </c>
      <c r="C3464" s="4">
        <v>5</v>
      </c>
      <c r="D3464" s="21">
        <v>137</v>
      </c>
      <c r="F3464" s="57">
        <f t="shared" si="229"/>
        <v>1</v>
      </c>
    </row>
    <row r="3465" spans="1:6" x14ac:dyDescent="0.25">
      <c r="A3465" s="5" t="s">
        <v>32</v>
      </c>
      <c r="B3465" s="19">
        <v>44037</v>
      </c>
      <c r="C3465" s="4">
        <v>18</v>
      </c>
      <c r="D3465" s="21">
        <v>739</v>
      </c>
      <c r="F3465" s="57">
        <f t="shared" si="229"/>
        <v>6</v>
      </c>
    </row>
    <row r="3466" spans="1:6" x14ac:dyDescent="0.25">
      <c r="A3466" s="5" t="s">
        <v>42</v>
      </c>
      <c r="B3466" s="19">
        <v>44037</v>
      </c>
      <c r="C3466" s="4">
        <v>0</v>
      </c>
      <c r="D3466" s="21">
        <v>81</v>
      </c>
      <c r="F3466" s="57">
        <f>E3466+F3442</f>
        <v>0</v>
      </c>
    </row>
    <row r="3467" spans="1:6" x14ac:dyDescent="0.25">
      <c r="A3467" s="5" t="s">
        <v>33</v>
      </c>
      <c r="B3467" s="19">
        <v>44037</v>
      </c>
      <c r="C3467" s="4">
        <v>36</v>
      </c>
      <c r="D3467" s="21">
        <v>1382</v>
      </c>
      <c r="F3467" s="57">
        <f t="shared" ref="F3467:F3477" si="230">E3467+F3442</f>
        <v>0</v>
      </c>
    </row>
    <row r="3468" spans="1:6" x14ac:dyDescent="0.25">
      <c r="A3468" s="5" t="s">
        <v>34</v>
      </c>
      <c r="B3468" s="19">
        <v>44037</v>
      </c>
      <c r="C3468" s="4">
        <v>25</v>
      </c>
      <c r="D3468" s="21">
        <v>33</v>
      </c>
      <c r="F3468" s="57">
        <f t="shared" si="230"/>
        <v>0</v>
      </c>
    </row>
    <row r="3469" spans="1:6" x14ac:dyDescent="0.25">
      <c r="A3469" s="5" t="s">
        <v>22</v>
      </c>
      <c r="B3469" s="19">
        <v>44037</v>
      </c>
      <c r="C3469" s="4">
        <v>15</v>
      </c>
      <c r="D3469" s="21">
        <v>230</v>
      </c>
      <c r="F3469" s="57">
        <f t="shared" si="230"/>
        <v>0</v>
      </c>
    </row>
    <row r="3470" spans="1:6" x14ac:dyDescent="0.25">
      <c r="A3470" s="5" t="s">
        <v>18</v>
      </c>
      <c r="B3470" s="19">
        <v>44037</v>
      </c>
      <c r="C3470" s="4">
        <v>60</v>
      </c>
      <c r="D3470" s="21">
        <v>786</v>
      </c>
      <c r="F3470" s="57">
        <f t="shared" si="230"/>
        <v>0</v>
      </c>
    </row>
    <row r="3471" spans="1:6" x14ac:dyDescent="0.25">
      <c r="A3471" s="5" t="s">
        <v>24</v>
      </c>
      <c r="B3471" s="19">
        <v>44037</v>
      </c>
      <c r="C3471" s="4">
        <v>3</v>
      </c>
      <c r="D3471" s="21">
        <v>55</v>
      </c>
      <c r="F3471" s="57">
        <f t="shared" si="230"/>
        <v>31</v>
      </c>
    </row>
    <row r="3472" spans="1:6" x14ac:dyDescent="0.25">
      <c r="A3472" s="5" t="s">
        <v>20</v>
      </c>
      <c r="B3472" s="19">
        <v>44037</v>
      </c>
      <c r="C3472" s="4">
        <v>25</v>
      </c>
      <c r="D3472" s="21">
        <v>1017</v>
      </c>
      <c r="E3472" s="4">
        <v>1</v>
      </c>
      <c r="F3472" s="57">
        <f t="shared" si="230"/>
        <v>4</v>
      </c>
    </row>
    <row r="3473" spans="1:6" x14ac:dyDescent="0.25">
      <c r="A3473" s="5" t="s">
        <v>19</v>
      </c>
      <c r="B3473" s="19">
        <v>44037</v>
      </c>
      <c r="C3473" s="4">
        <v>28</v>
      </c>
      <c r="D3473" s="21">
        <v>1554</v>
      </c>
      <c r="F3473" s="57">
        <f t="shared" si="230"/>
        <v>1</v>
      </c>
    </row>
    <row r="3474" spans="1:6" x14ac:dyDescent="0.25">
      <c r="A3474" s="5" t="s">
        <v>35</v>
      </c>
      <c r="B3474" s="19">
        <v>44037</v>
      </c>
      <c r="C3474" s="4">
        <v>29</v>
      </c>
      <c r="D3474" s="21">
        <v>243</v>
      </c>
      <c r="F3474" s="57">
        <f t="shared" si="230"/>
        <v>1</v>
      </c>
    </row>
    <row r="3475" spans="1:6" x14ac:dyDescent="0.25">
      <c r="A3475" s="5" t="s">
        <v>36</v>
      </c>
      <c r="B3475" s="19">
        <v>44037</v>
      </c>
      <c r="C3475" s="4">
        <v>0</v>
      </c>
      <c r="D3475" s="21">
        <v>19</v>
      </c>
      <c r="F3475" s="57">
        <f>E3475+F3451</f>
        <v>0</v>
      </c>
    </row>
    <row r="3476" spans="1:6" x14ac:dyDescent="0.25">
      <c r="A3476" s="5" t="s">
        <v>37</v>
      </c>
      <c r="B3476" s="19">
        <v>44037</v>
      </c>
      <c r="C3476" s="4">
        <v>0</v>
      </c>
      <c r="D3476" s="21">
        <v>19</v>
      </c>
      <c r="F3476" s="57">
        <f t="shared" si="230"/>
        <v>0</v>
      </c>
    </row>
    <row r="3477" spans="1:6" x14ac:dyDescent="0.25">
      <c r="A3477" s="5" t="s">
        <v>38</v>
      </c>
      <c r="B3477" s="19">
        <v>44037</v>
      </c>
      <c r="C3477" s="4">
        <v>8</v>
      </c>
      <c r="D3477" s="21">
        <v>309</v>
      </c>
      <c r="E3477" s="4">
        <v>1</v>
      </c>
      <c r="F3477" s="57">
        <f t="shared" si="230"/>
        <v>1</v>
      </c>
    </row>
    <row r="3478" spans="1:6" x14ac:dyDescent="0.25">
      <c r="A3478" s="5" t="s">
        <v>23</v>
      </c>
      <c r="B3478" s="19">
        <v>44037</v>
      </c>
      <c r="C3478" s="4">
        <v>30</v>
      </c>
      <c r="D3478" s="21">
        <v>898</v>
      </c>
      <c r="F3478" s="57">
        <f>E3478+F3454</f>
        <v>9</v>
      </c>
    </row>
    <row r="3479" spans="1:6" x14ac:dyDescent="0.25">
      <c r="A3479" s="5" t="s">
        <v>39</v>
      </c>
      <c r="B3479" s="19">
        <v>44037</v>
      </c>
      <c r="C3479" s="4">
        <v>3</v>
      </c>
      <c r="D3479" s="21">
        <v>49</v>
      </c>
      <c r="F3479" s="57">
        <f>E3479+F3455</f>
        <v>1</v>
      </c>
    </row>
    <row r="3480" spans="1:6" x14ac:dyDescent="0.25">
      <c r="A3480" s="5" t="s">
        <v>40</v>
      </c>
      <c r="B3480" s="19">
        <v>44037</v>
      </c>
      <c r="C3480" s="4">
        <v>36</v>
      </c>
      <c r="D3480" s="21">
        <v>336</v>
      </c>
      <c r="F3480" s="57">
        <f>E3480+F3456</f>
        <v>1</v>
      </c>
    </row>
    <row r="3481" spans="1:6" x14ac:dyDescent="0.25">
      <c r="A3481" s="5" t="s">
        <v>41</v>
      </c>
      <c r="B3481" s="19">
        <v>44037</v>
      </c>
      <c r="C3481" s="4">
        <v>8</v>
      </c>
      <c r="D3481" s="21">
        <v>118</v>
      </c>
      <c r="F3481" s="57">
        <f>E3481+F3457</f>
        <v>4</v>
      </c>
    </row>
    <row r="3482" spans="1:6" x14ac:dyDescent="0.25">
      <c r="A3482" s="42" t="s">
        <v>17</v>
      </c>
      <c r="B3482" s="19">
        <v>44038</v>
      </c>
      <c r="C3482" s="4">
        <v>2917</v>
      </c>
      <c r="D3482" s="21">
        <v>94873</v>
      </c>
      <c r="E3482" s="4">
        <v>29</v>
      </c>
      <c r="F3482" s="57">
        <f>E3482+F3458</f>
        <v>1529</v>
      </c>
    </row>
    <row r="3483" spans="1:6" x14ac:dyDescent="0.25">
      <c r="A3483" s="5" t="s">
        <v>29</v>
      </c>
      <c r="B3483" s="19">
        <v>44038</v>
      </c>
      <c r="C3483" s="4">
        <v>0</v>
      </c>
      <c r="D3483" s="21">
        <v>60</v>
      </c>
      <c r="F3483" s="57">
        <f t="shared" ref="F3483:F3489" si="231">E3483+F3459</f>
        <v>0</v>
      </c>
    </row>
    <row r="3484" spans="1:6" x14ac:dyDescent="0.25">
      <c r="A3484" s="5" t="s">
        <v>16</v>
      </c>
      <c r="B3484" s="19">
        <v>44038</v>
      </c>
      <c r="C3484" s="4">
        <v>66</v>
      </c>
      <c r="D3484" s="21">
        <v>3326</v>
      </c>
      <c r="F3484" s="57">
        <f t="shared" si="231"/>
        <v>133</v>
      </c>
    </row>
    <row r="3485" spans="1:6" x14ac:dyDescent="0.25">
      <c r="A3485" s="5" t="s">
        <v>30</v>
      </c>
      <c r="B3485" s="19">
        <v>44038</v>
      </c>
      <c r="C3485" s="4">
        <v>2</v>
      </c>
      <c r="D3485" s="21">
        <v>265</v>
      </c>
      <c r="F3485" s="57">
        <f t="shared" si="231"/>
        <v>3</v>
      </c>
    </row>
    <row r="3486" spans="1:6" x14ac:dyDescent="0.25">
      <c r="A3486" s="5" t="s">
        <v>44</v>
      </c>
      <c r="B3486" s="19">
        <v>44038</v>
      </c>
      <c r="C3486" s="4">
        <v>888</v>
      </c>
      <c r="D3486" s="21">
        <v>53966</v>
      </c>
      <c r="E3486" s="4">
        <v>12</v>
      </c>
      <c r="F3486" s="57">
        <f t="shared" si="231"/>
        <v>1042</v>
      </c>
    </row>
    <row r="3487" spans="1:6" x14ac:dyDescent="0.25">
      <c r="A3487" s="5" t="s">
        <v>21</v>
      </c>
      <c r="B3487" s="19">
        <v>44038</v>
      </c>
      <c r="C3487" s="4">
        <v>80</v>
      </c>
      <c r="D3487" s="21">
        <v>1775</v>
      </c>
      <c r="E3487" s="4">
        <v>1</v>
      </c>
      <c r="F3487" s="57">
        <f t="shared" si="231"/>
        <v>40</v>
      </c>
    </row>
    <row r="3488" spans="1:6" x14ac:dyDescent="0.25">
      <c r="A3488" s="5" t="s">
        <v>31</v>
      </c>
      <c r="B3488" s="19">
        <v>44038</v>
      </c>
      <c r="C3488" s="4">
        <v>2</v>
      </c>
      <c r="D3488" s="21">
        <v>139</v>
      </c>
      <c r="F3488" s="57">
        <f t="shared" si="231"/>
        <v>1</v>
      </c>
    </row>
    <row r="3489" spans="1:6" x14ac:dyDescent="0.25">
      <c r="A3489" s="5" t="s">
        <v>32</v>
      </c>
      <c r="B3489" s="19">
        <v>44038</v>
      </c>
      <c r="C3489" s="4">
        <v>21</v>
      </c>
      <c r="D3489" s="21">
        <v>760</v>
      </c>
      <c r="F3489" s="57">
        <f t="shared" si="231"/>
        <v>6</v>
      </c>
    </row>
    <row r="3490" spans="1:6" x14ac:dyDescent="0.25">
      <c r="A3490" s="5" t="s">
        <v>42</v>
      </c>
      <c r="B3490" s="19">
        <v>44038</v>
      </c>
      <c r="C3490" s="4">
        <v>0</v>
      </c>
      <c r="D3490" s="21">
        <v>81</v>
      </c>
      <c r="F3490" s="57">
        <f>E3490+F3466</f>
        <v>0</v>
      </c>
    </row>
    <row r="3491" spans="1:6" x14ac:dyDescent="0.25">
      <c r="A3491" s="5" t="s">
        <v>33</v>
      </c>
      <c r="B3491" s="19">
        <v>44038</v>
      </c>
      <c r="C3491" s="4">
        <v>46</v>
      </c>
      <c r="D3491" s="21">
        <v>1428</v>
      </c>
      <c r="F3491" s="57">
        <f t="shared" ref="F3491:F3501" si="232">E3491+F3466</f>
        <v>0</v>
      </c>
    </row>
    <row r="3492" spans="1:6" x14ac:dyDescent="0.25">
      <c r="A3492" s="5" t="s">
        <v>34</v>
      </c>
      <c r="B3492" s="19">
        <v>44038</v>
      </c>
      <c r="C3492" s="4">
        <v>7</v>
      </c>
      <c r="D3492" s="21">
        <v>40</v>
      </c>
      <c r="F3492" s="57">
        <f t="shared" si="232"/>
        <v>0</v>
      </c>
    </row>
    <row r="3493" spans="1:6" x14ac:dyDescent="0.25">
      <c r="A3493" s="5" t="s">
        <v>22</v>
      </c>
      <c r="B3493" s="19">
        <v>44038</v>
      </c>
      <c r="C3493" s="4">
        <v>9</v>
      </c>
      <c r="D3493" s="21">
        <v>239</v>
      </c>
      <c r="F3493" s="57">
        <f t="shared" si="232"/>
        <v>0</v>
      </c>
    </row>
    <row r="3494" spans="1:6" x14ac:dyDescent="0.25">
      <c r="A3494" s="5" t="s">
        <v>18</v>
      </c>
      <c r="B3494" s="19">
        <v>44038</v>
      </c>
      <c r="C3494" s="4">
        <v>31</v>
      </c>
      <c r="D3494" s="21">
        <v>817</v>
      </c>
      <c r="E3494" s="4">
        <v>3</v>
      </c>
      <c r="F3494" s="57">
        <f t="shared" si="232"/>
        <v>3</v>
      </c>
    </row>
    <row r="3495" spans="1:6" x14ac:dyDescent="0.25">
      <c r="A3495" s="5" t="s">
        <v>24</v>
      </c>
      <c r="B3495" s="19">
        <v>44038</v>
      </c>
      <c r="C3495" s="4">
        <v>2</v>
      </c>
      <c r="D3495" s="21">
        <v>57</v>
      </c>
      <c r="F3495" s="57">
        <f t="shared" si="232"/>
        <v>0</v>
      </c>
    </row>
    <row r="3496" spans="1:6" x14ac:dyDescent="0.25">
      <c r="A3496" s="5" t="s">
        <v>20</v>
      </c>
      <c r="B3496" s="19">
        <v>44038</v>
      </c>
      <c r="C3496" s="4">
        <v>25</v>
      </c>
      <c r="D3496" s="21">
        <v>1042</v>
      </c>
      <c r="F3496" s="57">
        <f t="shared" si="232"/>
        <v>31</v>
      </c>
    </row>
    <row r="3497" spans="1:6" x14ac:dyDescent="0.25">
      <c r="A3497" s="5" t="s">
        <v>19</v>
      </c>
      <c r="B3497" s="19">
        <v>44038</v>
      </c>
      <c r="C3497" s="4">
        <v>18</v>
      </c>
      <c r="D3497" s="21">
        <v>1572</v>
      </c>
      <c r="E3497" s="4">
        <v>0</v>
      </c>
      <c r="F3497" s="57">
        <f t="shared" si="232"/>
        <v>4</v>
      </c>
    </row>
    <row r="3498" spans="1:6" x14ac:dyDescent="0.25">
      <c r="A3498" s="5" t="s">
        <v>35</v>
      </c>
      <c r="B3498" s="19">
        <v>44038</v>
      </c>
      <c r="C3498" s="4">
        <v>0</v>
      </c>
      <c r="D3498" s="21">
        <v>243</v>
      </c>
      <c r="F3498" s="57">
        <f t="shared" si="232"/>
        <v>1</v>
      </c>
    </row>
    <row r="3499" spans="1:6" x14ac:dyDescent="0.25">
      <c r="A3499" s="5" t="s">
        <v>36</v>
      </c>
      <c r="B3499" s="19">
        <v>44038</v>
      </c>
      <c r="C3499" s="4">
        <v>2</v>
      </c>
      <c r="D3499" s="21">
        <v>21</v>
      </c>
      <c r="F3499" s="57">
        <f>E3499+F3475</f>
        <v>0</v>
      </c>
    </row>
    <row r="3500" spans="1:6" x14ac:dyDescent="0.25">
      <c r="A3500" s="5" t="s">
        <v>37</v>
      </c>
      <c r="B3500" s="19">
        <v>44038</v>
      </c>
      <c r="C3500" s="4">
        <v>0</v>
      </c>
      <c r="D3500" s="21">
        <v>19</v>
      </c>
      <c r="F3500" s="57">
        <f t="shared" si="232"/>
        <v>0</v>
      </c>
    </row>
    <row r="3501" spans="1:6" x14ac:dyDescent="0.25">
      <c r="A3501" s="5" t="s">
        <v>38</v>
      </c>
      <c r="B3501" s="19">
        <v>44038</v>
      </c>
      <c r="C3501" s="4">
        <v>20</v>
      </c>
      <c r="D3501" s="21">
        <v>329</v>
      </c>
      <c r="F3501" s="57">
        <f t="shared" si="232"/>
        <v>0</v>
      </c>
    </row>
    <row r="3502" spans="1:6" x14ac:dyDescent="0.25">
      <c r="A3502" s="5" t="s">
        <v>23</v>
      </c>
      <c r="B3502" s="19">
        <v>44038</v>
      </c>
      <c r="C3502" s="4">
        <v>41</v>
      </c>
      <c r="D3502" s="21">
        <v>939</v>
      </c>
      <c r="F3502" s="57">
        <f>E3502+F3478</f>
        <v>9</v>
      </c>
    </row>
    <row r="3503" spans="1:6" x14ac:dyDescent="0.25">
      <c r="A3503" s="5" t="s">
        <v>39</v>
      </c>
      <c r="B3503" s="19">
        <v>44038</v>
      </c>
      <c r="C3503" s="4">
        <v>1</v>
      </c>
      <c r="D3503" s="21">
        <v>50</v>
      </c>
      <c r="F3503" s="57">
        <f>E3503+F3479</f>
        <v>1</v>
      </c>
    </row>
    <row r="3504" spans="1:6" x14ac:dyDescent="0.25">
      <c r="A3504" s="5" t="s">
        <v>40</v>
      </c>
      <c r="B3504" s="19">
        <v>44038</v>
      </c>
      <c r="C3504" s="4">
        <v>6</v>
      </c>
      <c r="D3504" s="21">
        <v>342</v>
      </c>
      <c r="F3504" s="57">
        <f>E3504+F3480</f>
        <v>1</v>
      </c>
    </row>
    <row r="3505" spans="1:6" x14ac:dyDescent="0.25">
      <c r="A3505" s="5" t="s">
        <v>41</v>
      </c>
      <c r="B3505" s="19">
        <v>44038</v>
      </c>
      <c r="C3505" s="4">
        <v>8</v>
      </c>
      <c r="D3505" s="21">
        <v>126</v>
      </c>
      <c r="F3505" s="57">
        <f>E3505+F3481</f>
        <v>4</v>
      </c>
    </row>
    <row r="3506" spans="1:6" x14ac:dyDescent="0.25">
      <c r="A3506" s="42" t="s">
        <v>17</v>
      </c>
      <c r="B3506" s="19">
        <v>44039</v>
      </c>
      <c r="C3506" s="4">
        <v>3351</v>
      </c>
      <c r="D3506" s="21">
        <v>98224</v>
      </c>
      <c r="E3506" s="4">
        <f>4+3+26+26</f>
        <v>59</v>
      </c>
      <c r="F3506" s="57">
        <f>E3506+F3482</f>
        <v>1588</v>
      </c>
    </row>
    <row r="3507" spans="1:6" x14ac:dyDescent="0.25">
      <c r="A3507" s="5" t="s">
        <v>29</v>
      </c>
      <c r="B3507" s="19">
        <v>44039</v>
      </c>
      <c r="C3507" s="4">
        <v>0</v>
      </c>
      <c r="D3507" s="21">
        <v>60</v>
      </c>
      <c r="F3507" s="57">
        <f t="shared" ref="F3507:F3513" si="233">E3507+F3483</f>
        <v>0</v>
      </c>
    </row>
    <row r="3508" spans="1:6" x14ac:dyDescent="0.25">
      <c r="A3508" s="5" t="s">
        <v>16</v>
      </c>
      <c r="B3508" s="19">
        <v>44039</v>
      </c>
      <c r="C3508" s="4">
        <v>32</v>
      </c>
      <c r="D3508" s="21">
        <v>3358</v>
      </c>
      <c r="E3508" s="4">
        <v>3</v>
      </c>
      <c r="F3508" s="57">
        <f t="shared" si="233"/>
        <v>136</v>
      </c>
    </row>
    <row r="3509" spans="1:6" x14ac:dyDescent="0.25">
      <c r="A3509" s="5" t="s">
        <v>30</v>
      </c>
      <c r="B3509" s="19">
        <v>44039</v>
      </c>
      <c r="C3509" s="4">
        <v>-1</v>
      </c>
      <c r="D3509" s="21">
        <v>264</v>
      </c>
      <c r="F3509" s="57">
        <f t="shared" si="233"/>
        <v>3</v>
      </c>
    </row>
    <row r="3510" spans="1:6" x14ac:dyDescent="0.25">
      <c r="A3510" s="5" t="s">
        <v>44</v>
      </c>
      <c r="B3510" s="19">
        <v>44039</v>
      </c>
      <c r="C3510" s="4">
        <v>1059</v>
      </c>
      <c r="D3510" s="21">
        <v>55025</v>
      </c>
      <c r="E3510" s="4">
        <v>54</v>
      </c>
      <c r="F3510" s="57">
        <f>E3510+F3486</f>
        <v>1096</v>
      </c>
    </row>
    <row r="3511" spans="1:6" x14ac:dyDescent="0.25">
      <c r="A3511" s="5" t="s">
        <v>21</v>
      </c>
      <c r="B3511" s="19">
        <v>44039</v>
      </c>
      <c r="C3511" s="4">
        <v>99</v>
      </c>
      <c r="D3511" s="21">
        <v>1874</v>
      </c>
      <c r="F3511" s="57">
        <f t="shared" si="233"/>
        <v>40</v>
      </c>
    </row>
    <row r="3512" spans="1:6" x14ac:dyDescent="0.25">
      <c r="A3512" s="5" t="s">
        <v>31</v>
      </c>
      <c r="B3512" s="19">
        <v>44039</v>
      </c>
      <c r="C3512" s="4">
        <v>14</v>
      </c>
      <c r="D3512" s="21">
        <v>153</v>
      </c>
      <c r="F3512" s="57">
        <f t="shared" si="233"/>
        <v>1</v>
      </c>
    </row>
    <row r="3513" spans="1:6" x14ac:dyDescent="0.25">
      <c r="A3513" s="5" t="s">
        <v>32</v>
      </c>
      <c r="B3513" s="19">
        <v>44039</v>
      </c>
      <c r="C3513" s="4">
        <v>4</v>
      </c>
      <c r="D3513" s="21">
        <v>764</v>
      </c>
      <c r="E3513" s="4">
        <v>1</v>
      </c>
      <c r="F3513" s="57">
        <f t="shared" si="233"/>
        <v>7</v>
      </c>
    </row>
    <row r="3514" spans="1:6" x14ac:dyDescent="0.25">
      <c r="A3514" s="5" t="s">
        <v>42</v>
      </c>
      <c r="B3514" s="19">
        <v>44039</v>
      </c>
      <c r="C3514" s="4">
        <v>0</v>
      </c>
      <c r="D3514" s="21">
        <v>81</v>
      </c>
      <c r="F3514" s="57">
        <f>E3514+F3490</f>
        <v>0</v>
      </c>
    </row>
    <row r="3515" spans="1:6" x14ac:dyDescent="0.25">
      <c r="A3515" s="5" t="s">
        <v>33</v>
      </c>
      <c r="B3515" s="19">
        <v>44039</v>
      </c>
      <c r="C3515" s="4">
        <v>92</v>
      </c>
      <c r="D3515" s="21">
        <v>1520</v>
      </c>
      <c r="F3515" s="57">
        <f t="shared" ref="F3515:F3525" si="234">E3515+F3490</f>
        <v>0</v>
      </c>
    </row>
    <row r="3516" spans="1:6" x14ac:dyDescent="0.25">
      <c r="A3516" s="5" t="s">
        <v>34</v>
      </c>
      <c r="B3516" s="19">
        <v>44039</v>
      </c>
      <c r="C3516" s="4">
        <v>10</v>
      </c>
      <c r="D3516" s="21">
        <v>50</v>
      </c>
      <c r="F3516" s="57">
        <f t="shared" si="234"/>
        <v>0</v>
      </c>
    </row>
    <row r="3517" spans="1:6" x14ac:dyDescent="0.25">
      <c r="A3517" s="5" t="s">
        <v>22</v>
      </c>
      <c r="B3517" s="19">
        <v>44039</v>
      </c>
      <c r="C3517" s="4">
        <v>10</v>
      </c>
      <c r="D3517" s="21">
        <v>249</v>
      </c>
      <c r="E3517" s="4">
        <v>1</v>
      </c>
      <c r="F3517" s="57">
        <f t="shared" si="234"/>
        <v>1</v>
      </c>
    </row>
    <row r="3518" spans="1:6" x14ac:dyDescent="0.25">
      <c r="A3518" s="5" t="s">
        <v>18</v>
      </c>
      <c r="B3518" s="19">
        <v>44039</v>
      </c>
      <c r="C3518" s="4">
        <v>61</v>
      </c>
      <c r="D3518" s="21">
        <v>878</v>
      </c>
      <c r="F3518" s="57">
        <f t="shared" si="234"/>
        <v>0</v>
      </c>
    </row>
    <row r="3519" spans="1:6" x14ac:dyDescent="0.25">
      <c r="A3519" s="5" t="s">
        <v>24</v>
      </c>
      <c r="B3519" s="19">
        <v>44039</v>
      </c>
      <c r="C3519" s="4">
        <v>-1</v>
      </c>
      <c r="D3519" s="21">
        <v>56</v>
      </c>
      <c r="F3519" s="57">
        <f t="shared" si="234"/>
        <v>3</v>
      </c>
    </row>
    <row r="3520" spans="1:6" x14ac:dyDescent="0.25">
      <c r="A3520" s="5" t="s">
        <v>20</v>
      </c>
      <c r="B3520" s="19">
        <v>44039</v>
      </c>
      <c r="C3520" s="4">
        <v>23</v>
      </c>
      <c r="D3520" s="21">
        <v>1065</v>
      </c>
      <c r="F3520" s="57">
        <f t="shared" si="234"/>
        <v>0</v>
      </c>
    </row>
    <row r="3521" spans="1:6" x14ac:dyDescent="0.25">
      <c r="A3521" s="5" t="s">
        <v>19</v>
      </c>
      <c r="B3521" s="19">
        <v>44039</v>
      </c>
      <c r="C3521" s="4">
        <v>62</v>
      </c>
      <c r="D3521" s="21">
        <v>1634</v>
      </c>
      <c r="E3521" s="4">
        <v>1</v>
      </c>
      <c r="F3521" s="57">
        <f t="shared" si="234"/>
        <v>32</v>
      </c>
    </row>
    <row r="3522" spans="1:6" x14ac:dyDescent="0.25">
      <c r="A3522" s="5" t="s">
        <v>35</v>
      </c>
      <c r="B3522" s="19">
        <v>44039</v>
      </c>
      <c r="C3522" s="4">
        <v>-15</v>
      </c>
      <c r="D3522" s="21">
        <v>228</v>
      </c>
      <c r="F3522" s="57">
        <f t="shared" si="234"/>
        <v>4</v>
      </c>
    </row>
    <row r="3523" spans="1:6" x14ac:dyDescent="0.25">
      <c r="A3523" s="5" t="s">
        <v>36</v>
      </c>
      <c r="B3523" s="19">
        <v>44039</v>
      </c>
      <c r="C3523" s="4">
        <v>1</v>
      </c>
      <c r="D3523" s="21">
        <v>22</v>
      </c>
      <c r="F3523" s="57">
        <f>E3523+F3499</f>
        <v>0</v>
      </c>
    </row>
    <row r="3524" spans="1:6" x14ac:dyDescent="0.25">
      <c r="A3524" s="5" t="s">
        <v>37</v>
      </c>
      <c r="B3524" s="19">
        <v>44039</v>
      </c>
      <c r="C3524" s="4">
        <v>1</v>
      </c>
      <c r="D3524" s="21">
        <v>20</v>
      </c>
      <c r="F3524" s="57">
        <f t="shared" si="234"/>
        <v>0</v>
      </c>
    </row>
    <row r="3525" spans="1:6" x14ac:dyDescent="0.25">
      <c r="A3525" s="5" t="s">
        <v>38</v>
      </c>
      <c r="B3525" s="19">
        <v>44039</v>
      </c>
      <c r="C3525" s="4">
        <v>15</v>
      </c>
      <c r="D3525" s="21">
        <v>344</v>
      </c>
      <c r="F3525" s="57">
        <f t="shared" si="234"/>
        <v>0</v>
      </c>
    </row>
    <row r="3526" spans="1:6" x14ac:dyDescent="0.25">
      <c r="A3526" s="5" t="s">
        <v>23</v>
      </c>
      <c r="B3526" s="19">
        <v>44039</v>
      </c>
      <c r="C3526" s="4">
        <v>33</v>
      </c>
      <c r="D3526" s="21">
        <v>972</v>
      </c>
      <c r="E3526" s="4">
        <v>2</v>
      </c>
      <c r="F3526" s="57">
        <f>E3526+F3502</f>
        <v>11</v>
      </c>
    </row>
    <row r="3527" spans="1:6" x14ac:dyDescent="0.25">
      <c r="A3527" s="5" t="s">
        <v>39</v>
      </c>
      <c r="B3527" s="19">
        <v>44039</v>
      </c>
      <c r="C3527" s="4">
        <v>-5</v>
      </c>
      <c r="D3527" s="21">
        <v>45</v>
      </c>
      <c r="F3527" s="57">
        <f>E3527+F3503</f>
        <v>1</v>
      </c>
    </row>
    <row r="3528" spans="1:6" x14ac:dyDescent="0.25">
      <c r="A3528" s="5" t="s">
        <v>40</v>
      </c>
      <c r="B3528" s="19">
        <v>44039</v>
      </c>
      <c r="C3528" s="4">
        <v>32</v>
      </c>
      <c r="D3528" s="21">
        <v>374</v>
      </c>
      <c r="F3528" s="57">
        <f>E3528+F3504</f>
        <v>1</v>
      </c>
    </row>
    <row r="3529" spans="1:6" x14ac:dyDescent="0.25">
      <c r="A3529" s="5" t="s">
        <v>41</v>
      </c>
      <c r="B3529" s="19">
        <v>44039</v>
      </c>
      <c r="C3529" s="4">
        <v>13</v>
      </c>
      <c r="D3529" s="21">
        <v>139</v>
      </c>
      <c r="F3529" s="57">
        <f>E3529+F3505</f>
        <v>4</v>
      </c>
    </row>
    <row r="3530" spans="1:6" x14ac:dyDescent="0.25">
      <c r="A3530" s="42" t="s">
        <v>17</v>
      </c>
      <c r="B3530" s="19">
        <v>44040</v>
      </c>
      <c r="C3530" s="4">
        <v>4167</v>
      </c>
      <c r="D3530" s="21">
        <v>102391</v>
      </c>
      <c r="E3530" s="4">
        <f>8+7+34+20</f>
        <v>69</v>
      </c>
      <c r="F3530" s="57">
        <f>E3530+F3506</f>
        <v>1657</v>
      </c>
    </row>
    <row r="3531" spans="1:6" x14ac:dyDescent="0.25">
      <c r="A3531" s="5" t="s">
        <v>29</v>
      </c>
      <c r="B3531" s="19">
        <v>44040</v>
      </c>
      <c r="C3531" s="4">
        <v>0</v>
      </c>
      <c r="D3531" s="21">
        <v>60</v>
      </c>
      <c r="F3531" s="57">
        <f t="shared" ref="F3531:F3537" si="235">E3531+F3507</f>
        <v>0</v>
      </c>
    </row>
    <row r="3532" spans="1:6" x14ac:dyDescent="0.25">
      <c r="A3532" s="5" t="s">
        <v>16</v>
      </c>
      <c r="B3532" s="19">
        <v>44040</v>
      </c>
      <c r="C3532" s="4">
        <v>18</v>
      </c>
      <c r="D3532" s="21">
        <v>3376</v>
      </c>
      <c r="F3532" s="57">
        <f t="shared" si="235"/>
        <v>136</v>
      </c>
    </row>
    <row r="3533" spans="1:6" x14ac:dyDescent="0.25">
      <c r="A3533" s="5" t="s">
        <v>30</v>
      </c>
      <c r="B3533" s="19">
        <v>44040</v>
      </c>
      <c r="C3533" s="4">
        <v>3</v>
      </c>
      <c r="D3533" s="21">
        <v>267</v>
      </c>
      <c r="F3533" s="57">
        <f t="shared" si="235"/>
        <v>3</v>
      </c>
    </row>
    <row r="3534" spans="1:6" x14ac:dyDescent="0.25">
      <c r="A3534" s="5" t="s">
        <v>44</v>
      </c>
      <c r="B3534" s="19">
        <v>44040</v>
      </c>
      <c r="C3534" s="4">
        <v>1202</v>
      </c>
      <c r="D3534" s="21">
        <v>56227</v>
      </c>
      <c r="E3534" s="4">
        <f>3+4+17+21</f>
        <v>45</v>
      </c>
      <c r="F3534" s="57">
        <f t="shared" si="235"/>
        <v>1141</v>
      </c>
    </row>
    <row r="3535" spans="1:6" x14ac:dyDescent="0.25">
      <c r="A3535" s="5" t="s">
        <v>21</v>
      </c>
      <c r="B3535" s="19">
        <v>44040</v>
      </c>
      <c r="C3535" s="4">
        <v>75</v>
      </c>
      <c r="D3535" s="21">
        <v>1949</v>
      </c>
      <c r="E3535" s="4">
        <v>2</v>
      </c>
      <c r="F3535" s="57">
        <f t="shared" si="235"/>
        <v>42</v>
      </c>
    </row>
    <row r="3536" spans="1:6" x14ac:dyDescent="0.25">
      <c r="A3536" s="5" t="s">
        <v>31</v>
      </c>
      <c r="B3536" s="19">
        <v>44040</v>
      </c>
      <c r="C3536" s="4">
        <v>-6</v>
      </c>
      <c r="D3536" s="21">
        <v>147</v>
      </c>
      <c r="F3536" s="57">
        <f t="shared" si="235"/>
        <v>1</v>
      </c>
    </row>
    <row r="3537" spans="1:6" x14ac:dyDescent="0.25">
      <c r="A3537" s="5" t="s">
        <v>32</v>
      </c>
      <c r="B3537" s="19">
        <v>44040</v>
      </c>
      <c r="C3537" s="4">
        <v>4</v>
      </c>
      <c r="D3537" s="21">
        <v>768</v>
      </c>
      <c r="F3537" s="57">
        <f t="shared" si="235"/>
        <v>7</v>
      </c>
    </row>
    <row r="3538" spans="1:6" x14ac:dyDescent="0.25">
      <c r="A3538" s="5" t="s">
        <v>42</v>
      </c>
      <c r="B3538" s="19">
        <v>44040</v>
      </c>
      <c r="C3538" s="4">
        <v>0</v>
      </c>
      <c r="D3538" s="21">
        <v>81</v>
      </c>
      <c r="F3538" s="57">
        <f>E3538+F3514</f>
        <v>0</v>
      </c>
    </row>
    <row r="3539" spans="1:6" x14ac:dyDescent="0.25">
      <c r="A3539" s="5" t="s">
        <v>33</v>
      </c>
      <c r="B3539" s="19">
        <v>44040</v>
      </c>
      <c r="C3539" s="4">
        <v>158</v>
      </c>
      <c r="D3539" s="21">
        <v>1678</v>
      </c>
      <c r="F3539" s="57">
        <f t="shared" ref="F3539:F3549" si="236">E3539+F3514</f>
        <v>0</v>
      </c>
    </row>
    <row r="3540" spans="1:6" x14ac:dyDescent="0.25">
      <c r="A3540" s="5" t="s">
        <v>34</v>
      </c>
      <c r="B3540" s="19">
        <v>44040</v>
      </c>
      <c r="C3540" s="4">
        <v>9</v>
      </c>
      <c r="D3540" s="21">
        <v>59</v>
      </c>
      <c r="F3540" s="57">
        <f t="shared" si="236"/>
        <v>0</v>
      </c>
    </row>
    <row r="3541" spans="1:6" x14ac:dyDescent="0.25">
      <c r="A3541" s="5" t="s">
        <v>22</v>
      </c>
      <c r="B3541" s="19">
        <v>44040</v>
      </c>
      <c r="C3541" s="4">
        <v>10</v>
      </c>
      <c r="D3541" s="21">
        <v>259</v>
      </c>
      <c r="F3541" s="57">
        <f t="shared" si="236"/>
        <v>0</v>
      </c>
    </row>
    <row r="3542" spans="1:6" x14ac:dyDescent="0.25">
      <c r="A3542" s="5" t="s">
        <v>18</v>
      </c>
      <c r="B3542" s="19">
        <v>44040</v>
      </c>
      <c r="C3542" s="4">
        <v>67</v>
      </c>
      <c r="D3542" s="21">
        <v>945</v>
      </c>
      <c r="E3542" s="4">
        <v>2</v>
      </c>
      <c r="F3542" s="57">
        <f t="shared" si="236"/>
        <v>3</v>
      </c>
    </row>
    <row r="3543" spans="1:6" x14ac:dyDescent="0.25">
      <c r="A3543" s="5" t="s">
        <v>24</v>
      </c>
      <c r="B3543" s="19">
        <v>44040</v>
      </c>
      <c r="C3543" s="4">
        <v>-4</v>
      </c>
      <c r="D3543" s="21">
        <v>52</v>
      </c>
      <c r="F3543" s="57">
        <f t="shared" si="236"/>
        <v>0</v>
      </c>
    </row>
    <row r="3544" spans="1:6" x14ac:dyDescent="0.25">
      <c r="A3544" s="5" t="s">
        <v>20</v>
      </c>
      <c r="B3544" s="19">
        <v>44040</v>
      </c>
      <c r="C3544" s="4">
        <v>21</v>
      </c>
      <c r="D3544" s="21">
        <v>1086</v>
      </c>
      <c r="F3544" s="57">
        <f t="shared" si="236"/>
        <v>3</v>
      </c>
    </row>
    <row r="3545" spans="1:6" x14ac:dyDescent="0.25">
      <c r="A3545" s="5" t="s">
        <v>19</v>
      </c>
      <c r="B3545" s="19">
        <v>44040</v>
      </c>
      <c r="C3545" s="4">
        <v>73</v>
      </c>
      <c r="D3545" s="21">
        <v>1707</v>
      </c>
      <c r="E3545" s="4">
        <v>2</v>
      </c>
      <c r="F3545" s="57">
        <f t="shared" si="236"/>
        <v>2</v>
      </c>
    </row>
    <row r="3546" spans="1:6" x14ac:dyDescent="0.25">
      <c r="A3546" s="5" t="s">
        <v>35</v>
      </c>
      <c r="B3546" s="19">
        <v>44040</v>
      </c>
      <c r="C3546" s="4">
        <v>8</v>
      </c>
      <c r="D3546" s="21">
        <v>236</v>
      </c>
      <c r="F3546" s="57">
        <f t="shared" si="236"/>
        <v>32</v>
      </c>
    </row>
    <row r="3547" spans="1:6" x14ac:dyDescent="0.25">
      <c r="A3547" s="5" t="s">
        <v>36</v>
      </c>
      <c r="B3547" s="19">
        <v>44040</v>
      </c>
      <c r="C3547" s="4">
        <v>-2</v>
      </c>
      <c r="D3547" s="21">
        <v>20</v>
      </c>
      <c r="F3547" s="57">
        <f>E3547+F3523</f>
        <v>0</v>
      </c>
    </row>
    <row r="3548" spans="1:6" x14ac:dyDescent="0.25">
      <c r="A3548" s="5" t="s">
        <v>37</v>
      </c>
      <c r="B3548" s="19">
        <v>44040</v>
      </c>
      <c r="C3548" s="4">
        <v>2</v>
      </c>
      <c r="D3548" s="21">
        <v>22</v>
      </c>
      <c r="F3548" s="57">
        <f t="shared" si="236"/>
        <v>0</v>
      </c>
    </row>
    <row r="3549" spans="1:6" x14ac:dyDescent="0.25">
      <c r="A3549" s="5" t="s">
        <v>38</v>
      </c>
      <c r="B3549" s="19">
        <v>44040</v>
      </c>
      <c r="C3549" s="4">
        <v>32</v>
      </c>
      <c r="D3549" s="21">
        <v>376</v>
      </c>
      <c r="F3549" s="57">
        <f t="shared" si="236"/>
        <v>0</v>
      </c>
    </row>
    <row r="3550" spans="1:6" x14ac:dyDescent="0.25">
      <c r="A3550" s="5" t="s">
        <v>23</v>
      </c>
      <c r="B3550" s="19">
        <v>44040</v>
      </c>
      <c r="C3550" s="4">
        <v>63</v>
      </c>
      <c r="D3550" s="21">
        <v>1035</v>
      </c>
      <c r="F3550" s="57">
        <f>E3550+F3526</f>
        <v>11</v>
      </c>
    </row>
    <row r="3551" spans="1:6" x14ac:dyDescent="0.25">
      <c r="A3551" s="5" t="s">
        <v>39</v>
      </c>
      <c r="B3551" s="19">
        <v>44040</v>
      </c>
      <c r="C3551" s="4">
        <v>-3</v>
      </c>
      <c r="D3551" s="21">
        <v>42</v>
      </c>
      <c r="F3551" s="57">
        <f>E3551+F3527</f>
        <v>1</v>
      </c>
    </row>
    <row r="3552" spans="1:6" x14ac:dyDescent="0.25">
      <c r="A3552" s="5" t="s">
        <v>40</v>
      </c>
      <c r="B3552" s="19">
        <v>44040</v>
      </c>
      <c r="C3552" s="4">
        <v>25</v>
      </c>
      <c r="D3552" s="21">
        <v>399</v>
      </c>
      <c r="F3552" s="57">
        <f>E3552+F3528</f>
        <v>1</v>
      </c>
    </row>
    <row r="3553" spans="1:6" x14ac:dyDescent="0.25">
      <c r="A3553" s="5" t="s">
        <v>41</v>
      </c>
      <c r="B3553" s="19">
        <v>44040</v>
      </c>
      <c r="C3553" s="4">
        <v>17</v>
      </c>
      <c r="D3553" s="21">
        <v>156</v>
      </c>
      <c r="F3553" s="57">
        <f>E3553+F3529</f>
        <v>4</v>
      </c>
    </row>
    <row r="3554" spans="1:6" x14ac:dyDescent="0.25">
      <c r="A3554" s="42" t="s">
        <v>17</v>
      </c>
      <c r="B3554" s="19">
        <v>44041</v>
      </c>
      <c r="C3554" s="4">
        <v>3852</v>
      </c>
      <c r="D3554" s="21">
        <v>106243</v>
      </c>
      <c r="E3554" s="4">
        <f>6+6+35+24</f>
        <v>71</v>
      </c>
      <c r="F3554" s="57">
        <f>E3554+F3530</f>
        <v>1728</v>
      </c>
    </row>
    <row r="3555" spans="1:6" x14ac:dyDescent="0.25">
      <c r="A3555" s="5" t="s">
        <v>29</v>
      </c>
      <c r="B3555" s="19">
        <v>44041</v>
      </c>
      <c r="C3555" s="4">
        <v>0</v>
      </c>
      <c r="D3555" s="21">
        <v>60</v>
      </c>
      <c r="F3555" s="57">
        <f t="shared" ref="F3555:F3561" si="237">E3555+F3531</f>
        <v>0</v>
      </c>
    </row>
    <row r="3556" spans="1:6" x14ac:dyDescent="0.25">
      <c r="A3556" s="5" t="s">
        <v>16</v>
      </c>
      <c r="B3556" s="19">
        <v>44041</v>
      </c>
      <c r="C3556" s="4">
        <v>52</v>
      </c>
      <c r="D3556" s="21">
        <v>3428</v>
      </c>
      <c r="E3556" s="4">
        <f>2+1</f>
        <v>3</v>
      </c>
      <c r="F3556" s="57">
        <f t="shared" si="237"/>
        <v>139</v>
      </c>
    </row>
    <row r="3557" spans="1:6" x14ac:dyDescent="0.25">
      <c r="A3557" s="5" t="s">
        <v>30</v>
      </c>
      <c r="B3557" s="19">
        <v>44041</v>
      </c>
      <c r="C3557" s="4">
        <v>3</v>
      </c>
      <c r="D3557" s="21">
        <v>270</v>
      </c>
      <c r="F3557" s="57">
        <f t="shared" si="237"/>
        <v>3</v>
      </c>
    </row>
    <row r="3558" spans="1:6" x14ac:dyDescent="0.25">
      <c r="A3558" s="5" t="s">
        <v>44</v>
      </c>
      <c r="B3558" s="19">
        <v>44041</v>
      </c>
      <c r="C3558" s="4">
        <v>1079</v>
      </c>
      <c r="D3558" s="21">
        <v>57306</v>
      </c>
      <c r="E3558" s="4">
        <v>29</v>
      </c>
      <c r="F3558" s="57">
        <f t="shared" si="237"/>
        <v>1170</v>
      </c>
    </row>
    <row r="3559" spans="1:6" x14ac:dyDescent="0.25">
      <c r="A3559" s="5" t="s">
        <v>21</v>
      </c>
      <c r="B3559" s="19">
        <v>44041</v>
      </c>
      <c r="C3559" s="4">
        <v>111</v>
      </c>
      <c r="D3559" s="21">
        <v>2060</v>
      </c>
      <c r="F3559" s="57">
        <f t="shared" si="237"/>
        <v>42</v>
      </c>
    </row>
    <row r="3560" spans="1:6" x14ac:dyDescent="0.25">
      <c r="A3560" s="5" t="s">
        <v>31</v>
      </c>
      <c r="B3560" s="19">
        <v>44041</v>
      </c>
      <c r="C3560" s="4">
        <v>16</v>
      </c>
      <c r="D3560" s="21">
        <v>163</v>
      </c>
      <c r="F3560" s="57">
        <f t="shared" si="237"/>
        <v>1</v>
      </c>
    </row>
    <row r="3561" spans="1:6" x14ac:dyDescent="0.25">
      <c r="A3561" s="5" t="s">
        <v>32</v>
      </c>
      <c r="B3561" s="19">
        <v>44041</v>
      </c>
      <c r="C3561" s="4">
        <v>15</v>
      </c>
      <c r="D3561" s="21">
        <v>783</v>
      </c>
      <c r="F3561" s="57">
        <f t="shared" si="237"/>
        <v>7</v>
      </c>
    </row>
    <row r="3562" spans="1:6" x14ac:dyDescent="0.25">
      <c r="A3562" s="5" t="s">
        <v>42</v>
      </c>
      <c r="B3562" s="19">
        <v>44041</v>
      </c>
      <c r="C3562" s="4">
        <v>1</v>
      </c>
      <c r="D3562" s="21">
        <v>82</v>
      </c>
      <c r="F3562" s="57">
        <f>E3562+F3538</f>
        <v>0</v>
      </c>
    </row>
    <row r="3563" spans="1:6" x14ac:dyDescent="0.25">
      <c r="A3563" s="5" t="s">
        <v>33</v>
      </c>
      <c r="B3563" s="19">
        <v>44041</v>
      </c>
      <c r="C3563" s="4">
        <v>172</v>
      </c>
      <c r="D3563" s="21">
        <v>1850</v>
      </c>
      <c r="F3563" s="57">
        <f t="shared" ref="F3563:F3573" si="238">E3563+F3538</f>
        <v>0</v>
      </c>
    </row>
    <row r="3564" spans="1:6" x14ac:dyDescent="0.25">
      <c r="A3564" s="5" t="s">
        <v>34</v>
      </c>
      <c r="B3564" s="19">
        <v>44041</v>
      </c>
      <c r="C3564" s="4">
        <v>10</v>
      </c>
      <c r="D3564" s="21">
        <v>69</v>
      </c>
      <c r="F3564" s="57">
        <f t="shared" si="238"/>
        <v>0</v>
      </c>
    </row>
    <row r="3565" spans="1:6" x14ac:dyDescent="0.25">
      <c r="A3565" s="5" t="s">
        <v>22</v>
      </c>
      <c r="B3565" s="19">
        <v>44041</v>
      </c>
      <c r="C3565" s="4">
        <v>31</v>
      </c>
      <c r="D3565" s="21">
        <v>290</v>
      </c>
      <c r="F3565" s="57">
        <f t="shared" si="238"/>
        <v>0</v>
      </c>
    </row>
    <row r="3566" spans="1:6" x14ac:dyDescent="0.25">
      <c r="A3566" s="5" t="s">
        <v>18</v>
      </c>
      <c r="B3566" s="19">
        <v>44041</v>
      </c>
      <c r="C3566" s="4">
        <v>65</v>
      </c>
      <c r="D3566" s="21">
        <v>1010</v>
      </c>
      <c r="E3566" s="4">
        <v>4</v>
      </c>
      <c r="F3566" s="57">
        <f t="shared" si="238"/>
        <v>4</v>
      </c>
    </row>
    <row r="3567" spans="1:6" x14ac:dyDescent="0.25">
      <c r="A3567" s="5" t="s">
        <v>24</v>
      </c>
      <c r="B3567" s="19">
        <v>44041</v>
      </c>
      <c r="C3567" s="4">
        <v>0</v>
      </c>
      <c r="D3567" s="21">
        <v>52</v>
      </c>
      <c r="F3567" s="57">
        <f t="shared" si="238"/>
        <v>3</v>
      </c>
    </row>
    <row r="3568" spans="1:6" x14ac:dyDescent="0.25">
      <c r="A3568" s="5" t="s">
        <v>20</v>
      </c>
      <c r="B3568" s="19">
        <v>44041</v>
      </c>
      <c r="C3568" s="4">
        <v>30</v>
      </c>
      <c r="D3568" s="21">
        <v>1116</v>
      </c>
      <c r="F3568" s="57">
        <f t="shared" si="238"/>
        <v>0</v>
      </c>
    </row>
    <row r="3569" spans="1:6" x14ac:dyDescent="0.25">
      <c r="A3569" s="5" t="s">
        <v>19</v>
      </c>
      <c r="B3569" s="19">
        <v>44041</v>
      </c>
      <c r="C3569" s="4">
        <v>55</v>
      </c>
      <c r="D3569" s="21">
        <v>1762</v>
      </c>
      <c r="E3569" s="4">
        <f>1</f>
        <v>1</v>
      </c>
      <c r="F3569" s="57">
        <f t="shared" si="238"/>
        <v>4</v>
      </c>
    </row>
    <row r="3570" spans="1:6" x14ac:dyDescent="0.25">
      <c r="A3570" s="5" t="s">
        <v>35</v>
      </c>
      <c r="B3570" s="19">
        <v>44041</v>
      </c>
      <c r="C3570" s="4">
        <v>9</v>
      </c>
      <c r="D3570" s="21">
        <v>245</v>
      </c>
      <c r="F3570" s="57">
        <f t="shared" si="238"/>
        <v>2</v>
      </c>
    </row>
    <row r="3571" spans="1:6" x14ac:dyDescent="0.25">
      <c r="A3571" s="5" t="s">
        <v>36</v>
      </c>
      <c r="B3571" s="19">
        <v>44041</v>
      </c>
      <c r="C3571" s="4">
        <v>0</v>
      </c>
      <c r="D3571" s="21">
        <v>20</v>
      </c>
      <c r="F3571" s="57">
        <f>E3571+F3547</f>
        <v>0</v>
      </c>
    </row>
    <row r="3572" spans="1:6" x14ac:dyDescent="0.25">
      <c r="A3572" s="5" t="s">
        <v>37</v>
      </c>
      <c r="B3572" s="19">
        <v>44041</v>
      </c>
      <c r="C3572" s="4">
        <v>2</v>
      </c>
      <c r="D3572" s="21">
        <v>24</v>
      </c>
      <c r="F3572" s="57">
        <f t="shared" si="238"/>
        <v>0</v>
      </c>
    </row>
    <row r="3573" spans="1:6" x14ac:dyDescent="0.25">
      <c r="A3573" s="5" t="s">
        <v>38</v>
      </c>
      <c r="B3573" s="19">
        <v>44041</v>
      </c>
      <c r="C3573" s="4">
        <v>44</v>
      </c>
      <c r="D3573" s="21">
        <v>420</v>
      </c>
      <c r="F3573" s="57">
        <f t="shared" si="238"/>
        <v>0</v>
      </c>
    </row>
    <row r="3574" spans="1:6" x14ac:dyDescent="0.25">
      <c r="A3574" s="5" t="s">
        <v>23</v>
      </c>
      <c r="B3574" s="19">
        <v>44041</v>
      </c>
      <c r="C3574" s="4">
        <v>68</v>
      </c>
      <c r="D3574" s="21">
        <v>1103</v>
      </c>
      <c r="E3574" s="4">
        <v>1</v>
      </c>
      <c r="F3574" s="57">
        <f>E3574+F3550</f>
        <v>12</v>
      </c>
    </row>
    <row r="3575" spans="1:6" x14ac:dyDescent="0.25">
      <c r="A3575" s="5" t="s">
        <v>39</v>
      </c>
      <c r="B3575" s="19">
        <v>44041</v>
      </c>
      <c r="C3575" s="4">
        <v>2</v>
      </c>
      <c r="D3575" s="21">
        <v>44</v>
      </c>
      <c r="F3575" s="57">
        <f>E3575+F3551</f>
        <v>1</v>
      </c>
    </row>
    <row r="3576" spans="1:6" x14ac:dyDescent="0.25">
      <c r="A3576" s="5" t="s">
        <v>40</v>
      </c>
      <c r="B3576" s="19">
        <v>44041</v>
      </c>
      <c r="C3576" s="4">
        <v>14</v>
      </c>
      <c r="D3576" s="21">
        <v>413</v>
      </c>
      <c r="F3576" s="57">
        <f>E3576+F3552</f>
        <v>1</v>
      </c>
    </row>
    <row r="3577" spans="1:6" x14ac:dyDescent="0.25">
      <c r="A3577" s="5" t="s">
        <v>41</v>
      </c>
      <c r="B3577" s="19">
        <v>44041</v>
      </c>
      <c r="C3577" s="4">
        <v>10</v>
      </c>
      <c r="D3577" s="21">
        <v>166</v>
      </c>
      <c r="F3577" s="57">
        <f>E3577+F3553</f>
        <v>4</v>
      </c>
    </row>
    <row r="3578" spans="1:6" x14ac:dyDescent="0.25">
      <c r="A3578" s="42" t="s">
        <v>17</v>
      </c>
      <c r="B3578" s="19">
        <v>44042</v>
      </c>
      <c r="C3578" s="4">
        <v>4415</v>
      </c>
      <c r="D3578" s="21">
        <v>110658</v>
      </c>
      <c r="E3578" s="4">
        <f>5+8+49+54</f>
        <v>116</v>
      </c>
      <c r="F3578" s="57">
        <f>E3578+F3554</f>
        <v>1844</v>
      </c>
    </row>
    <row r="3579" spans="1:6" x14ac:dyDescent="0.25">
      <c r="A3579" s="5" t="s">
        <v>29</v>
      </c>
      <c r="B3579" s="19">
        <v>44042</v>
      </c>
      <c r="C3579" s="4">
        <v>1</v>
      </c>
      <c r="D3579" s="21">
        <v>61</v>
      </c>
      <c r="F3579" s="57">
        <f t="shared" ref="F3579:F3585" si="239">E3579+F3555</f>
        <v>0</v>
      </c>
    </row>
    <row r="3580" spans="1:6" x14ac:dyDescent="0.25">
      <c r="A3580" s="5" t="s">
        <v>16</v>
      </c>
      <c r="B3580" s="19">
        <v>44042</v>
      </c>
      <c r="C3580" s="4">
        <v>93</v>
      </c>
      <c r="D3580" s="21">
        <v>3521</v>
      </c>
      <c r="F3580" s="57">
        <f t="shared" si="239"/>
        <v>139</v>
      </c>
    </row>
    <row r="3581" spans="1:6" x14ac:dyDescent="0.25">
      <c r="A3581" s="5" t="s">
        <v>30</v>
      </c>
      <c r="B3581" s="19">
        <v>44042</v>
      </c>
      <c r="C3581" s="4">
        <v>5</v>
      </c>
      <c r="D3581" s="21">
        <v>275</v>
      </c>
      <c r="F3581" s="57">
        <f t="shared" si="239"/>
        <v>3</v>
      </c>
    </row>
    <row r="3582" spans="1:6" x14ac:dyDescent="0.25">
      <c r="A3582" s="5" t="s">
        <v>44</v>
      </c>
      <c r="B3582" s="19">
        <v>44042</v>
      </c>
      <c r="C3582" s="4">
        <v>1239</v>
      </c>
      <c r="D3582" s="21">
        <v>58545</v>
      </c>
      <c r="E3582" s="4">
        <f>4+2+18+8</f>
        <v>32</v>
      </c>
      <c r="F3582" s="57">
        <f t="shared" si="239"/>
        <v>1202</v>
      </c>
    </row>
    <row r="3583" spans="1:6" x14ac:dyDescent="0.25">
      <c r="A3583" s="5" t="s">
        <v>21</v>
      </c>
      <c r="B3583" s="19">
        <v>44042</v>
      </c>
      <c r="C3583" s="4">
        <v>91</v>
      </c>
      <c r="D3583" s="21">
        <v>2151</v>
      </c>
      <c r="E3583" s="4">
        <v>1</v>
      </c>
      <c r="F3583" s="57">
        <f t="shared" si="239"/>
        <v>43</v>
      </c>
    </row>
    <row r="3584" spans="1:6" x14ac:dyDescent="0.25">
      <c r="A3584" s="5" t="s">
        <v>31</v>
      </c>
      <c r="B3584" s="19">
        <v>44042</v>
      </c>
      <c r="C3584" s="4">
        <v>3</v>
      </c>
      <c r="D3584" s="21">
        <v>166</v>
      </c>
      <c r="F3584" s="57">
        <f t="shared" si="239"/>
        <v>1</v>
      </c>
    </row>
    <row r="3585" spans="1:6" x14ac:dyDescent="0.25">
      <c r="A3585" s="5" t="s">
        <v>32</v>
      </c>
      <c r="B3585" s="19">
        <v>44042</v>
      </c>
      <c r="C3585" s="4">
        <v>20</v>
      </c>
      <c r="D3585" s="21">
        <v>803</v>
      </c>
      <c r="F3585" s="57">
        <f t="shared" si="239"/>
        <v>7</v>
      </c>
    </row>
    <row r="3586" spans="1:6" x14ac:dyDescent="0.25">
      <c r="A3586" s="5" t="s">
        <v>42</v>
      </c>
      <c r="B3586" s="19">
        <v>44042</v>
      </c>
      <c r="C3586" s="4">
        <v>0</v>
      </c>
      <c r="D3586" s="21">
        <v>82</v>
      </c>
      <c r="F3586" s="57">
        <f>E3586+F3562</f>
        <v>0</v>
      </c>
    </row>
    <row r="3587" spans="1:6" x14ac:dyDescent="0.25">
      <c r="A3587" s="5" t="s">
        <v>33</v>
      </c>
      <c r="B3587" s="19">
        <v>44042</v>
      </c>
      <c r="C3587" s="4">
        <v>161</v>
      </c>
      <c r="D3587" s="21">
        <v>2011</v>
      </c>
      <c r="F3587" s="57">
        <f t="shared" ref="F3587:F3596" si="240">E3587+F3562</f>
        <v>0</v>
      </c>
    </row>
    <row r="3588" spans="1:6" x14ac:dyDescent="0.25">
      <c r="A3588" s="5" t="s">
        <v>34</v>
      </c>
      <c r="B3588" s="19">
        <v>44042</v>
      </c>
      <c r="C3588" s="4">
        <v>6</v>
      </c>
      <c r="D3588" s="21">
        <v>75</v>
      </c>
      <c r="F3588" s="57">
        <f t="shared" si="240"/>
        <v>0</v>
      </c>
    </row>
    <row r="3589" spans="1:6" x14ac:dyDescent="0.25">
      <c r="A3589" s="5" t="s">
        <v>22</v>
      </c>
      <c r="B3589" s="19">
        <v>44042</v>
      </c>
      <c r="C3589" s="4">
        <v>11</v>
      </c>
      <c r="D3589" s="21">
        <v>301</v>
      </c>
      <c r="F3589" s="57">
        <f t="shared" si="240"/>
        <v>0</v>
      </c>
    </row>
    <row r="3590" spans="1:6" x14ac:dyDescent="0.25">
      <c r="A3590" s="5" t="s">
        <v>18</v>
      </c>
      <c r="B3590" s="19">
        <v>44042</v>
      </c>
      <c r="C3590" s="4">
        <v>77</v>
      </c>
      <c r="D3590" s="21">
        <v>1087</v>
      </c>
      <c r="E3590" s="4">
        <v>1</v>
      </c>
      <c r="F3590" s="57">
        <f t="shared" si="240"/>
        <v>1</v>
      </c>
    </row>
    <row r="3591" spans="1:6" x14ac:dyDescent="0.25">
      <c r="A3591" s="5" t="s">
        <v>24</v>
      </c>
      <c r="B3591" s="19">
        <v>44042</v>
      </c>
      <c r="C3591" s="4">
        <v>1</v>
      </c>
      <c r="D3591" s="21">
        <v>53</v>
      </c>
      <c r="F3591" s="57">
        <f t="shared" si="240"/>
        <v>4</v>
      </c>
    </row>
    <row r="3592" spans="1:6" x14ac:dyDescent="0.25">
      <c r="A3592" s="5" t="s">
        <v>20</v>
      </c>
      <c r="B3592" s="19">
        <v>44042</v>
      </c>
      <c r="C3592" s="4">
        <v>27</v>
      </c>
      <c r="D3592" s="21">
        <v>1143</v>
      </c>
      <c r="F3592" s="57">
        <f t="shared" si="240"/>
        <v>3</v>
      </c>
    </row>
    <row r="3593" spans="1:6" x14ac:dyDescent="0.25">
      <c r="A3593" s="5" t="s">
        <v>19</v>
      </c>
      <c r="B3593" s="19">
        <v>44042</v>
      </c>
      <c r="C3593" s="4">
        <v>81</v>
      </c>
      <c r="D3593" s="21">
        <v>1843</v>
      </c>
      <c r="E3593" s="4">
        <v>2</v>
      </c>
      <c r="F3593" s="57">
        <f t="shared" si="240"/>
        <v>2</v>
      </c>
    </row>
    <row r="3594" spans="1:6" x14ac:dyDescent="0.25">
      <c r="A3594" s="5" t="s">
        <v>35</v>
      </c>
      <c r="B3594" s="19">
        <v>44042</v>
      </c>
      <c r="C3594" s="4">
        <v>11</v>
      </c>
      <c r="D3594" s="21">
        <v>256</v>
      </c>
      <c r="F3594" s="57">
        <f t="shared" si="240"/>
        <v>4</v>
      </c>
    </row>
    <row r="3595" spans="1:6" x14ac:dyDescent="0.25">
      <c r="A3595" s="5" t="s">
        <v>36</v>
      </c>
      <c r="B3595" s="19">
        <v>44042</v>
      </c>
      <c r="C3595" s="4">
        <v>1</v>
      </c>
      <c r="D3595" s="21">
        <v>21</v>
      </c>
      <c r="F3595" s="57">
        <f>E3595+F3571</f>
        <v>0</v>
      </c>
    </row>
    <row r="3596" spans="1:6" x14ac:dyDescent="0.25">
      <c r="A3596" s="5" t="s">
        <v>37</v>
      </c>
      <c r="B3596" s="19">
        <v>44042</v>
      </c>
      <c r="C3596" s="4">
        <v>3</v>
      </c>
      <c r="D3596" s="21">
        <v>27</v>
      </c>
      <c r="F3596" s="57">
        <f t="shared" si="240"/>
        <v>0</v>
      </c>
    </row>
    <row r="3597" spans="1:6" x14ac:dyDescent="0.25">
      <c r="A3597" s="5" t="s">
        <v>38</v>
      </c>
      <c r="B3597" s="19">
        <v>44042</v>
      </c>
      <c r="C3597" s="4">
        <v>9</v>
      </c>
      <c r="D3597" s="21">
        <v>429</v>
      </c>
      <c r="E3597" s="4">
        <v>1</v>
      </c>
      <c r="F3597" s="57">
        <f t="shared" ref="F3597:F3602" si="241">E3597+F3573</f>
        <v>1</v>
      </c>
    </row>
    <row r="3598" spans="1:6" x14ac:dyDescent="0.25">
      <c r="A3598" s="5" t="s">
        <v>23</v>
      </c>
      <c r="B3598" s="19">
        <v>44042</v>
      </c>
      <c r="C3598" s="4">
        <v>50</v>
      </c>
      <c r="D3598" s="21">
        <v>1153</v>
      </c>
      <c r="F3598" s="57">
        <f t="shared" si="241"/>
        <v>12</v>
      </c>
    </row>
    <row r="3599" spans="1:6" x14ac:dyDescent="0.25">
      <c r="A3599" s="5" t="s">
        <v>39</v>
      </c>
      <c r="B3599" s="19">
        <v>44042</v>
      </c>
      <c r="C3599" s="4">
        <v>2</v>
      </c>
      <c r="D3599" s="21">
        <v>46</v>
      </c>
      <c r="F3599" s="57">
        <f t="shared" si="241"/>
        <v>1</v>
      </c>
    </row>
    <row r="3600" spans="1:6" x14ac:dyDescent="0.25">
      <c r="A3600" s="5" t="s">
        <v>40</v>
      </c>
      <c r="B3600" s="19">
        <v>44042</v>
      </c>
      <c r="C3600" s="4">
        <v>33</v>
      </c>
      <c r="D3600" s="21">
        <v>446</v>
      </c>
      <c r="F3600" s="57">
        <f t="shared" si="241"/>
        <v>1</v>
      </c>
    </row>
    <row r="3601" spans="1:6" x14ac:dyDescent="0.25">
      <c r="A3601" s="5" t="s">
        <v>41</v>
      </c>
      <c r="B3601" s="19">
        <v>44042</v>
      </c>
      <c r="C3601" s="4">
        <v>37</v>
      </c>
      <c r="D3601" s="21">
        <v>203</v>
      </c>
      <c r="F3601" s="57">
        <f t="shared" si="241"/>
        <v>4</v>
      </c>
    </row>
    <row r="3602" spans="1:6" x14ac:dyDescent="0.25">
      <c r="A3602" s="42" t="s">
        <v>17</v>
      </c>
      <c r="B3602" s="19">
        <v>44043</v>
      </c>
      <c r="C3602" s="4">
        <v>3911</v>
      </c>
      <c r="D3602" s="21">
        <v>114569</v>
      </c>
      <c r="E3602" s="4">
        <v>67</v>
      </c>
      <c r="F3602" s="57">
        <f t="shared" si="241"/>
        <v>1911</v>
      </c>
    </row>
    <row r="3603" spans="1:6" x14ac:dyDescent="0.25">
      <c r="A3603" s="5" t="s">
        <v>29</v>
      </c>
      <c r="B3603" s="19">
        <v>44043</v>
      </c>
      <c r="C3603" s="4">
        <v>0</v>
      </c>
      <c r="D3603" s="21">
        <v>61</v>
      </c>
      <c r="F3603" s="57">
        <f t="shared" ref="F3603:F3609" si="242">E3603+F3579</f>
        <v>0</v>
      </c>
    </row>
    <row r="3604" spans="1:6" x14ac:dyDescent="0.25">
      <c r="A3604" s="5" t="s">
        <v>16</v>
      </c>
      <c r="B3604" s="19">
        <v>44043</v>
      </c>
      <c r="C3604" s="4">
        <v>58</v>
      </c>
      <c r="D3604" s="21">
        <v>3579</v>
      </c>
      <c r="E3604" s="4">
        <v>2</v>
      </c>
      <c r="F3604" s="57">
        <f t="shared" si="242"/>
        <v>141</v>
      </c>
    </row>
    <row r="3605" spans="1:6" x14ac:dyDescent="0.25">
      <c r="A3605" s="5" t="s">
        <v>30</v>
      </c>
      <c r="B3605" s="19">
        <v>44043</v>
      </c>
      <c r="C3605" s="4">
        <v>1</v>
      </c>
      <c r="D3605" s="21">
        <v>276</v>
      </c>
      <c r="E3605" s="4">
        <v>1</v>
      </c>
      <c r="F3605" s="57">
        <f t="shared" si="242"/>
        <v>4</v>
      </c>
    </row>
    <row r="3606" spans="1:6" x14ac:dyDescent="0.25">
      <c r="A3606" s="5" t="s">
        <v>44</v>
      </c>
      <c r="B3606" s="19">
        <v>44043</v>
      </c>
      <c r="C3606" s="4">
        <v>1142</v>
      </c>
      <c r="D3606" s="21">
        <v>59687</v>
      </c>
      <c r="E3606" s="4">
        <f>7+6+9+4</f>
        <v>26</v>
      </c>
      <c r="F3606" s="57">
        <f t="shared" si="242"/>
        <v>1228</v>
      </c>
    </row>
    <row r="3607" spans="1:6" x14ac:dyDescent="0.25">
      <c r="A3607" s="5" t="s">
        <v>21</v>
      </c>
      <c r="B3607" s="19">
        <v>44043</v>
      </c>
      <c r="C3607" s="4">
        <v>108</v>
      </c>
      <c r="D3607" s="21">
        <v>2259</v>
      </c>
      <c r="F3607" s="57">
        <f t="shared" si="242"/>
        <v>43</v>
      </c>
    </row>
    <row r="3608" spans="1:6" x14ac:dyDescent="0.25">
      <c r="A3608" s="5" t="s">
        <v>31</v>
      </c>
      <c r="B3608" s="19">
        <v>44043</v>
      </c>
      <c r="C3608" s="4">
        <v>3</v>
      </c>
      <c r="D3608" s="21">
        <v>169</v>
      </c>
      <c r="F3608" s="57">
        <f t="shared" si="242"/>
        <v>1</v>
      </c>
    </row>
    <row r="3609" spans="1:6" x14ac:dyDescent="0.25">
      <c r="A3609" s="5" t="s">
        <v>32</v>
      </c>
      <c r="B3609" s="19">
        <v>44043</v>
      </c>
      <c r="C3609" s="4">
        <v>9</v>
      </c>
      <c r="D3609" s="21">
        <v>812</v>
      </c>
      <c r="E3609" s="4">
        <v>1</v>
      </c>
      <c r="F3609" s="57">
        <f t="shared" si="242"/>
        <v>8</v>
      </c>
    </row>
    <row r="3610" spans="1:6" x14ac:dyDescent="0.25">
      <c r="A3610" s="5" t="s">
        <v>42</v>
      </c>
      <c r="B3610" s="19">
        <v>44043</v>
      </c>
      <c r="C3610" s="4">
        <v>0</v>
      </c>
      <c r="D3610" s="21">
        <v>82</v>
      </c>
      <c r="F3610" s="57">
        <f>E3610+F3586</f>
        <v>0</v>
      </c>
    </row>
    <row r="3611" spans="1:6" x14ac:dyDescent="0.25">
      <c r="A3611" s="5" t="s">
        <v>33</v>
      </c>
      <c r="B3611" s="19">
        <v>44043</v>
      </c>
      <c r="C3611" s="4">
        <v>238</v>
      </c>
      <c r="D3611" s="21">
        <v>2249</v>
      </c>
      <c r="F3611" s="57">
        <f t="shared" ref="F3611:F3620" si="243">E3611+F3586</f>
        <v>0</v>
      </c>
    </row>
    <row r="3612" spans="1:6" x14ac:dyDescent="0.25">
      <c r="A3612" s="5" t="s">
        <v>34</v>
      </c>
      <c r="B3612" s="19">
        <v>44043</v>
      </c>
      <c r="C3612" s="4">
        <v>42</v>
      </c>
      <c r="D3612" s="21">
        <v>117</v>
      </c>
      <c r="F3612" s="57">
        <f t="shared" si="243"/>
        <v>0</v>
      </c>
    </row>
    <row r="3613" spans="1:6" x14ac:dyDescent="0.25">
      <c r="A3613" s="5" t="s">
        <v>22</v>
      </c>
      <c r="B3613" s="19">
        <v>44043</v>
      </c>
      <c r="C3613" s="4">
        <v>36</v>
      </c>
      <c r="D3613" s="21">
        <v>337</v>
      </c>
      <c r="F3613" s="57">
        <f t="shared" si="243"/>
        <v>0</v>
      </c>
    </row>
    <row r="3614" spans="1:6" x14ac:dyDescent="0.25">
      <c r="A3614" s="5" t="s">
        <v>18</v>
      </c>
      <c r="B3614" s="19">
        <v>44043</v>
      </c>
      <c r="C3614" s="4">
        <v>124</v>
      </c>
      <c r="D3614" s="21">
        <v>1211</v>
      </c>
      <c r="E3614" s="4">
        <v>1</v>
      </c>
      <c r="F3614" s="57">
        <f t="shared" si="243"/>
        <v>1</v>
      </c>
    </row>
    <row r="3615" spans="1:6" x14ac:dyDescent="0.25">
      <c r="A3615" s="5" t="s">
        <v>24</v>
      </c>
      <c r="B3615" s="19">
        <v>44043</v>
      </c>
      <c r="C3615" s="4">
        <v>6</v>
      </c>
      <c r="D3615" s="21">
        <v>59</v>
      </c>
      <c r="F3615" s="57">
        <f t="shared" si="243"/>
        <v>1</v>
      </c>
    </row>
    <row r="3616" spans="1:6" x14ac:dyDescent="0.25">
      <c r="A3616" s="5" t="s">
        <v>20</v>
      </c>
      <c r="B3616" s="19">
        <v>44043</v>
      </c>
      <c r="C3616" s="4">
        <v>35</v>
      </c>
      <c r="D3616" s="21">
        <v>1178</v>
      </c>
      <c r="F3616" s="57">
        <f t="shared" si="243"/>
        <v>4</v>
      </c>
    </row>
    <row r="3617" spans="1:6" x14ac:dyDescent="0.25">
      <c r="A3617" s="5" t="s">
        <v>19</v>
      </c>
      <c r="B3617" s="19">
        <v>44043</v>
      </c>
      <c r="C3617" s="4">
        <v>104</v>
      </c>
      <c r="D3617" s="21">
        <v>1947</v>
      </c>
      <c r="E3617" s="4">
        <v>2</v>
      </c>
      <c r="F3617" s="57">
        <f t="shared" si="243"/>
        <v>5</v>
      </c>
    </row>
    <row r="3618" spans="1:6" x14ac:dyDescent="0.25">
      <c r="A3618" s="5" t="s">
        <v>35</v>
      </c>
      <c r="B3618" s="19">
        <v>44043</v>
      </c>
      <c r="C3618" s="4">
        <v>7</v>
      </c>
      <c r="D3618" s="21">
        <v>263</v>
      </c>
      <c r="F3618" s="57">
        <f t="shared" si="243"/>
        <v>2</v>
      </c>
    </row>
    <row r="3619" spans="1:6" x14ac:dyDescent="0.25">
      <c r="A3619" s="5" t="s">
        <v>36</v>
      </c>
      <c r="B3619" s="19">
        <v>44043</v>
      </c>
      <c r="C3619" s="4">
        <v>-1</v>
      </c>
      <c r="D3619" s="21">
        <v>20</v>
      </c>
      <c r="F3619" s="57">
        <f>E3619+F3595</f>
        <v>0</v>
      </c>
    </row>
    <row r="3620" spans="1:6" x14ac:dyDescent="0.25">
      <c r="A3620" s="5" t="s">
        <v>37</v>
      </c>
      <c r="B3620" s="19">
        <v>44043</v>
      </c>
      <c r="C3620" s="4">
        <v>-1</v>
      </c>
      <c r="D3620" s="21">
        <v>26</v>
      </c>
      <c r="F3620" s="57">
        <f t="shared" si="243"/>
        <v>0</v>
      </c>
    </row>
    <row r="3621" spans="1:6" x14ac:dyDescent="0.25">
      <c r="A3621" s="5" t="s">
        <v>38</v>
      </c>
      <c r="B3621" s="19">
        <v>44043</v>
      </c>
      <c r="C3621" s="4">
        <v>25</v>
      </c>
      <c r="D3621" s="21">
        <v>454</v>
      </c>
      <c r="E3621" s="4">
        <v>1</v>
      </c>
      <c r="F3621" s="57">
        <f t="shared" ref="F3621:F3626" si="244">E3621+F3597</f>
        <v>2</v>
      </c>
    </row>
    <row r="3622" spans="1:6" x14ac:dyDescent="0.25">
      <c r="A3622" s="5" t="s">
        <v>23</v>
      </c>
      <c r="B3622" s="19">
        <v>44043</v>
      </c>
      <c r="C3622" s="4">
        <v>63</v>
      </c>
      <c r="D3622" s="21">
        <v>1216</v>
      </c>
      <c r="E3622" s="4">
        <v>1</v>
      </c>
      <c r="F3622" s="57">
        <f t="shared" si="244"/>
        <v>13</v>
      </c>
    </row>
    <row r="3623" spans="1:6" x14ac:dyDescent="0.25">
      <c r="A3623" s="5" t="s">
        <v>39</v>
      </c>
      <c r="B3623" s="19">
        <v>44043</v>
      </c>
      <c r="C3623" s="4">
        <v>-1</v>
      </c>
      <c r="D3623" s="21">
        <v>45</v>
      </c>
      <c r="F3623" s="57">
        <f t="shared" si="244"/>
        <v>1</v>
      </c>
    </row>
    <row r="3624" spans="1:6" x14ac:dyDescent="0.25">
      <c r="A3624" s="5" t="s">
        <v>40</v>
      </c>
      <c r="B3624" s="19">
        <v>44043</v>
      </c>
      <c r="C3624" s="4">
        <v>12</v>
      </c>
      <c r="D3624" s="21">
        <v>458</v>
      </c>
      <c r="F3624" s="57">
        <f t="shared" si="244"/>
        <v>1</v>
      </c>
    </row>
    <row r="3625" spans="1:6" x14ac:dyDescent="0.25">
      <c r="A3625" s="5" t="s">
        <v>41</v>
      </c>
      <c r="B3625" s="19">
        <v>44043</v>
      </c>
      <c r="C3625" s="4">
        <v>8</v>
      </c>
      <c r="D3625" s="21">
        <v>211</v>
      </c>
      <c r="F3625" s="57">
        <f t="shared" si="244"/>
        <v>4</v>
      </c>
    </row>
    <row r="3626" spans="1:6" x14ac:dyDescent="0.25">
      <c r="A3626" s="42" t="s">
        <v>17</v>
      </c>
      <c r="B3626" s="19">
        <v>44044</v>
      </c>
      <c r="C3626" s="4">
        <v>3586</v>
      </c>
      <c r="D3626" s="21">
        <v>118155</v>
      </c>
      <c r="E3626" s="4">
        <v>35</v>
      </c>
      <c r="F3626" s="57">
        <f t="shared" si="244"/>
        <v>1946</v>
      </c>
    </row>
    <row r="3627" spans="1:6" x14ac:dyDescent="0.25">
      <c r="A3627" s="5" t="s">
        <v>29</v>
      </c>
      <c r="B3627" s="19">
        <v>44044</v>
      </c>
      <c r="C3627" s="4">
        <v>0</v>
      </c>
      <c r="D3627" s="21">
        <v>61</v>
      </c>
      <c r="F3627" s="57">
        <f t="shared" ref="F3627:F3633" si="245">E3627+F3603</f>
        <v>0</v>
      </c>
    </row>
    <row r="3628" spans="1:6" x14ac:dyDescent="0.25">
      <c r="A3628" s="5" t="s">
        <v>16</v>
      </c>
      <c r="B3628" s="19">
        <v>44044</v>
      </c>
      <c r="C3628" s="4">
        <v>59</v>
      </c>
      <c r="D3628" s="21">
        <v>3638</v>
      </c>
      <c r="F3628" s="57">
        <f t="shared" si="245"/>
        <v>141</v>
      </c>
    </row>
    <row r="3629" spans="1:6" x14ac:dyDescent="0.25">
      <c r="A3629" s="5" t="s">
        <v>30</v>
      </c>
      <c r="B3629" s="19">
        <v>44044</v>
      </c>
      <c r="C3629" s="4">
        <v>10</v>
      </c>
      <c r="D3629" s="21">
        <v>286</v>
      </c>
      <c r="F3629" s="57">
        <f t="shared" si="245"/>
        <v>4</v>
      </c>
    </row>
    <row r="3630" spans="1:6" x14ac:dyDescent="0.25">
      <c r="A3630" s="5" t="s">
        <v>44</v>
      </c>
      <c r="B3630" s="19">
        <v>44044</v>
      </c>
      <c r="C3630" s="4">
        <v>968</v>
      </c>
      <c r="D3630" s="21">
        <v>60655</v>
      </c>
      <c r="E3630" s="4">
        <v>13</v>
      </c>
      <c r="F3630" s="57">
        <f t="shared" si="245"/>
        <v>1241</v>
      </c>
    </row>
    <row r="3631" spans="1:6" x14ac:dyDescent="0.25">
      <c r="A3631" s="5" t="s">
        <v>21</v>
      </c>
      <c r="B3631" s="19">
        <v>44044</v>
      </c>
      <c r="C3631" s="4">
        <v>91</v>
      </c>
      <c r="D3631" s="21">
        <v>2350</v>
      </c>
      <c r="E3631" s="4">
        <v>2</v>
      </c>
      <c r="F3631" s="57">
        <f t="shared" si="245"/>
        <v>45</v>
      </c>
    </row>
    <row r="3632" spans="1:6" x14ac:dyDescent="0.25">
      <c r="A3632" s="5" t="s">
        <v>31</v>
      </c>
      <c r="B3632" s="19">
        <v>44044</v>
      </c>
      <c r="C3632" s="4">
        <v>25</v>
      </c>
      <c r="D3632" s="21">
        <v>194</v>
      </c>
      <c r="F3632" s="57">
        <f t="shared" si="245"/>
        <v>1</v>
      </c>
    </row>
    <row r="3633" spans="1:6" x14ac:dyDescent="0.25">
      <c r="A3633" s="5" t="s">
        <v>32</v>
      </c>
      <c r="B3633" s="19">
        <v>44044</v>
      </c>
      <c r="C3633" s="4">
        <v>14</v>
      </c>
      <c r="D3633" s="21">
        <v>826</v>
      </c>
      <c r="F3633" s="57">
        <f t="shared" si="245"/>
        <v>8</v>
      </c>
    </row>
    <row r="3634" spans="1:6" x14ac:dyDescent="0.25">
      <c r="A3634" s="5" t="s">
        <v>42</v>
      </c>
      <c r="B3634" s="19">
        <v>44044</v>
      </c>
      <c r="C3634" s="4">
        <v>0</v>
      </c>
      <c r="D3634" s="21">
        <v>82</v>
      </c>
      <c r="F3634" s="57">
        <f>E3634+F3610</f>
        <v>0</v>
      </c>
    </row>
    <row r="3635" spans="1:6" x14ac:dyDescent="0.25">
      <c r="A3635" s="5" t="s">
        <v>33</v>
      </c>
      <c r="B3635" s="19">
        <v>44044</v>
      </c>
      <c r="C3635" s="4">
        <v>85</v>
      </c>
      <c r="D3635" s="21">
        <v>2334</v>
      </c>
      <c r="F3635" s="57">
        <f t="shared" ref="F3635:F3644" si="246">E3635+F3610</f>
        <v>0</v>
      </c>
    </row>
    <row r="3636" spans="1:6" x14ac:dyDescent="0.25">
      <c r="A3636" s="5" t="s">
        <v>34</v>
      </c>
      <c r="B3636" s="19">
        <v>44044</v>
      </c>
      <c r="C3636" s="4">
        <v>29</v>
      </c>
      <c r="D3636" s="21">
        <v>146</v>
      </c>
      <c r="F3636" s="57">
        <f t="shared" si="246"/>
        <v>0</v>
      </c>
    </row>
    <row r="3637" spans="1:6" x14ac:dyDescent="0.25">
      <c r="A3637" s="5" t="s">
        <v>22</v>
      </c>
      <c r="B3637" s="19">
        <v>44044</v>
      </c>
      <c r="C3637" s="4">
        <v>3</v>
      </c>
      <c r="D3637" s="21">
        <v>340</v>
      </c>
      <c r="E3637" s="4">
        <v>2</v>
      </c>
      <c r="F3637" s="57">
        <f t="shared" si="246"/>
        <v>2</v>
      </c>
    </row>
    <row r="3638" spans="1:6" x14ac:dyDescent="0.25">
      <c r="A3638" s="5" t="s">
        <v>18</v>
      </c>
      <c r="B3638" s="19">
        <v>44044</v>
      </c>
      <c r="C3638" s="4">
        <v>84</v>
      </c>
      <c r="D3638" s="21">
        <v>1295</v>
      </c>
      <c r="E3638" s="4">
        <v>1</v>
      </c>
      <c r="F3638" s="57">
        <f t="shared" si="246"/>
        <v>1</v>
      </c>
    </row>
    <row r="3639" spans="1:6" x14ac:dyDescent="0.25">
      <c r="A3639" s="5" t="s">
        <v>24</v>
      </c>
      <c r="B3639" s="19">
        <v>44044</v>
      </c>
      <c r="C3639" s="4">
        <v>-1</v>
      </c>
      <c r="D3639" s="21">
        <v>58</v>
      </c>
      <c r="F3639" s="57">
        <f t="shared" si="246"/>
        <v>1</v>
      </c>
    </row>
    <row r="3640" spans="1:6" x14ac:dyDescent="0.25">
      <c r="A3640" s="5" t="s">
        <v>20</v>
      </c>
      <c r="B3640" s="19">
        <v>44044</v>
      </c>
      <c r="C3640" s="4">
        <v>8</v>
      </c>
      <c r="D3640" s="21">
        <v>1186</v>
      </c>
      <c r="F3640" s="57">
        <f t="shared" si="246"/>
        <v>1</v>
      </c>
    </row>
    <row r="3641" spans="1:6" x14ac:dyDescent="0.25">
      <c r="A3641" s="5" t="s">
        <v>19</v>
      </c>
      <c r="B3641" s="19">
        <v>44044</v>
      </c>
      <c r="C3641" s="4">
        <v>60</v>
      </c>
      <c r="D3641" s="21">
        <v>2007</v>
      </c>
      <c r="F3641" s="57">
        <f t="shared" si="246"/>
        <v>4</v>
      </c>
    </row>
    <row r="3642" spans="1:6" x14ac:dyDescent="0.25">
      <c r="A3642" s="5" t="s">
        <v>35</v>
      </c>
      <c r="B3642" s="19">
        <v>44044</v>
      </c>
      <c r="C3642" s="4">
        <v>22</v>
      </c>
      <c r="D3642" s="21">
        <v>285</v>
      </c>
      <c r="F3642" s="57">
        <f t="shared" si="246"/>
        <v>5</v>
      </c>
    </row>
    <row r="3643" spans="1:6" x14ac:dyDescent="0.25">
      <c r="A3643" s="5" t="s">
        <v>36</v>
      </c>
      <c r="B3643" s="19">
        <v>44044</v>
      </c>
      <c r="C3643" s="4">
        <v>0</v>
      </c>
      <c r="D3643" s="21">
        <v>20</v>
      </c>
      <c r="F3643" s="57">
        <f>E3643+F3619</f>
        <v>0</v>
      </c>
    </row>
    <row r="3644" spans="1:6" x14ac:dyDescent="0.25">
      <c r="A3644" s="5" t="s">
        <v>37</v>
      </c>
      <c r="B3644" s="19">
        <v>44044</v>
      </c>
      <c r="C3644" s="4">
        <v>2</v>
      </c>
      <c r="D3644" s="21">
        <v>28</v>
      </c>
      <c r="F3644" s="57">
        <f t="shared" si="246"/>
        <v>0</v>
      </c>
    </row>
    <row r="3645" spans="1:6" x14ac:dyDescent="0.25">
      <c r="A3645" s="5" t="s">
        <v>38</v>
      </c>
      <c r="B3645" s="19">
        <v>44044</v>
      </c>
      <c r="C3645" s="4">
        <v>49</v>
      </c>
      <c r="D3645" s="21">
        <v>503</v>
      </c>
      <c r="F3645" s="57">
        <f t="shared" ref="F3645:F3650" si="247">E3645+F3621</f>
        <v>2</v>
      </c>
    </row>
    <row r="3646" spans="1:6" x14ac:dyDescent="0.25">
      <c r="A3646" s="5" t="s">
        <v>23</v>
      </c>
      <c r="B3646" s="19">
        <v>44044</v>
      </c>
      <c r="C3646" s="4">
        <v>78</v>
      </c>
      <c r="D3646" s="21">
        <v>1294</v>
      </c>
      <c r="F3646" s="57">
        <f t="shared" si="247"/>
        <v>13</v>
      </c>
    </row>
    <row r="3647" spans="1:6" x14ac:dyDescent="0.25">
      <c r="A3647" s="5" t="s">
        <v>39</v>
      </c>
      <c r="B3647" s="19">
        <v>44044</v>
      </c>
      <c r="C3647" s="4">
        <v>2</v>
      </c>
      <c r="D3647" s="21">
        <v>47</v>
      </c>
      <c r="F3647" s="57">
        <f t="shared" si="247"/>
        <v>1</v>
      </c>
    </row>
    <row r="3648" spans="1:6" x14ac:dyDescent="0.25">
      <c r="A3648" s="5" t="s">
        <v>40</v>
      </c>
      <c r="B3648" s="19">
        <v>44044</v>
      </c>
      <c r="C3648" s="4">
        <v>47</v>
      </c>
      <c r="D3648" s="21">
        <v>505</v>
      </c>
      <c r="F3648" s="57">
        <f t="shared" si="247"/>
        <v>1</v>
      </c>
    </row>
    <row r="3649" spans="1:6" x14ac:dyDescent="0.25">
      <c r="A3649" s="5" t="s">
        <v>41</v>
      </c>
      <c r="B3649" s="19">
        <v>44044</v>
      </c>
      <c r="C3649" s="4">
        <v>20</v>
      </c>
      <c r="D3649" s="21">
        <v>231</v>
      </c>
      <c r="F3649" s="57">
        <f t="shared" si="247"/>
        <v>4</v>
      </c>
    </row>
    <row r="3650" spans="1:6" x14ac:dyDescent="0.25">
      <c r="A3650" s="42" t="s">
        <v>17</v>
      </c>
      <c r="B3650" s="19">
        <v>44045</v>
      </c>
      <c r="C3650" s="4">
        <v>3797</v>
      </c>
      <c r="D3650" s="21">
        <v>121952</v>
      </c>
      <c r="E3650" s="4">
        <v>35</v>
      </c>
      <c r="F3650" s="57">
        <f t="shared" si="247"/>
        <v>1981</v>
      </c>
    </row>
    <row r="3651" spans="1:6" x14ac:dyDescent="0.25">
      <c r="A3651" s="5" t="s">
        <v>29</v>
      </c>
      <c r="B3651" s="19">
        <v>44045</v>
      </c>
      <c r="C3651" s="4">
        <v>2</v>
      </c>
      <c r="D3651" s="21">
        <v>63</v>
      </c>
      <c r="F3651" s="57">
        <f t="shared" ref="F3651:F3657" si="248">E3651+F3627</f>
        <v>0</v>
      </c>
    </row>
    <row r="3652" spans="1:6" x14ac:dyDescent="0.25">
      <c r="A3652" s="5" t="s">
        <v>16</v>
      </c>
      <c r="B3652" s="19">
        <v>44045</v>
      </c>
      <c r="C3652" s="4">
        <v>33</v>
      </c>
      <c r="D3652" s="21">
        <v>3671</v>
      </c>
      <c r="E3652" s="4">
        <v>1</v>
      </c>
      <c r="F3652" s="57">
        <f t="shared" si="248"/>
        <v>142</v>
      </c>
    </row>
    <row r="3653" spans="1:6" x14ac:dyDescent="0.25">
      <c r="A3653" s="5" t="s">
        <v>30</v>
      </c>
      <c r="B3653" s="19">
        <v>44045</v>
      </c>
      <c r="C3653" s="4">
        <v>2</v>
      </c>
      <c r="D3653" s="21">
        <v>288</v>
      </c>
      <c r="F3653" s="57">
        <f t="shared" si="248"/>
        <v>4</v>
      </c>
    </row>
    <row r="3654" spans="1:6" x14ac:dyDescent="0.25">
      <c r="A3654" s="5" t="s">
        <v>44</v>
      </c>
      <c r="B3654" s="19">
        <v>44045</v>
      </c>
      <c r="C3654" s="4">
        <v>971</v>
      </c>
      <c r="D3654" s="21">
        <v>61626</v>
      </c>
      <c r="E3654" s="4">
        <v>6</v>
      </c>
      <c r="F3654" s="57">
        <f t="shared" si="248"/>
        <v>1247</v>
      </c>
    </row>
    <row r="3655" spans="1:6" x14ac:dyDescent="0.25">
      <c r="A3655" s="5" t="s">
        <v>21</v>
      </c>
      <c r="B3655" s="19">
        <v>44045</v>
      </c>
      <c r="C3655" s="4">
        <v>87</v>
      </c>
      <c r="D3655" s="21">
        <v>2437</v>
      </c>
      <c r="E3655" s="4">
        <v>1</v>
      </c>
      <c r="F3655" s="57">
        <f t="shared" si="248"/>
        <v>46</v>
      </c>
    </row>
    <row r="3656" spans="1:6" x14ac:dyDescent="0.25">
      <c r="A3656" s="5" t="s">
        <v>31</v>
      </c>
      <c r="B3656" s="19">
        <v>44045</v>
      </c>
      <c r="C3656" s="4">
        <v>4</v>
      </c>
      <c r="D3656" s="21">
        <v>198</v>
      </c>
      <c r="F3656" s="57">
        <f t="shared" si="248"/>
        <v>1</v>
      </c>
    </row>
    <row r="3657" spans="1:6" x14ac:dyDescent="0.25">
      <c r="A3657" s="5" t="s">
        <v>32</v>
      </c>
      <c r="B3657" s="19">
        <v>44045</v>
      </c>
      <c r="C3657" s="4">
        <v>20</v>
      </c>
      <c r="D3657" s="21">
        <v>846</v>
      </c>
      <c r="F3657" s="57">
        <f t="shared" si="248"/>
        <v>8</v>
      </c>
    </row>
    <row r="3658" spans="1:6" x14ac:dyDescent="0.25">
      <c r="A3658" s="5" t="s">
        <v>42</v>
      </c>
      <c r="B3658" s="19">
        <v>44045</v>
      </c>
      <c r="C3658" s="4">
        <v>0</v>
      </c>
      <c r="D3658" s="21">
        <v>82</v>
      </c>
      <c r="F3658" s="57">
        <f>E3658+F3634</f>
        <v>0</v>
      </c>
    </row>
    <row r="3659" spans="1:6" x14ac:dyDescent="0.25">
      <c r="A3659" s="5" t="s">
        <v>33</v>
      </c>
      <c r="B3659" s="19">
        <v>44045</v>
      </c>
      <c r="C3659" s="4">
        <v>38</v>
      </c>
      <c r="D3659" s="21">
        <v>2372</v>
      </c>
      <c r="F3659" s="57">
        <f t="shared" ref="F3659:F3668" si="249">E3659+F3634</f>
        <v>0</v>
      </c>
    </row>
    <row r="3660" spans="1:6" x14ac:dyDescent="0.25">
      <c r="A3660" s="5" t="s">
        <v>34</v>
      </c>
      <c r="B3660" s="19">
        <v>44045</v>
      </c>
      <c r="C3660" s="4">
        <v>7</v>
      </c>
      <c r="D3660" s="21">
        <v>153</v>
      </c>
      <c r="F3660" s="57">
        <f t="shared" si="249"/>
        <v>0</v>
      </c>
    </row>
    <row r="3661" spans="1:6" x14ac:dyDescent="0.25">
      <c r="A3661" s="5" t="s">
        <v>22</v>
      </c>
      <c r="B3661" s="19">
        <v>44045</v>
      </c>
      <c r="C3661" s="4">
        <v>7</v>
      </c>
      <c r="D3661" s="21">
        <v>347</v>
      </c>
      <c r="F3661" s="57">
        <f t="shared" si="249"/>
        <v>0</v>
      </c>
    </row>
    <row r="3662" spans="1:6" x14ac:dyDescent="0.25">
      <c r="A3662" s="5" t="s">
        <v>18</v>
      </c>
      <c r="B3662" s="19">
        <v>44045</v>
      </c>
      <c r="C3662" s="4">
        <v>95</v>
      </c>
      <c r="D3662" s="21">
        <v>1390</v>
      </c>
      <c r="E3662" s="4">
        <v>4</v>
      </c>
      <c r="F3662" s="57">
        <f t="shared" si="249"/>
        <v>6</v>
      </c>
    </row>
    <row r="3663" spans="1:6" x14ac:dyDescent="0.25">
      <c r="A3663" s="5" t="s">
        <v>24</v>
      </c>
      <c r="B3663" s="19">
        <v>44045</v>
      </c>
      <c r="C3663" s="4">
        <v>6</v>
      </c>
      <c r="D3663" s="21">
        <v>64</v>
      </c>
      <c r="F3663" s="57">
        <f t="shared" si="249"/>
        <v>1</v>
      </c>
    </row>
    <row r="3664" spans="1:6" x14ac:dyDescent="0.25">
      <c r="A3664" s="5" t="s">
        <v>20</v>
      </c>
      <c r="B3664" s="19">
        <v>44045</v>
      </c>
      <c r="C3664" s="4">
        <v>8</v>
      </c>
      <c r="D3664" s="21">
        <v>1194</v>
      </c>
      <c r="F3664" s="57">
        <f t="shared" si="249"/>
        <v>1</v>
      </c>
    </row>
    <row r="3665" spans="1:6" x14ac:dyDescent="0.25">
      <c r="A3665" s="5" t="s">
        <v>19</v>
      </c>
      <c r="B3665" s="19">
        <v>44045</v>
      </c>
      <c r="C3665" s="4">
        <v>56</v>
      </c>
      <c r="D3665" s="21">
        <v>2063</v>
      </c>
      <c r="F3665" s="57">
        <f t="shared" si="249"/>
        <v>1</v>
      </c>
    </row>
    <row r="3666" spans="1:6" x14ac:dyDescent="0.25">
      <c r="A3666" s="5" t="s">
        <v>35</v>
      </c>
      <c r="B3666" s="19">
        <v>44045</v>
      </c>
      <c r="C3666" s="4">
        <v>17</v>
      </c>
      <c r="D3666" s="21">
        <v>302</v>
      </c>
      <c r="F3666" s="57">
        <f t="shared" si="249"/>
        <v>4</v>
      </c>
    </row>
    <row r="3667" spans="1:6" x14ac:dyDescent="0.25">
      <c r="A3667" s="5" t="s">
        <v>36</v>
      </c>
      <c r="B3667" s="19">
        <v>44045</v>
      </c>
      <c r="C3667" s="4">
        <v>0</v>
      </c>
      <c r="D3667" s="21">
        <v>20</v>
      </c>
      <c r="F3667" s="57">
        <f>E3667+F3643</f>
        <v>0</v>
      </c>
    </row>
    <row r="3668" spans="1:6" x14ac:dyDescent="0.25">
      <c r="A3668" s="5" t="s">
        <v>37</v>
      </c>
      <c r="B3668" s="19">
        <v>44045</v>
      </c>
      <c r="C3668" s="4">
        <v>0</v>
      </c>
      <c r="D3668" s="21">
        <v>28</v>
      </c>
      <c r="F3668" s="57">
        <f t="shared" si="249"/>
        <v>0</v>
      </c>
    </row>
    <row r="3669" spans="1:6" x14ac:dyDescent="0.25">
      <c r="A3669" s="5" t="s">
        <v>38</v>
      </c>
      <c r="B3669" s="19">
        <v>44045</v>
      </c>
      <c r="C3669" s="4">
        <v>18</v>
      </c>
      <c r="D3669" s="21">
        <v>521</v>
      </c>
      <c r="F3669" s="57">
        <f t="shared" ref="F3669:F3674" si="250">E3669+F3645</f>
        <v>2</v>
      </c>
    </row>
    <row r="3670" spans="1:6" x14ac:dyDescent="0.25">
      <c r="A3670" s="5" t="s">
        <v>23</v>
      </c>
      <c r="B3670" s="19">
        <v>44045</v>
      </c>
      <c r="C3670" s="4">
        <v>78</v>
      </c>
      <c r="D3670" s="21">
        <v>1372</v>
      </c>
      <c r="E3670" s="4">
        <v>2</v>
      </c>
      <c r="F3670" s="57">
        <f t="shared" si="250"/>
        <v>15</v>
      </c>
    </row>
    <row r="3671" spans="1:6" x14ac:dyDescent="0.25">
      <c r="A3671" s="5" t="s">
        <v>39</v>
      </c>
      <c r="B3671" s="19">
        <v>44045</v>
      </c>
      <c r="C3671" s="4">
        <v>0</v>
      </c>
      <c r="D3671" s="21">
        <v>47</v>
      </c>
      <c r="F3671" s="57">
        <f t="shared" si="250"/>
        <v>1</v>
      </c>
    </row>
    <row r="3672" spans="1:6" x14ac:dyDescent="0.25">
      <c r="A3672" s="5" t="s">
        <v>40</v>
      </c>
      <c r="B3672" s="19">
        <v>44045</v>
      </c>
      <c r="C3672" s="4">
        <v>96</v>
      </c>
      <c r="D3672" s="21">
        <v>601</v>
      </c>
      <c r="F3672" s="57">
        <f t="shared" si="250"/>
        <v>1</v>
      </c>
    </row>
    <row r="3673" spans="1:6" x14ac:dyDescent="0.25">
      <c r="A3673" s="5" t="s">
        <v>41</v>
      </c>
      <c r="B3673" s="19">
        <v>44045</v>
      </c>
      <c r="C3673" s="4">
        <v>34</v>
      </c>
      <c r="D3673" s="21">
        <v>265</v>
      </c>
      <c r="F3673" s="57">
        <f t="shared" si="250"/>
        <v>4</v>
      </c>
    </row>
    <row r="3674" spans="1:6" x14ac:dyDescent="0.25">
      <c r="A3674" s="42" t="s">
        <v>17</v>
      </c>
      <c r="B3674" s="19">
        <v>44046</v>
      </c>
      <c r="C3674" s="4">
        <v>3158</v>
      </c>
      <c r="D3674" s="21">
        <v>125110</v>
      </c>
      <c r="E3674" s="4">
        <v>93</v>
      </c>
      <c r="F3674" s="57">
        <f t="shared" si="250"/>
        <v>2074</v>
      </c>
    </row>
    <row r="3675" spans="1:6" x14ac:dyDescent="0.25">
      <c r="A3675" s="5" t="s">
        <v>29</v>
      </c>
      <c r="B3675" s="19">
        <v>44046</v>
      </c>
      <c r="C3675" s="4">
        <v>2</v>
      </c>
      <c r="D3675" s="21">
        <v>65</v>
      </c>
      <c r="F3675" s="57">
        <f t="shared" ref="F3675:F3681" si="251">E3675+F3651</f>
        <v>0</v>
      </c>
    </row>
    <row r="3676" spans="1:6" x14ac:dyDescent="0.25">
      <c r="A3676" s="5" t="s">
        <v>16</v>
      </c>
      <c r="B3676" s="19">
        <v>44046</v>
      </c>
      <c r="C3676" s="4">
        <v>31</v>
      </c>
      <c r="D3676" s="21">
        <v>3702</v>
      </c>
      <c r="E3676" s="4">
        <f>1+2+3</f>
        <v>6</v>
      </c>
      <c r="F3676" s="57">
        <f t="shared" si="251"/>
        <v>148</v>
      </c>
    </row>
    <row r="3677" spans="1:6" x14ac:dyDescent="0.25">
      <c r="A3677" s="5" t="s">
        <v>30</v>
      </c>
      <c r="B3677" s="19">
        <v>44046</v>
      </c>
      <c r="C3677" s="4">
        <v>5</v>
      </c>
      <c r="D3677" s="21">
        <v>293</v>
      </c>
      <c r="F3677" s="57">
        <f t="shared" si="251"/>
        <v>4</v>
      </c>
    </row>
    <row r="3678" spans="1:6" x14ac:dyDescent="0.25">
      <c r="A3678" s="5" t="s">
        <v>44</v>
      </c>
      <c r="B3678" s="19">
        <v>44046</v>
      </c>
      <c r="C3678" s="4">
        <v>1051</v>
      </c>
      <c r="D3678" s="21">
        <v>62677</v>
      </c>
      <c r="E3678" s="4">
        <v>50</v>
      </c>
      <c r="F3678" s="57">
        <f t="shared" si="251"/>
        <v>1297</v>
      </c>
    </row>
    <row r="3679" spans="1:6" x14ac:dyDescent="0.25">
      <c r="A3679" s="5" t="s">
        <v>21</v>
      </c>
      <c r="B3679" s="19">
        <v>44046</v>
      </c>
      <c r="C3679" s="4">
        <v>133</v>
      </c>
      <c r="D3679" s="21">
        <v>2570</v>
      </c>
      <c r="F3679" s="57">
        <f t="shared" si="251"/>
        <v>46</v>
      </c>
    </row>
    <row r="3680" spans="1:6" x14ac:dyDescent="0.25">
      <c r="A3680" s="5" t="s">
        <v>31</v>
      </c>
      <c r="B3680" s="19">
        <v>44046</v>
      </c>
      <c r="C3680" s="4">
        <v>-2</v>
      </c>
      <c r="D3680" s="21">
        <v>196</v>
      </c>
      <c r="F3680" s="57">
        <f t="shared" si="251"/>
        <v>1</v>
      </c>
    </row>
    <row r="3681" spans="1:6" x14ac:dyDescent="0.25">
      <c r="A3681" s="5" t="s">
        <v>32</v>
      </c>
      <c r="B3681" s="19">
        <v>44046</v>
      </c>
      <c r="C3681" s="4">
        <v>29</v>
      </c>
      <c r="D3681" s="21">
        <v>875</v>
      </c>
      <c r="E3681" s="4">
        <v>2</v>
      </c>
      <c r="F3681" s="57">
        <f t="shared" si="251"/>
        <v>10</v>
      </c>
    </row>
    <row r="3682" spans="1:6" x14ac:dyDescent="0.25">
      <c r="A3682" s="5" t="s">
        <v>42</v>
      </c>
      <c r="B3682" s="19">
        <v>44046</v>
      </c>
      <c r="C3682" s="4">
        <v>2</v>
      </c>
      <c r="D3682" s="21">
        <v>84</v>
      </c>
      <c r="F3682" s="57">
        <f>E3682+F3658</f>
        <v>0</v>
      </c>
    </row>
    <row r="3683" spans="1:6" x14ac:dyDescent="0.25">
      <c r="A3683" s="5" t="s">
        <v>33</v>
      </c>
      <c r="B3683" s="19">
        <v>44046</v>
      </c>
      <c r="C3683" s="4">
        <v>102</v>
      </c>
      <c r="D3683" s="21">
        <v>2474</v>
      </c>
      <c r="F3683" s="57">
        <f t="shared" ref="F3683:F3692" si="252">E3683+F3658</f>
        <v>0</v>
      </c>
    </row>
    <row r="3684" spans="1:6" x14ac:dyDescent="0.25">
      <c r="A3684" s="5" t="s">
        <v>34</v>
      </c>
      <c r="B3684" s="19">
        <v>44046</v>
      </c>
      <c r="C3684" s="4">
        <v>5</v>
      </c>
      <c r="D3684" s="21">
        <v>158</v>
      </c>
      <c r="F3684" s="57">
        <f t="shared" si="252"/>
        <v>0</v>
      </c>
    </row>
    <row r="3685" spans="1:6" x14ac:dyDescent="0.25">
      <c r="A3685" s="5" t="s">
        <v>22</v>
      </c>
      <c r="B3685" s="19">
        <v>44046</v>
      </c>
      <c r="C3685" s="4">
        <v>5</v>
      </c>
      <c r="D3685" s="21">
        <v>352</v>
      </c>
      <c r="F3685" s="57">
        <f t="shared" si="252"/>
        <v>0</v>
      </c>
    </row>
    <row r="3686" spans="1:6" x14ac:dyDescent="0.25">
      <c r="A3686" s="5" t="s">
        <v>18</v>
      </c>
      <c r="B3686" s="19">
        <v>44046</v>
      </c>
      <c r="C3686" s="4">
        <v>79</v>
      </c>
      <c r="D3686" s="21">
        <v>1469</v>
      </c>
      <c r="E3686" s="4">
        <f>3+3</f>
        <v>6</v>
      </c>
      <c r="F3686" s="57">
        <f t="shared" si="252"/>
        <v>6</v>
      </c>
    </row>
    <row r="3687" spans="1:6" x14ac:dyDescent="0.25">
      <c r="A3687" s="5" t="s">
        <v>24</v>
      </c>
      <c r="B3687" s="19">
        <v>44046</v>
      </c>
      <c r="C3687" s="4">
        <v>-4</v>
      </c>
      <c r="D3687" s="21">
        <v>60</v>
      </c>
      <c r="F3687" s="57">
        <f t="shared" si="252"/>
        <v>6</v>
      </c>
    </row>
    <row r="3688" spans="1:6" x14ac:dyDescent="0.25">
      <c r="A3688" s="5" t="s">
        <v>20</v>
      </c>
      <c r="B3688" s="19">
        <v>44046</v>
      </c>
      <c r="C3688" s="4">
        <v>21</v>
      </c>
      <c r="D3688" s="21">
        <v>1215</v>
      </c>
      <c r="E3688" s="4">
        <f>2</f>
        <v>2</v>
      </c>
      <c r="F3688" s="57">
        <f t="shared" si="252"/>
        <v>3</v>
      </c>
    </row>
    <row r="3689" spans="1:6" x14ac:dyDescent="0.25">
      <c r="A3689" s="5" t="s">
        <v>19</v>
      </c>
      <c r="B3689" s="19">
        <v>44046</v>
      </c>
      <c r="C3689" s="4">
        <v>63</v>
      </c>
      <c r="D3689" s="21">
        <v>2126</v>
      </c>
      <c r="E3689" s="4">
        <v>3</v>
      </c>
      <c r="F3689" s="57">
        <f t="shared" si="252"/>
        <v>4</v>
      </c>
    </row>
    <row r="3690" spans="1:6" x14ac:dyDescent="0.25">
      <c r="A3690" s="5" t="s">
        <v>35</v>
      </c>
      <c r="B3690" s="19">
        <v>44046</v>
      </c>
      <c r="C3690" s="4">
        <v>1</v>
      </c>
      <c r="D3690" s="21">
        <v>303</v>
      </c>
      <c r="F3690" s="57">
        <f t="shared" si="252"/>
        <v>1</v>
      </c>
    </row>
    <row r="3691" spans="1:6" x14ac:dyDescent="0.25">
      <c r="A3691" s="5" t="s">
        <v>36</v>
      </c>
      <c r="B3691" s="19">
        <v>44046</v>
      </c>
      <c r="C3691" s="4">
        <v>2</v>
      </c>
      <c r="D3691" s="21">
        <v>22</v>
      </c>
      <c r="F3691" s="57">
        <f>E3691+F3667</f>
        <v>0</v>
      </c>
    </row>
    <row r="3692" spans="1:6" x14ac:dyDescent="0.25">
      <c r="A3692" s="5" t="s">
        <v>37</v>
      </c>
      <c r="B3692" s="19">
        <v>44046</v>
      </c>
      <c r="C3692" s="4">
        <v>-2</v>
      </c>
      <c r="D3692" s="21">
        <v>26</v>
      </c>
      <c r="F3692" s="57">
        <f t="shared" si="252"/>
        <v>0</v>
      </c>
    </row>
    <row r="3693" spans="1:6" x14ac:dyDescent="0.25">
      <c r="A3693" s="5" t="s">
        <v>38</v>
      </c>
      <c r="B3693" s="19">
        <v>44046</v>
      </c>
      <c r="C3693" s="4">
        <v>27</v>
      </c>
      <c r="D3693" s="21">
        <v>548</v>
      </c>
      <c r="F3693" s="57">
        <f t="shared" ref="F3693:F3698" si="253">E3693+F3669</f>
        <v>2</v>
      </c>
    </row>
    <row r="3694" spans="1:6" x14ac:dyDescent="0.25">
      <c r="A3694" s="5" t="s">
        <v>23</v>
      </c>
      <c r="B3694" s="19">
        <v>44046</v>
      </c>
      <c r="C3694" s="4">
        <v>63</v>
      </c>
      <c r="D3694" s="21">
        <v>1435</v>
      </c>
      <c r="E3694" s="4">
        <v>1</v>
      </c>
      <c r="F3694" s="57">
        <f t="shared" si="253"/>
        <v>16</v>
      </c>
    </row>
    <row r="3695" spans="1:6" x14ac:dyDescent="0.25">
      <c r="A3695" s="5" t="s">
        <v>39</v>
      </c>
      <c r="B3695" s="19">
        <v>44046</v>
      </c>
      <c r="C3695" s="4">
        <v>1</v>
      </c>
      <c r="D3695" s="21">
        <v>48</v>
      </c>
      <c r="F3695" s="57">
        <f t="shared" si="253"/>
        <v>1</v>
      </c>
    </row>
    <row r="3696" spans="1:6" x14ac:dyDescent="0.25">
      <c r="A3696" s="5" t="s">
        <v>40</v>
      </c>
      <c r="B3696" s="19">
        <v>44046</v>
      </c>
      <c r="C3696" s="4">
        <v>44</v>
      </c>
      <c r="D3696" s="21">
        <v>645</v>
      </c>
      <c r="F3696" s="57">
        <f t="shared" si="253"/>
        <v>1</v>
      </c>
    </row>
    <row r="3697" spans="1:6" x14ac:dyDescent="0.25">
      <c r="A3697" s="5" t="s">
        <v>41</v>
      </c>
      <c r="B3697" s="19">
        <v>44046</v>
      </c>
      <c r="C3697" s="4">
        <v>8</v>
      </c>
      <c r="D3697" s="21">
        <v>273</v>
      </c>
      <c r="F3697" s="57">
        <f t="shared" si="253"/>
        <v>4</v>
      </c>
    </row>
    <row r="3698" spans="1:6" x14ac:dyDescent="0.25">
      <c r="A3698" s="42" t="s">
        <v>17</v>
      </c>
      <c r="B3698" s="19">
        <v>44047</v>
      </c>
      <c r="C3698" s="4">
        <v>4337</v>
      </c>
      <c r="D3698" s="21">
        <v>129447</v>
      </c>
      <c r="E3698" s="4">
        <v>114</v>
      </c>
      <c r="F3698" s="57">
        <f t="shared" si="253"/>
        <v>2188</v>
      </c>
    </row>
    <row r="3699" spans="1:6" x14ac:dyDescent="0.25">
      <c r="A3699" s="5" t="s">
        <v>29</v>
      </c>
      <c r="B3699" s="19">
        <v>44047</v>
      </c>
      <c r="C3699" s="4">
        <v>-2</v>
      </c>
      <c r="D3699" s="21">
        <v>63</v>
      </c>
      <c r="F3699" s="57">
        <f t="shared" ref="F3699:F3705" si="254">E3699+F3675</f>
        <v>0</v>
      </c>
    </row>
    <row r="3700" spans="1:6" x14ac:dyDescent="0.25">
      <c r="A3700" s="5" t="s">
        <v>16</v>
      </c>
      <c r="B3700" s="19">
        <v>44047</v>
      </c>
      <c r="C3700" s="4">
        <v>53</v>
      </c>
      <c r="D3700" s="21">
        <v>3755</v>
      </c>
      <c r="E3700" s="4">
        <v>3</v>
      </c>
      <c r="F3700" s="57">
        <f t="shared" si="254"/>
        <v>151</v>
      </c>
    </row>
    <row r="3701" spans="1:6" x14ac:dyDescent="0.25">
      <c r="A3701" s="5" t="s">
        <v>30</v>
      </c>
      <c r="B3701" s="19">
        <v>44047</v>
      </c>
      <c r="C3701" s="4">
        <v>1</v>
      </c>
      <c r="D3701" s="21">
        <v>294</v>
      </c>
      <c r="F3701" s="57">
        <f t="shared" si="254"/>
        <v>4</v>
      </c>
    </row>
    <row r="3702" spans="1:6" x14ac:dyDescent="0.25">
      <c r="A3702" s="5" t="s">
        <v>44</v>
      </c>
      <c r="B3702" s="19">
        <v>44047</v>
      </c>
      <c r="C3702" s="4">
        <v>1371</v>
      </c>
      <c r="D3702" s="21">
        <v>64048</v>
      </c>
      <c r="E3702" s="4">
        <f>18+13+7+7</f>
        <v>45</v>
      </c>
      <c r="F3702" s="57">
        <f t="shared" si="254"/>
        <v>1342</v>
      </c>
    </row>
    <row r="3703" spans="1:6" x14ac:dyDescent="0.25">
      <c r="A3703" s="5" t="s">
        <v>21</v>
      </c>
      <c r="B3703" s="19">
        <v>44047</v>
      </c>
      <c r="C3703" s="4">
        <v>147</v>
      </c>
      <c r="D3703" s="21">
        <v>2717</v>
      </c>
      <c r="E3703" s="4">
        <v>1</v>
      </c>
      <c r="F3703" s="57">
        <f t="shared" si="254"/>
        <v>47</v>
      </c>
    </row>
    <row r="3704" spans="1:6" x14ac:dyDescent="0.25">
      <c r="A3704" s="5" t="s">
        <v>31</v>
      </c>
      <c r="B3704" s="19">
        <v>44047</v>
      </c>
      <c r="C3704" s="4">
        <v>-4</v>
      </c>
      <c r="D3704" s="21">
        <v>192</v>
      </c>
      <c r="E3704" s="4">
        <v>1</v>
      </c>
      <c r="F3704" s="57">
        <f>E3704+F3680</f>
        <v>2</v>
      </c>
    </row>
    <row r="3705" spans="1:6" x14ac:dyDescent="0.25">
      <c r="A3705" s="5" t="s">
        <v>32</v>
      </c>
      <c r="B3705" s="19">
        <v>44047</v>
      </c>
      <c r="C3705" s="4">
        <v>22</v>
      </c>
      <c r="D3705" s="21">
        <v>897</v>
      </c>
      <c r="F3705" s="57">
        <f t="shared" si="254"/>
        <v>10</v>
      </c>
    </row>
    <row r="3706" spans="1:6" x14ac:dyDescent="0.25">
      <c r="A3706" s="5" t="s">
        <v>42</v>
      </c>
      <c r="B3706" s="19">
        <v>44047</v>
      </c>
      <c r="C3706" s="4">
        <v>1</v>
      </c>
      <c r="D3706" s="21">
        <v>85</v>
      </c>
      <c r="F3706" s="57">
        <f>E3706+F3682</f>
        <v>0</v>
      </c>
    </row>
    <row r="3707" spans="1:6" x14ac:dyDescent="0.25">
      <c r="A3707" s="5" t="s">
        <v>33</v>
      </c>
      <c r="B3707" s="19">
        <v>44047</v>
      </c>
      <c r="C3707" s="4">
        <v>269</v>
      </c>
      <c r="D3707" s="21">
        <v>2743</v>
      </c>
      <c r="F3707" s="57">
        <f t="shared" ref="F3707:F3716" si="255">E3707+F3682</f>
        <v>0</v>
      </c>
    </row>
    <row r="3708" spans="1:6" x14ac:dyDescent="0.25">
      <c r="A3708" s="5" t="s">
        <v>34</v>
      </c>
      <c r="B3708" s="19">
        <v>44047</v>
      </c>
      <c r="C3708" s="4">
        <v>29</v>
      </c>
      <c r="D3708" s="21">
        <v>187</v>
      </c>
      <c r="F3708" s="57">
        <f t="shared" si="255"/>
        <v>0</v>
      </c>
    </row>
    <row r="3709" spans="1:6" x14ac:dyDescent="0.25">
      <c r="A3709" s="5" t="s">
        <v>22</v>
      </c>
      <c r="B3709" s="19">
        <v>44047</v>
      </c>
      <c r="C3709" s="4">
        <v>29</v>
      </c>
      <c r="D3709" s="21">
        <v>381</v>
      </c>
      <c r="F3709" s="57">
        <f t="shared" si="255"/>
        <v>0</v>
      </c>
    </row>
    <row r="3710" spans="1:6" x14ac:dyDescent="0.25">
      <c r="A3710" s="5" t="s">
        <v>18</v>
      </c>
      <c r="B3710" s="19">
        <v>44047</v>
      </c>
      <c r="C3710" s="4">
        <v>106</v>
      </c>
      <c r="D3710" s="21">
        <v>1575</v>
      </c>
      <c r="E3710" s="4">
        <v>2</v>
      </c>
      <c r="F3710" s="57">
        <f t="shared" si="255"/>
        <v>2</v>
      </c>
    </row>
    <row r="3711" spans="1:6" x14ac:dyDescent="0.25">
      <c r="A3711" s="5" t="s">
        <v>24</v>
      </c>
      <c r="B3711" s="19">
        <v>44047</v>
      </c>
      <c r="C3711" s="4">
        <v>-1</v>
      </c>
      <c r="D3711" s="21">
        <v>59</v>
      </c>
      <c r="F3711" s="57">
        <f t="shared" si="255"/>
        <v>6</v>
      </c>
    </row>
    <row r="3712" spans="1:6" x14ac:dyDescent="0.25">
      <c r="A3712" s="5" t="s">
        <v>20</v>
      </c>
      <c r="B3712" s="19">
        <v>44047</v>
      </c>
      <c r="C3712" s="4">
        <v>18</v>
      </c>
      <c r="D3712" s="21">
        <v>1233</v>
      </c>
      <c r="F3712" s="57">
        <f t="shared" si="255"/>
        <v>6</v>
      </c>
    </row>
    <row r="3713" spans="1:6" x14ac:dyDescent="0.25">
      <c r="A3713" s="5" t="s">
        <v>19</v>
      </c>
      <c r="B3713" s="19">
        <v>44047</v>
      </c>
      <c r="C3713" s="4">
        <v>197</v>
      </c>
      <c r="D3713" s="21">
        <v>2323</v>
      </c>
      <c r="E3713" s="4">
        <v>2</v>
      </c>
      <c r="F3713" s="57">
        <f t="shared" si="255"/>
        <v>5</v>
      </c>
    </row>
    <row r="3714" spans="1:6" x14ac:dyDescent="0.25">
      <c r="A3714" s="5" t="s">
        <v>35</v>
      </c>
      <c r="B3714" s="19">
        <v>44047</v>
      </c>
      <c r="C3714" s="4">
        <v>42</v>
      </c>
      <c r="D3714" s="21">
        <v>345</v>
      </c>
      <c r="F3714" s="57">
        <f t="shared" si="255"/>
        <v>4</v>
      </c>
    </row>
    <row r="3715" spans="1:6" x14ac:dyDescent="0.25">
      <c r="A3715" s="5" t="s">
        <v>36</v>
      </c>
      <c r="B3715" s="19">
        <v>44047</v>
      </c>
      <c r="C3715" s="4">
        <v>0</v>
      </c>
      <c r="D3715" s="21">
        <v>22</v>
      </c>
      <c r="F3715" s="57">
        <f>E3715+F3691</f>
        <v>0</v>
      </c>
    </row>
    <row r="3716" spans="1:6" x14ac:dyDescent="0.25">
      <c r="A3716" s="5" t="s">
        <v>37</v>
      </c>
      <c r="B3716" s="19">
        <v>44047</v>
      </c>
      <c r="C3716" s="4">
        <v>5</v>
      </c>
      <c r="D3716" s="21">
        <v>31</v>
      </c>
      <c r="F3716" s="57">
        <f t="shared" si="255"/>
        <v>0</v>
      </c>
    </row>
    <row r="3717" spans="1:6" x14ac:dyDescent="0.25">
      <c r="A3717" s="5" t="s">
        <v>38</v>
      </c>
      <c r="B3717" s="19">
        <v>44047</v>
      </c>
      <c r="C3717" s="4">
        <v>16</v>
      </c>
      <c r="D3717" s="21">
        <v>564</v>
      </c>
      <c r="F3717" s="57">
        <f t="shared" ref="F3717:F3722" si="256">E3717+F3693</f>
        <v>2</v>
      </c>
    </row>
    <row r="3718" spans="1:6" x14ac:dyDescent="0.25">
      <c r="A3718" s="5" t="s">
        <v>23</v>
      </c>
      <c r="B3718" s="19">
        <v>44047</v>
      </c>
      <c r="C3718" s="4">
        <v>101</v>
      </c>
      <c r="D3718" s="21">
        <v>1536</v>
      </c>
      <c r="F3718" s="57">
        <f t="shared" si="256"/>
        <v>16</v>
      </c>
    </row>
    <row r="3719" spans="1:6" x14ac:dyDescent="0.25">
      <c r="A3719" s="5" t="s">
        <v>39</v>
      </c>
      <c r="B3719" s="19">
        <v>44047</v>
      </c>
      <c r="C3719" s="4">
        <v>1</v>
      </c>
      <c r="D3719" s="21">
        <v>49</v>
      </c>
      <c r="F3719" s="57">
        <f t="shared" si="256"/>
        <v>1</v>
      </c>
    </row>
    <row r="3720" spans="1:6" x14ac:dyDescent="0.25">
      <c r="A3720" s="5" t="s">
        <v>40</v>
      </c>
      <c r="B3720" s="19">
        <v>44047</v>
      </c>
      <c r="C3720" s="4">
        <v>58</v>
      </c>
      <c r="D3720" s="21">
        <v>703</v>
      </c>
      <c r="F3720" s="57">
        <f t="shared" si="256"/>
        <v>1</v>
      </c>
    </row>
    <row r="3721" spans="1:6" x14ac:dyDescent="0.25">
      <c r="A3721" s="5" t="s">
        <v>41</v>
      </c>
      <c r="B3721" s="19">
        <v>44047</v>
      </c>
      <c r="C3721" s="4">
        <v>24</v>
      </c>
      <c r="D3721" s="21">
        <v>297</v>
      </c>
      <c r="F3721" s="57">
        <f t="shared" si="256"/>
        <v>4</v>
      </c>
    </row>
    <row r="3722" spans="1:6" x14ac:dyDescent="0.25">
      <c r="A3722" s="42" t="s">
        <v>17</v>
      </c>
      <c r="B3722" s="19">
        <v>44048</v>
      </c>
      <c r="C3722" s="4">
        <v>4676</v>
      </c>
      <c r="D3722" s="21">
        <v>134123</v>
      </c>
      <c r="E3722" s="4">
        <f>12+12+34+26</f>
        <v>84</v>
      </c>
      <c r="F3722" s="57">
        <f t="shared" si="256"/>
        <v>2272</v>
      </c>
    </row>
    <row r="3723" spans="1:6" x14ac:dyDescent="0.25">
      <c r="A3723" s="5" t="s">
        <v>29</v>
      </c>
      <c r="B3723" s="19">
        <v>44048</v>
      </c>
      <c r="C3723" s="4">
        <v>-2</v>
      </c>
      <c r="D3723" s="21">
        <v>61</v>
      </c>
      <c r="F3723" s="57">
        <f t="shared" ref="F3723:F3729" si="257">E3723+F3699</f>
        <v>0</v>
      </c>
    </row>
    <row r="3724" spans="1:6" x14ac:dyDescent="0.25">
      <c r="A3724" s="5" t="s">
        <v>16</v>
      </c>
      <c r="B3724" s="19">
        <v>44048</v>
      </c>
      <c r="C3724" s="4">
        <v>70</v>
      </c>
      <c r="D3724" s="21">
        <v>3825</v>
      </c>
      <c r="E3724" s="4">
        <v>2</v>
      </c>
      <c r="F3724" s="57">
        <f t="shared" si="257"/>
        <v>153</v>
      </c>
    </row>
    <row r="3725" spans="1:6" x14ac:dyDescent="0.25">
      <c r="A3725" s="5" t="s">
        <v>30</v>
      </c>
      <c r="B3725" s="19">
        <v>44048</v>
      </c>
      <c r="C3725" s="4">
        <v>9</v>
      </c>
      <c r="D3725" s="21">
        <v>303</v>
      </c>
      <c r="F3725" s="57">
        <f t="shared" si="257"/>
        <v>4</v>
      </c>
    </row>
    <row r="3726" spans="1:6" x14ac:dyDescent="0.25">
      <c r="A3726" s="5" t="s">
        <v>44</v>
      </c>
      <c r="B3726" s="19">
        <v>44048</v>
      </c>
      <c r="C3726" s="4">
        <v>1467</v>
      </c>
      <c r="D3726" s="21">
        <v>65515</v>
      </c>
      <c r="E3726" s="4">
        <f>1+1+16+14</f>
        <v>32</v>
      </c>
      <c r="F3726" s="57">
        <f t="shared" si="257"/>
        <v>1374</v>
      </c>
    </row>
    <row r="3727" spans="1:6" x14ac:dyDescent="0.25">
      <c r="A3727" s="5" t="s">
        <v>21</v>
      </c>
      <c r="B3727" s="19">
        <v>44048</v>
      </c>
      <c r="C3727" s="4">
        <v>137</v>
      </c>
      <c r="D3727" s="21">
        <v>2854</v>
      </c>
      <c r="E3727" s="4">
        <v>2</v>
      </c>
      <c r="F3727" s="57">
        <f t="shared" si="257"/>
        <v>49</v>
      </c>
    </row>
    <row r="3728" spans="1:6" x14ac:dyDescent="0.25">
      <c r="A3728" s="5" t="s">
        <v>31</v>
      </c>
      <c r="B3728" s="19">
        <v>44048</v>
      </c>
      <c r="C3728" s="4">
        <v>5</v>
      </c>
      <c r="D3728" s="21">
        <v>197</v>
      </c>
      <c r="F3728" s="57">
        <f t="shared" si="257"/>
        <v>2</v>
      </c>
    </row>
    <row r="3729" spans="1:6" x14ac:dyDescent="0.25">
      <c r="A3729" s="5" t="s">
        <v>32</v>
      </c>
      <c r="B3729" s="19">
        <v>44048</v>
      </c>
      <c r="C3729" s="4">
        <v>42</v>
      </c>
      <c r="D3729" s="21">
        <v>939</v>
      </c>
      <c r="E3729" s="4">
        <v>2</v>
      </c>
      <c r="F3729" s="57">
        <f t="shared" si="257"/>
        <v>12</v>
      </c>
    </row>
    <row r="3730" spans="1:6" x14ac:dyDescent="0.25">
      <c r="A3730" s="5" t="s">
        <v>42</v>
      </c>
      <c r="B3730" s="19">
        <v>44048</v>
      </c>
      <c r="C3730" s="4">
        <v>-2</v>
      </c>
      <c r="D3730" s="21">
        <v>83</v>
      </c>
      <c r="F3730" s="57">
        <f>E3730+F3706</f>
        <v>0</v>
      </c>
    </row>
    <row r="3731" spans="1:6" x14ac:dyDescent="0.25">
      <c r="A3731" s="5" t="s">
        <v>33</v>
      </c>
      <c r="B3731" s="19">
        <v>44048</v>
      </c>
      <c r="C3731" s="4">
        <v>135</v>
      </c>
      <c r="D3731" s="21">
        <v>2878</v>
      </c>
      <c r="F3731" s="57">
        <f t="shared" ref="F3731:F3740" si="258">E3731+F3706</f>
        <v>0</v>
      </c>
    </row>
    <row r="3732" spans="1:6" x14ac:dyDescent="0.25">
      <c r="A3732" s="5" t="s">
        <v>34</v>
      </c>
      <c r="B3732" s="19">
        <v>44048</v>
      </c>
      <c r="C3732" s="4">
        <v>6</v>
      </c>
      <c r="D3732" s="21">
        <v>193</v>
      </c>
      <c r="F3732" s="57">
        <f t="shared" si="258"/>
        <v>0</v>
      </c>
    </row>
    <row r="3733" spans="1:6" x14ac:dyDescent="0.25">
      <c r="A3733" s="5" t="s">
        <v>22</v>
      </c>
      <c r="B3733" s="19">
        <v>44048</v>
      </c>
      <c r="C3733" s="4">
        <v>27</v>
      </c>
      <c r="D3733" s="21">
        <v>408</v>
      </c>
      <c r="F3733" s="57">
        <f t="shared" si="258"/>
        <v>0</v>
      </c>
    </row>
    <row r="3734" spans="1:6" x14ac:dyDescent="0.25">
      <c r="A3734" s="5" t="s">
        <v>18</v>
      </c>
      <c r="B3734" s="19">
        <v>44048</v>
      </c>
      <c r="C3734" s="4">
        <v>98</v>
      </c>
      <c r="D3734" s="21">
        <v>1673</v>
      </c>
      <c r="E3734" s="4">
        <v>1</v>
      </c>
      <c r="F3734" s="57">
        <f t="shared" si="258"/>
        <v>1</v>
      </c>
    </row>
    <row r="3735" spans="1:6" x14ac:dyDescent="0.25">
      <c r="A3735" s="5" t="s">
        <v>24</v>
      </c>
      <c r="B3735" s="19">
        <v>44048</v>
      </c>
      <c r="C3735" s="4">
        <v>0</v>
      </c>
      <c r="D3735" s="21">
        <v>59</v>
      </c>
      <c r="F3735" s="57">
        <f t="shared" si="258"/>
        <v>2</v>
      </c>
    </row>
    <row r="3736" spans="1:6" x14ac:dyDescent="0.25">
      <c r="A3736" s="5" t="s">
        <v>20</v>
      </c>
      <c r="B3736" s="19">
        <v>44048</v>
      </c>
      <c r="C3736" s="4">
        <v>81</v>
      </c>
      <c r="D3736" s="21">
        <v>1314</v>
      </c>
      <c r="E3736" s="4">
        <f>1+1</f>
        <v>2</v>
      </c>
      <c r="F3736" s="57">
        <f t="shared" si="258"/>
        <v>8</v>
      </c>
    </row>
    <row r="3737" spans="1:6" x14ac:dyDescent="0.25">
      <c r="A3737" s="5" t="s">
        <v>19</v>
      </c>
      <c r="B3737" s="19">
        <v>44048</v>
      </c>
      <c r="C3737" s="4">
        <v>121</v>
      </c>
      <c r="D3737" s="21">
        <v>2444</v>
      </c>
      <c r="F3737" s="57">
        <f t="shared" si="258"/>
        <v>6</v>
      </c>
    </row>
    <row r="3738" spans="1:6" x14ac:dyDescent="0.25">
      <c r="A3738" s="5" t="s">
        <v>35</v>
      </c>
      <c r="B3738" s="19">
        <v>44048</v>
      </c>
      <c r="C3738" s="4">
        <v>34</v>
      </c>
      <c r="D3738" s="21">
        <v>379</v>
      </c>
      <c r="F3738" s="57">
        <f t="shared" si="258"/>
        <v>5</v>
      </c>
    </row>
    <row r="3739" spans="1:6" x14ac:dyDescent="0.25">
      <c r="A3739" s="5" t="s">
        <v>36</v>
      </c>
      <c r="B3739" s="19">
        <v>44048</v>
      </c>
      <c r="C3739" s="4">
        <v>1</v>
      </c>
      <c r="D3739" s="21">
        <v>23</v>
      </c>
      <c r="F3739" s="57">
        <f>E3739+F3715</f>
        <v>0</v>
      </c>
    </row>
    <row r="3740" spans="1:6" x14ac:dyDescent="0.25">
      <c r="A3740" s="5" t="s">
        <v>37</v>
      </c>
      <c r="B3740" s="19">
        <v>44048</v>
      </c>
      <c r="C3740" s="4">
        <v>2</v>
      </c>
      <c r="D3740" s="21">
        <v>33</v>
      </c>
      <c r="F3740" s="57">
        <f t="shared" si="258"/>
        <v>0</v>
      </c>
    </row>
    <row r="3741" spans="1:6" x14ac:dyDescent="0.25">
      <c r="A3741" s="5" t="s">
        <v>38</v>
      </c>
      <c r="B3741" s="19">
        <v>44048</v>
      </c>
      <c r="C3741" s="4">
        <v>50</v>
      </c>
      <c r="D3741" s="21">
        <v>614</v>
      </c>
      <c r="F3741" s="57">
        <f t="shared" ref="F3741:F3746" si="259">E3741+F3717</f>
        <v>2</v>
      </c>
    </row>
    <row r="3742" spans="1:6" x14ac:dyDescent="0.25">
      <c r="A3742" s="5" t="s">
        <v>23</v>
      </c>
      <c r="B3742" s="19">
        <v>44048</v>
      </c>
      <c r="C3742" s="4">
        <v>101</v>
      </c>
      <c r="D3742" s="21">
        <v>1637</v>
      </c>
      <c r="E3742" s="4">
        <f>1+1</f>
        <v>2</v>
      </c>
      <c r="F3742" s="57">
        <f t="shared" si="259"/>
        <v>18</v>
      </c>
    </row>
    <row r="3743" spans="1:6" x14ac:dyDescent="0.25">
      <c r="A3743" s="5" t="s">
        <v>39</v>
      </c>
      <c r="B3743" s="19">
        <v>44048</v>
      </c>
      <c r="C3743" s="4">
        <v>18</v>
      </c>
      <c r="D3743" s="21">
        <v>67</v>
      </c>
      <c r="F3743" s="57">
        <f t="shared" si="259"/>
        <v>1</v>
      </c>
    </row>
    <row r="3744" spans="1:6" x14ac:dyDescent="0.25">
      <c r="A3744" s="5" t="s">
        <v>40</v>
      </c>
      <c r="B3744" s="19">
        <v>44048</v>
      </c>
      <c r="C3744" s="4">
        <v>43</v>
      </c>
      <c r="D3744" s="21">
        <v>746</v>
      </c>
      <c r="F3744" s="57">
        <f t="shared" si="259"/>
        <v>1</v>
      </c>
    </row>
    <row r="3745" spans="1:6" x14ac:dyDescent="0.25">
      <c r="A3745" s="5" t="s">
        <v>41</v>
      </c>
      <c r="B3745" s="19">
        <v>44048</v>
      </c>
      <c r="C3745" s="4">
        <v>28</v>
      </c>
      <c r="D3745" s="21">
        <v>325</v>
      </c>
      <c r="F3745" s="57">
        <f t="shared" si="259"/>
        <v>4</v>
      </c>
    </row>
    <row r="3746" spans="1:6" x14ac:dyDescent="0.25">
      <c r="A3746" s="42" t="s">
        <v>17</v>
      </c>
      <c r="B3746" s="19">
        <v>44049</v>
      </c>
      <c r="C3746" s="4">
        <v>4987</v>
      </c>
      <c r="D3746" s="21">
        <v>139110</v>
      </c>
      <c r="E3746" s="4">
        <f>15+6+45+30</f>
        <v>96</v>
      </c>
      <c r="F3746" s="57">
        <f t="shared" si="259"/>
        <v>2368</v>
      </c>
    </row>
    <row r="3747" spans="1:6" x14ac:dyDescent="0.25">
      <c r="A3747" s="5" t="s">
        <v>29</v>
      </c>
      <c r="B3747" s="19">
        <v>44049</v>
      </c>
      <c r="C3747" s="4">
        <v>0</v>
      </c>
      <c r="D3747" s="21">
        <v>61</v>
      </c>
      <c r="F3747" s="57">
        <f t="shared" ref="F3747:F3753" si="260">E3747+F3723</f>
        <v>0</v>
      </c>
    </row>
    <row r="3748" spans="1:6" x14ac:dyDescent="0.25">
      <c r="A3748" s="5" t="s">
        <v>16</v>
      </c>
      <c r="B3748" s="19">
        <v>44049</v>
      </c>
      <c r="C3748" s="4">
        <v>47</v>
      </c>
      <c r="D3748" s="21">
        <v>3872</v>
      </c>
      <c r="E3748" s="4">
        <f>1+4</f>
        <v>5</v>
      </c>
      <c r="F3748" s="57">
        <f t="shared" si="260"/>
        <v>158</v>
      </c>
    </row>
    <row r="3749" spans="1:6" x14ac:dyDescent="0.25">
      <c r="A3749" s="5" t="s">
        <v>30</v>
      </c>
      <c r="B3749" s="19">
        <v>44049</v>
      </c>
      <c r="C3749" s="4">
        <v>7</v>
      </c>
      <c r="D3749" s="21">
        <v>310</v>
      </c>
      <c r="F3749" s="57">
        <f t="shared" si="260"/>
        <v>4</v>
      </c>
    </row>
    <row r="3750" spans="1:6" x14ac:dyDescent="0.25">
      <c r="A3750" s="5" t="s">
        <v>44</v>
      </c>
      <c r="B3750" s="19">
        <v>44049</v>
      </c>
      <c r="C3750" s="4">
        <v>1448</v>
      </c>
      <c r="D3750" s="21">
        <v>66963</v>
      </c>
      <c r="E3750" s="4">
        <v>31</v>
      </c>
      <c r="F3750" s="57">
        <f>E3750+F3726</f>
        <v>1405</v>
      </c>
    </row>
    <row r="3751" spans="1:6" x14ac:dyDescent="0.25">
      <c r="A3751" s="5" t="s">
        <v>21</v>
      </c>
      <c r="B3751" s="19">
        <v>44049</v>
      </c>
      <c r="C3751" s="4">
        <v>144</v>
      </c>
      <c r="D3751" s="21">
        <v>2998</v>
      </c>
      <c r="F3751" s="57">
        <f t="shared" si="260"/>
        <v>49</v>
      </c>
    </row>
    <row r="3752" spans="1:6" x14ac:dyDescent="0.25">
      <c r="A3752" s="5" t="s">
        <v>31</v>
      </c>
      <c r="B3752" s="19">
        <v>44049</v>
      </c>
      <c r="C3752" s="4">
        <v>4</v>
      </c>
      <c r="D3752" s="21">
        <v>201</v>
      </c>
      <c r="F3752" s="57">
        <f t="shared" si="260"/>
        <v>2</v>
      </c>
    </row>
    <row r="3753" spans="1:6" x14ac:dyDescent="0.25">
      <c r="A3753" s="5" t="s">
        <v>32</v>
      </c>
      <c r="B3753" s="19">
        <v>44049</v>
      </c>
      <c r="C3753" s="4">
        <v>59</v>
      </c>
      <c r="D3753" s="21">
        <v>998</v>
      </c>
      <c r="F3753" s="57">
        <f t="shared" si="260"/>
        <v>12</v>
      </c>
    </row>
    <row r="3754" spans="1:6" x14ac:dyDescent="0.25">
      <c r="A3754" s="5" t="s">
        <v>42</v>
      </c>
      <c r="B3754" s="19">
        <v>44049</v>
      </c>
      <c r="C3754" s="4">
        <v>1</v>
      </c>
      <c r="D3754" s="21">
        <v>84</v>
      </c>
      <c r="F3754" s="57">
        <f>E3754+F3730</f>
        <v>0</v>
      </c>
    </row>
    <row r="3755" spans="1:6" x14ac:dyDescent="0.25">
      <c r="A3755" s="5" t="s">
        <v>33</v>
      </c>
      <c r="B3755" s="19">
        <v>44049</v>
      </c>
      <c r="C3755" s="4">
        <v>71</v>
      </c>
      <c r="D3755" s="21">
        <v>2949</v>
      </c>
      <c r="F3755" s="57">
        <f t="shared" ref="F3755:F3764" si="261">E3755+F3730</f>
        <v>0</v>
      </c>
    </row>
    <row r="3756" spans="1:6" x14ac:dyDescent="0.25">
      <c r="A3756" s="5" t="s">
        <v>34</v>
      </c>
      <c r="B3756" s="19">
        <v>44049</v>
      </c>
      <c r="C3756" s="4">
        <v>5</v>
      </c>
      <c r="D3756" s="21">
        <v>198</v>
      </c>
      <c r="F3756" s="57">
        <f t="shared" si="261"/>
        <v>0</v>
      </c>
    </row>
    <row r="3757" spans="1:6" x14ac:dyDescent="0.25">
      <c r="A3757" s="5" t="s">
        <v>22</v>
      </c>
      <c r="B3757" s="19">
        <v>44049</v>
      </c>
      <c r="C3757" s="4">
        <v>40</v>
      </c>
      <c r="D3757" s="21">
        <v>448</v>
      </c>
      <c r="F3757" s="57">
        <f t="shared" si="261"/>
        <v>0</v>
      </c>
    </row>
    <row r="3758" spans="1:6" x14ac:dyDescent="0.25">
      <c r="A3758" s="5" t="s">
        <v>18</v>
      </c>
      <c r="B3758" s="19">
        <v>44049</v>
      </c>
      <c r="C3758" s="4">
        <v>117</v>
      </c>
      <c r="D3758" s="21">
        <v>1790</v>
      </c>
      <c r="E3758" s="4">
        <v>2</v>
      </c>
      <c r="F3758" s="57">
        <f t="shared" si="261"/>
        <v>2</v>
      </c>
    </row>
    <row r="3759" spans="1:6" x14ac:dyDescent="0.25">
      <c r="A3759" s="5" t="s">
        <v>24</v>
      </c>
      <c r="B3759" s="19">
        <v>44049</v>
      </c>
      <c r="C3759" s="4">
        <v>1</v>
      </c>
      <c r="D3759" s="21">
        <v>60</v>
      </c>
      <c r="F3759" s="57">
        <f t="shared" si="261"/>
        <v>1</v>
      </c>
    </row>
    <row r="3760" spans="1:6" x14ac:dyDescent="0.25">
      <c r="A3760" s="5" t="s">
        <v>20</v>
      </c>
      <c r="B3760" s="19">
        <v>44049</v>
      </c>
      <c r="C3760" s="4">
        <v>53</v>
      </c>
      <c r="D3760" s="21">
        <v>1367</v>
      </c>
      <c r="E3760" s="4">
        <v>4</v>
      </c>
      <c r="F3760" s="57">
        <f t="shared" si="261"/>
        <v>6</v>
      </c>
    </row>
    <row r="3761" spans="1:6" x14ac:dyDescent="0.25">
      <c r="A3761" s="5" t="s">
        <v>19</v>
      </c>
      <c r="B3761" s="19">
        <v>44049</v>
      </c>
      <c r="C3761" s="4">
        <v>222</v>
      </c>
      <c r="D3761" s="21">
        <v>2666</v>
      </c>
      <c r="F3761" s="57">
        <f t="shared" si="261"/>
        <v>8</v>
      </c>
    </row>
    <row r="3762" spans="1:6" x14ac:dyDescent="0.25">
      <c r="A3762" s="5" t="s">
        <v>35</v>
      </c>
      <c r="B3762" s="19">
        <v>44049</v>
      </c>
      <c r="C3762" s="4">
        <v>42</v>
      </c>
      <c r="D3762" s="21">
        <v>421</v>
      </c>
      <c r="F3762" s="57">
        <f t="shared" si="261"/>
        <v>6</v>
      </c>
    </row>
    <row r="3763" spans="1:6" x14ac:dyDescent="0.25">
      <c r="A3763" s="5" t="s">
        <v>36</v>
      </c>
      <c r="B3763" s="19">
        <v>44049</v>
      </c>
      <c r="C3763" s="4">
        <v>-1</v>
      </c>
      <c r="D3763" s="21">
        <v>22</v>
      </c>
      <c r="F3763" s="57">
        <f>E3763+F3739</f>
        <v>0</v>
      </c>
    </row>
    <row r="3764" spans="1:6" x14ac:dyDescent="0.25">
      <c r="A3764" s="5" t="s">
        <v>37</v>
      </c>
      <c r="B3764" s="19">
        <v>44049</v>
      </c>
      <c r="C3764" s="4">
        <v>-1</v>
      </c>
      <c r="D3764" s="21">
        <v>32</v>
      </c>
      <c r="F3764" s="57">
        <f t="shared" si="261"/>
        <v>0</v>
      </c>
    </row>
    <row r="3765" spans="1:6" x14ac:dyDescent="0.25">
      <c r="A3765" s="5" t="s">
        <v>38</v>
      </c>
      <c r="B3765" s="19">
        <v>44049</v>
      </c>
      <c r="C3765" s="4">
        <v>21</v>
      </c>
      <c r="D3765" s="21">
        <v>635</v>
      </c>
      <c r="E3765" s="4">
        <v>1</v>
      </c>
      <c r="F3765" s="57">
        <f t="shared" ref="F3765:F3770" si="262">E3765+F3741</f>
        <v>3</v>
      </c>
    </row>
    <row r="3766" spans="1:6" x14ac:dyDescent="0.25">
      <c r="A3766" s="5" t="s">
        <v>23</v>
      </c>
      <c r="B3766" s="19">
        <v>44049</v>
      </c>
      <c r="C3766" s="4">
        <v>141</v>
      </c>
      <c r="D3766" s="21">
        <v>1778</v>
      </c>
      <c r="F3766" s="57">
        <f t="shared" si="262"/>
        <v>18</v>
      </c>
    </row>
    <row r="3767" spans="1:6" x14ac:dyDescent="0.25">
      <c r="A3767" s="5" t="s">
        <v>39</v>
      </c>
      <c r="B3767" s="19">
        <v>44049</v>
      </c>
      <c r="C3767" s="4">
        <v>10</v>
      </c>
      <c r="D3767" s="21">
        <v>77</v>
      </c>
      <c r="F3767" s="57">
        <f t="shared" si="262"/>
        <v>1</v>
      </c>
    </row>
    <row r="3768" spans="1:6" x14ac:dyDescent="0.25">
      <c r="A3768" s="5" t="s">
        <v>40</v>
      </c>
      <c r="B3768" s="19">
        <v>44049</v>
      </c>
      <c r="C3768" s="4">
        <v>67</v>
      </c>
      <c r="D3768" s="21">
        <v>813</v>
      </c>
      <c r="E3768" s="4">
        <f>1+2</f>
        <v>3</v>
      </c>
      <c r="F3768" s="57">
        <f t="shared" si="262"/>
        <v>4</v>
      </c>
    </row>
    <row r="3769" spans="1:6" x14ac:dyDescent="0.25">
      <c r="A3769" s="5" t="s">
        <v>41</v>
      </c>
      <c r="B3769" s="19">
        <v>44049</v>
      </c>
      <c r="C3769" s="4">
        <v>30</v>
      </c>
      <c r="D3769" s="21">
        <v>355</v>
      </c>
      <c r="E3769" s="4">
        <f>1</f>
        <v>1</v>
      </c>
      <c r="F3769" s="57">
        <f t="shared" si="262"/>
        <v>5</v>
      </c>
    </row>
    <row r="3770" spans="1:6" x14ac:dyDescent="0.25">
      <c r="A3770" s="42" t="s">
        <v>17</v>
      </c>
      <c r="B3770" s="19">
        <v>44050</v>
      </c>
      <c r="C3770" s="4">
        <v>5200</v>
      </c>
      <c r="D3770" s="21">
        <v>144310</v>
      </c>
      <c r="E3770" s="4">
        <v>107</v>
      </c>
      <c r="F3770" s="57">
        <f t="shared" si="262"/>
        <v>2475</v>
      </c>
    </row>
    <row r="3771" spans="1:6" x14ac:dyDescent="0.25">
      <c r="A3771" s="5" t="s">
        <v>29</v>
      </c>
      <c r="B3771" s="19">
        <v>44050</v>
      </c>
      <c r="C3771" s="4">
        <v>0</v>
      </c>
      <c r="D3771" s="21">
        <v>61</v>
      </c>
      <c r="F3771" s="57">
        <f t="shared" ref="F3771:F3777" si="263">E3771+F3747</f>
        <v>0</v>
      </c>
    </row>
    <row r="3772" spans="1:6" x14ac:dyDescent="0.25">
      <c r="A3772" s="5" t="s">
        <v>16</v>
      </c>
      <c r="B3772" s="19">
        <v>44050</v>
      </c>
      <c r="C3772" s="4">
        <v>77</v>
      </c>
      <c r="D3772" s="21">
        <v>3949</v>
      </c>
      <c r="E3772" s="4">
        <v>5</v>
      </c>
      <c r="F3772" s="57">
        <f t="shared" si="263"/>
        <v>163</v>
      </c>
    </row>
    <row r="3773" spans="1:6" x14ac:dyDescent="0.25">
      <c r="A3773" s="5" t="s">
        <v>30</v>
      </c>
      <c r="B3773" s="19">
        <v>44050</v>
      </c>
      <c r="C3773" s="4">
        <v>2</v>
      </c>
      <c r="D3773" s="21">
        <v>312</v>
      </c>
      <c r="F3773" s="57">
        <f t="shared" si="263"/>
        <v>4</v>
      </c>
    </row>
    <row r="3774" spans="1:6" x14ac:dyDescent="0.25">
      <c r="A3774" s="5" t="s">
        <v>44</v>
      </c>
      <c r="B3774" s="19">
        <v>44050</v>
      </c>
      <c r="C3774" s="4">
        <v>1237</v>
      </c>
      <c r="D3774" s="21">
        <v>68200</v>
      </c>
      <c r="E3774" s="4">
        <v>26</v>
      </c>
      <c r="F3774" s="57">
        <f t="shared" si="263"/>
        <v>1431</v>
      </c>
    </row>
    <row r="3775" spans="1:6" x14ac:dyDescent="0.25">
      <c r="A3775" s="5" t="s">
        <v>21</v>
      </c>
      <c r="B3775" s="19">
        <v>44050</v>
      </c>
      <c r="C3775" s="4">
        <v>162</v>
      </c>
      <c r="D3775" s="21">
        <v>3160</v>
      </c>
      <c r="E3775" s="4">
        <f>5+4</f>
        <v>9</v>
      </c>
      <c r="F3775" s="57">
        <f t="shared" si="263"/>
        <v>58</v>
      </c>
    </row>
    <row r="3776" spans="1:6" x14ac:dyDescent="0.25">
      <c r="A3776" s="5" t="s">
        <v>31</v>
      </c>
      <c r="B3776" s="19">
        <v>44050</v>
      </c>
      <c r="C3776" s="4">
        <v>4</v>
      </c>
      <c r="D3776" s="21">
        <v>205</v>
      </c>
      <c r="F3776" s="57">
        <f t="shared" si="263"/>
        <v>2</v>
      </c>
    </row>
    <row r="3777" spans="1:6" x14ac:dyDescent="0.25">
      <c r="A3777" s="5" t="s">
        <v>32</v>
      </c>
      <c r="B3777" s="19">
        <v>44050</v>
      </c>
      <c r="C3777" s="4">
        <v>57</v>
      </c>
      <c r="D3777" s="21">
        <v>1055</v>
      </c>
      <c r="E3777" s="4">
        <v>1</v>
      </c>
      <c r="F3777" s="57">
        <f t="shared" si="263"/>
        <v>13</v>
      </c>
    </row>
    <row r="3778" spans="1:6" x14ac:dyDescent="0.25">
      <c r="A3778" s="5" t="s">
        <v>42</v>
      </c>
      <c r="B3778" s="19">
        <v>44050</v>
      </c>
      <c r="C3778" s="4">
        <v>0</v>
      </c>
      <c r="D3778" s="21">
        <v>84</v>
      </c>
      <c r="F3778" s="57">
        <f>E3778+F3754</f>
        <v>0</v>
      </c>
    </row>
    <row r="3779" spans="1:6" x14ac:dyDescent="0.25">
      <c r="A3779" s="5" t="s">
        <v>33</v>
      </c>
      <c r="B3779" s="19">
        <v>44050</v>
      </c>
      <c r="C3779" s="4">
        <v>70</v>
      </c>
      <c r="D3779" s="21">
        <v>3019</v>
      </c>
      <c r="F3779" s="57">
        <f t="shared" ref="F3779:F3788" si="264">E3779+F3754</f>
        <v>0</v>
      </c>
    </row>
    <row r="3780" spans="1:6" x14ac:dyDescent="0.25">
      <c r="A3780" s="5" t="s">
        <v>34</v>
      </c>
      <c r="B3780" s="19">
        <v>44050</v>
      </c>
      <c r="C3780" s="4">
        <v>7</v>
      </c>
      <c r="D3780" s="21">
        <v>205</v>
      </c>
      <c r="F3780" s="57">
        <f t="shared" si="264"/>
        <v>0</v>
      </c>
    </row>
    <row r="3781" spans="1:6" x14ac:dyDescent="0.25">
      <c r="A3781" s="5" t="s">
        <v>22</v>
      </c>
      <c r="B3781" s="19">
        <v>44050</v>
      </c>
      <c r="C3781" s="4">
        <v>29</v>
      </c>
      <c r="D3781" s="21">
        <v>477</v>
      </c>
      <c r="E3781" s="4">
        <f>1</f>
        <v>1</v>
      </c>
      <c r="F3781" s="57">
        <f t="shared" si="264"/>
        <v>1</v>
      </c>
    </row>
    <row r="3782" spans="1:6" x14ac:dyDescent="0.25">
      <c r="A3782" s="5" t="s">
        <v>18</v>
      </c>
      <c r="B3782" s="19">
        <v>44050</v>
      </c>
      <c r="C3782" s="4">
        <v>124</v>
      </c>
      <c r="D3782" s="21">
        <v>1914</v>
      </c>
      <c r="E3782" s="4">
        <v>2</v>
      </c>
      <c r="F3782" s="57">
        <f t="shared" si="264"/>
        <v>2</v>
      </c>
    </row>
    <row r="3783" spans="1:6" x14ac:dyDescent="0.25">
      <c r="A3783" s="5" t="s">
        <v>24</v>
      </c>
      <c r="B3783" s="19">
        <v>44050</v>
      </c>
      <c r="C3783" s="4">
        <v>-1</v>
      </c>
      <c r="D3783" s="21">
        <v>59</v>
      </c>
      <c r="F3783" s="57">
        <f t="shared" si="264"/>
        <v>2</v>
      </c>
    </row>
    <row r="3784" spans="1:6" x14ac:dyDescent="0.25">
      <c r="A3784" s="5" t="s">
        <v>20</v>
      </c>
      <c r="B3784" s="19">
        <v>44050</v>
      </c>
      <c r="C3784" s="4">
        <v>42</v>
      </c>
      <c r="D3784" s="21">
        <v>1409</v>
      </c>
      <c r="E3784" s="4">
        <v>1</v>
      </c>
      <c r="F3784" s="57">
        <f t="shared" si="264"/>
        <v>2</v>
      </c>
    </row>
    <row r="3785" spans="1:6" x14ac:dyDescent="0.25">
      <c r="A3785" s="5" t="s">
        <v>19</v>
      </c>
      <c r="B3785" s="19">
        <v>44050</v>
      </c>
      <c r="C3785" s="4">
        <v>105</v>
      </c>
      <c r="D3785" s="21">
        <v>2771</v>
      </c>
      <c r="E3785" s="4">
        <v>1</v>
      </c>
      <c r="F3785" s="57">
        <f t="shared" si="264"/>
        <v>7</v>
      </c>
    </row>
    <row r="3786" spans="1:6" x14ac:dyDescent="0.25">
      <c r="A3786" s="5" t="s">
        <v>35</v>
      </c>
      <c r="B3786" s="19">
        <v>44050</v>
      </c>
      <c r="C3786" s="4">
        <v>54</v>
      </c>
      <c r="D3786" s="21">
        <v>475</v>
      </c>
      <c r="E3786" s="4">
        <f>2+2</f>
        <v>4</v>
      </c>
      <c r="F3786" s="57">
        <f t="shared" si="264"/>
        <v>12</v>
      </c>
    </row>
    <row r="3787" spans="1:6" x14ac:dyDescent="0.25">
      <c r="A3787" s="5" t="s">
        <v>36</v>
      </c>
      <c r="B3787" s="19">
        <v>44050</v>
      </c>
      <c r="C3787" s="4">
        <v>0</v>
      </c>
      <c r="D3787" s="21">
        <v>22</v>
      </c>
      <c r="F3787" s="57">
        <f>E3787+F3763</f>
        <v>0</v>
      </c>
    </row>
    <row r="3788" spans="1:6" x14ac:dyDescent="0.25">
      <c r="A3788" s="5" t="s">
        <v>37</v>
      </c>
      <c r="B3788" s="19">
        <v>44050</v>
      </c>
      <c r="C3788" s="4">
        <v>1</v>
      </c>
      <c r="D3788" s="21">
        <v>33</v>
      </c>
      <c r="F3788" s="57">
        <f t="shared" si="264"/>
        <v>0</v>
      </c>
    </row>
    <row r="3789" spans="1:6" x14ac:dyDescent="0.25">
      <c r="A3789" s="5" t="s">
        <v>38</v>
      </c>
      <c r="B3789" s="19">
        <v>44050</v>
      </c>
      <c r="C3789" s="4">
        <v>64</v>
      </c>
      <c r="D3789" s="21">
        <v>699</v>
      </c>
      <c r="F3789" s="57">
        <f t="shared" ref="F3789:F3794" si="265">E3789+F3765</f>
        <v>3</v>
      </c>
    </row>
    <row r="3790" spans="1:6" x14ac:dyDescent="0.25">
      <c r="A3790" s="5" t="s">
        <v>23</v>
      </c>
      <c r="B3790" s="19">
        <v>44050</v>
      </c>
      <c r="C3790" s="4">
        <v>134</v>
      </c>
      <c r="D3790" s="21">
        <v>1912</v>
      </c>
      <c r="E3790" s="4">
        <f>1+1</f>
        <v>2</v>
      </c>
      <c r="F3790" s="57">
        <f t="shared" si="265"/>
        <v>20</v>
      </c>
    </row>
    <row r="3791" spans="1:6" x14ac:dyDescent="0.25">
      <c r="A3791" s="5" t="s">
        <v>39</v>
      </c>
      <c r="B3791" s="19">
        <v>44050</v>
      </c>
      <c r="C3791" s="4">
        <v>29</v>
      </c>
      <c r="D3791" s="21">
        <v>106</v>
      </c>
      <c r="F3791" s="57">
        <f t="shared" si="265"/>
        <v>1</v>
      </c>
    </row>
    <row r="3792" spans="1:6" x14ac:dyDescent="0.25">
      <c r="A3792" s="5" t="s">
        <v>40</v>
      </c>
      <c r="B3792" s="19">
        <v>44050</v>
      </c>
      <c r="C3792" s="4">
        <v>85</v>
      </c>
      <c r="D3792" s="21">
        <v>898</v>
      </c>
      <c r="F3792" s="57">
        <f t="shared" si="265"/>
        <v>4</v>
      </c>
    </row>
    <row r="3793" spans="1:6" x14ac:dyDescent="0.25">
      <c r="A3793" s="5" t="s">
        <v>41</v>
      </c>
      <c r="B3793" s="19">
        <v>44050</v>
      </c>
      <c r="C3793" s="4">
        <v>9</v>
      </c>
      <c r="D3793" s="21">
        <v>364</v>
      </c>
      <c r="F3793" s="57">
        <f t="shared" si="265"/>
        <v>5</v>
      </c>
    </row>
    <row r="3794" spans="1:6" x14ac:dyDescent="0.25">
      <c r="A3794" s="42" t="s">
        <v>17</v>
      </c>
      <c r="B3794" s="19">
        <v>44051</v>
      </c>
      <c r="C3794" s="4">
        <v>4053</v>
      </c>
      <c r="D3794" s="21">
        <v>148363</v>
      </c>
      <c r="E3794" s="4">
        <v>84</v>
      </c>
      <c r="F3794" s="57">
        <f t="shared" si="265"/>
        <v>2559</v>
      </c>
    </row>
    <row r="3795" spans="1:6" x14ac:dyDescent="0.25">
      <c r="A3795" s="5" t="s">
        <v>29</v>
      </c>
      <c r="B3795" s="19">
        <v>44051</v>
      </c>
      <c r="C3795" s="4">
        <v>1</v>
      </c>
      <c r="D3795" s="21">
        <v>62</v>
      </c>
      <c r="F3795" s="57">
        <f t="shared" ref="F3795:F3801" si="266">E3795+F3771</f>
        <v>0</v>
      </c>
    </row>
    <row r="3796" spans="1:6" x14ac:dyDescent="0.25">
      <c r="A3796" s="5" t="s">
        <v>16</v>
      </c>
      <c r="B3796" s="19">
        <v>44051</v>
      </c>
      <c r="C3796" s="4">
        <v>54</v>
      </c>
      <c r="D3796" s="21">
        <v>4003</v>
      </c>
      <c r="F3796" s="57">
        <f t="shared" si="266"/>
        <v>163</v>
      </c>
    </row>
    <row r="3797" spans="1:6" x14ac:dyDescent="0.25">
      <c r="A3797" s="5" t="s">
        <v>30</v>
      </c>
      <c r="B3797" s="19">
        <v>44051</v>
      </c>
      <c r="C3797" s="4">
        <v>16</v>
      </c>
      <c r="D3797" s="21">
        <v>328</v>
      </c>
      <c r="F3797" s="57">
        <f t="shared" si="266"/>
        <v>4</v>
      </c>
    </row>
    <row r="3798" spans="1:6" x14ac:dyDescent="0.25">
      <c r="A3798" s="5" t="s">
        <v>44</v>
      </c>
      <c r="B3798" s="19">
        <v>44051</v>
      </c>
      <c r="C3798" s="4">
        <v>966</v>
      </c>
      <c r="D3798" s="21">
        <v>69166</v>
      </c>
      <c r="E3798" s="4">
        <v>17</v>
      </c>
      <c r="F3798" s="57">
        <f t="shared" si="266"/>
        <v>1448</v>
      </c>
    </row>
    <row r="3799" spans="1:6" x14ac:dyDescent="0.25">
      <c r="A3799" s="5" t="s">
        <v>21</v>
      </c>
      <c r="B3799" s="19">
        <v>44051</v>
      </c>
      <c r="C3799" s="4">
        <v>150</v>
      </c>
      <c r="D3799" s="21">
        <v>3310</v>
      </c>
      <c r="E3799" s="4">
        <v>3</v>
      </c>
      <c r="F3799" s="57">
        <f t="shared" si="266"/>
        <v>61</v>
      </c>
    </row>
    <row r="3800" spans="1:6" x14ac:dyDescent="0.25">
      <c r="A3800" s="5" t="s">
        <v>31</v>
      </c>
      <c r="B3800" s="19">
        <v>44051</v>
      </c>
      <c r="C3800" s="4">
        <v>3</v>
      </c>
      <c r="D3800" s="21">
        <v>208</v>
      </c>
      <c r="F3800" s="57">
        <f t="shared" si="266"/>
        <v>2</v>
      </c>
    </row>
    <row r="3801" spans="1:6" x14ac:dyDescent="0.25">
      <c r="A3801" s="5" t="s">
        <v>32</v>
      </c>
      <c r="B3801" s="19">
        <v>44051</v>
      </c>
      <c r="C3801" s="4">
        <v>31</v>
      </c>
      <c r="D3801" s="21">
        <v>1086</v>
      </c>
      <c r="F3801" s="57">
        <f t="shared" si="266"/>
        <v>13</v>
      </c>
    </row>
    <row r="3802" spans="1:6" x14ac:dyDescent="0.25">
      <c r="A3802" s="5" t="s">
        <v>42</v>
      </c>
      <c r="B3802" s="19">
        <v>44051</v>
      </c>
      <c r="C3802" s="4">
        <v>1</v>
      </c>
      <c r="D3802" s="21">
        <v>85</v>
      </c>
      <c r="F3802" s="57">
        <f>E3802+F3778</f>
        <v>0</v>
      </c>
    </row>
    <row r="3803" spans="1:6" x14ac:dyDescent="0.25">
      <c r="A3803" s="5" t="s">
        <v>33</v>
      </c>
      <c r="B3803" s="19">
        <v>44051</v>
      </c>
      <c r="C3803" s="4">
        <v>328</v>
      </c>
      <c r="D3803" s="21">
        <v>3347</v>
      </c>
      <c r="E3803" s="4">
        <v>1</v>
      </c>
      <c r="F3803" s="57">
        <f t="shared" ref="F3803:F3812" si="267">E3803+F3778</f>
        <v>1</v>
      </c>
    </row>
    <row r="3804" spans="1:6" x14ac:dyDescent="0.25">
      <c r="A3804" s="5" t="s">
        <v>34</v>
      </c>
      <c r="B3804" s="19">
        <v>44051</v>
      </c>
      <c r="C3804" s="4">
        <v>1</v>
      </c>
      <c r="D3804" s="21">
        <v>206</v>
      </c>
      <c r="F3804" s="57">
        <f t="shared" si="267"/>
        <v>0</v>
      </c>
    </row>
    <row r="3805" spans="1:6" x14ac:dyDescent="0.25">
      <c r="A3805" s="5" t="s">
        <v>22</v>
      </c>
      <c r="B3805" s="19">
        <v>44051</v>
      </c>
      <c r="C3805" s="4">
        <v>36</v>
      </c>
      <c r="D3805" s="21">
        <v>513</v>
      </c>
      <c r="E3805" s="4">
        <v>1</v>
      </c>
      <c r="F3805" s="57">
        <f t="shared" si="267"/>
        <v>1</v>
      </c>
    </row>
    <row r="3806" spans="1:6" x14ac:dyDescent="0.25">
      <c r="A3806" s="5" t="s">
        <v>18</v>
      </c>
      <c r="B3806" s="19">
        <v>44051</v>
      </c>
      <c r="C3806" s="4">
        <v>124</v>
      </c>
      <c r="D3806" s="21">
        <v>2038</v>
      </c>
      <c r="E3806" s="4">
        <v>1</v>
      </c>
      <c r="F3806" s="57">
        <f t="shared" si="267"/>
        <v>2</v>
      </c>
    </row>
    <row r="3807" spans="1:6" x14ac:dyDescent="0.25">
      <c r="A3807" s="5" t="s">
        <v>24</v>
      </c>
      <c r="B3807" s="19">
        <v>44051</v>
      </c>
      <c r="C3807" s="4">
        <v>-2</v>
      </c>
      <c r="D3807" s="21">
        <v>57</v>
      </c>
      <c r="F3807" s="57">
        <f t="shared" si="267"/>
        <v>2</v>
      </c>
    </row>
    <row r="3808" spans="1:6" x14ac:dyDescent="0.25">
      <c r="A3808" s="5" t="s">
        <v>20</v>
      </c>
      <c r="B3808" s="19">
        <v>44051</v>
      </c>
      <c r="C3808" s="4">
        <v>18</v>
      </c>
      <c r="D3808" s="21">
        <v>1427</v>
      </c>
      <c r="F3808" s="57">
        <f t="shared" si="267"/>
        <v>2</v>
      </c>
    </row>
    <row r="3809" spans="1:6" x14ac:dyDescent="0.25">
      <c r="A3809" s="5" t="s">
        <v>19</v>
      </c>
      <c r="B3809" s="19">
        <v>44051</v>
      </c>
      <c r="C3809" s="4">
        <v>70</v>
      </c>
      <c r="D3809" s="21">
        <v>2841</v>
      </c>
      <c r="E3809" s="4">
        <v>3</v>
      </c>
      <c r="F3809" s="57">
        <f t="shared" si="267"/>
        <v>5</v>
      </c>
    </row>
    <row r="3810" spans="1:6" x14ac:dyDescent="0.25">
      <c r="A3810" s="5" t="s">
        <v>35</v>
      </c>
      <c r="B3810" s="19">
        <v>44051</v>
      </c>
      <c r="C3810" s="4">
        <v>68</v>
      </c>
      <c r="D3810" s="21">
        <v>543</v>
      </c>
      <c r="F3810" s="57">
        <f t="shared" si="267"/>
        <v>7</v>
      </c>
    </row>
    <row r="3811" spans="1:6" x14ac:dyDescent="0.25">
      <c r="A3811" s="5" t="s">
        <v>36</v>
      </c>
      <c r="B3811" s="19">
        <v>44051</v>
      </c>
      <c r="C3811" s="4">
        <v>1</v>
      </c>
      <c r="D3811" s="21">
        <v>23</v>
      </c>
      <c r="F3811" s="57">
        <f>E3811+F3787</f>
        <v>0</v>
      </c>
    </row>
    <row r="3812" spans="1:6" x14ac:dyDescent="0.25">
      <c r="A3812" s="5" t="s">
        <v>37</v>
      </c>
      <c r="B3812" s="19">
        <v>44051</v>
      </c>
      <c r="C3812" s="4">
        <v>0</v>
      </c>
      <c r="D3812" s="21">
        <v>33</v>
      </c>
      <c r="F3812" s="57">
        <f t="shared" si="267"/>
        <v>0</v>
      </c>
    </row>
    <row r="3813" spans="1:6" x14ac:dyDescent="0.25">
      <c r="A3813" s="5" t="s">
        <v>38</v>
      </c>
      <c r="B3813" s="19">
        <v>44051</v>
      </c>
      <c r="C3813" s="4">
        <v>8</v>
      </c>
      <c r="D3813" s="21">
        <v>707</v>
      </c>
      <c r="F3813" s="57">
        <f t="shared" ref="F3813:F3818" si="268">E3813+F3789</f>
        <v>3</v>
      </c>
    </row>
    <row r="3814" spans="1:6" x14ac:dyDescent="0.25">
      <c r="A3814" s="5" t="s">
        <v>23</v>
      </c>
      <c r="B3814" s="19">
        <v>44051</v>
      </c>
      <c r="C3814" s="4">
        <v>137</v>
      </c>
      <c r="D3814" s="21">
        <v>2049</v>
      </c>
      <c r="E3814" s="4">
        <v>1</v>
      </c>
      <c r="F3814" s="57">
        <f t="shared" si="268"/>
        <v>21</v>
      </c>
    </row>
    <row r="3815" spans="1:6" x14ac:dyDescent="0.25">
      <c r="A3815" s="5" t="s">
        <v>39</v>
      </c>
      <c r="B3815" s="19">
        <v>44051</v>
      </c>
      <c r="C3815" s="4">
        <v>9</v>
      </c>
      <c r="D3815" s="21">
        <v>115</v>
      </c>
      <c r="F3815" s="57">
        <f t="shared" si="268"/>
        <v>1</v>
      </c>
    </row>
    <row r="3816" spans="1:6" x14ac:dyDescent="0.25">
      <c r="A3816" s="5" t="s">
        <v>40</v>
      </c>
      <c r="B3816" s="19">
        <v>44051</v>
      </c>
      <c r="C3816" s="4">
        <v>52</v>
      </c>
      <c r="D3816" s="21">
        <v>950</v>
      </c>
      <c r="E3816" s="4">
        <v>1</v>
      </c>
      <c r="F3816" s="57">
        <f t="shared" si="268"/>
        <v>5</v>
      </c>
    </row>
    <row r="3817" spans="1:6" x14ac:dyDescent="0.25">
      <c r="A3817" s="5" t="s">
        <v>41</v>
      </c>
      <c r="B3817" s="19">
        <v>44051</v>
      </c>
      <c r="C3817" s="4">
        <v>9</v>
      </c>
      <c r="D3817" s="21">
        <v>373</v>
      </c>
      <c r="F3817" s="57">
        <f t="shared" si="268"/>
        <v>5</v>
      </c>
    </row>
    <row r="3818" spans="1:6" x14ac:dyDescent="0.25">
      <c r="A3818" s="42" t="s">
        <v>17</v>
      </c>
      <c r="B3818" s="19">
        <v>44052</v>
      </c>
      <c r="C3818" s="4">
        <v>2904</v>
      </c>
      <c r="D3818" s="21">
        <v>151267</v>
      </c>
      <c r="E3818" s="4">
        <v>55</v>
      </c>
      <c r="F3818" s="57">
        <f t="shared" si="268"/>
        <v>2614</v>
      </c>
    </row>
    <row r="3819" spans="1:6" x14ac:dyDescent="0.25">
      <c r="A3819" s="5" t="s">
        <v>29</v>
      </c>
      <c r="B3819" s="19">
        <v>44052</v>
      </c>
      <c r="C3819" s="4">
        <v>0</v>
      </c>
      <c r="D3819" s="21">
        <v>62</v>
      </c>
      <c r="F3819" s="57">
        <f t="shared" ref="F3819:F3825" si="269">E3819+F3795</f>
        <v>0</v>
      </c>
    </row>
    <row r="3820" spans="1:6" x14ac:dyDescent="0.25">
      <c r="A3820" s="5" t="s">
        <v>16</v>
      </c>
      <c r="B3820" s="19">
        <v>44052</v>
      </c>
      <c r="C3820" s="4">
        <v>66</v>
      </c>
      <c r="D3820" s="21">
        <v>4069</v>
      </c>
      <c r="F3820" s="57">
        <f t="shared" si="269"/>
        <v>163</v>
      </c>
    </row>
    <row r="3821" spans="1:6" x14ac:dyDescent="0.25">
      <c r="A3821" s="5" t="s">
        <v>30</v>
      </c>
      <c r="B3821" s="19">
        <v>44052</v>
      </c>
      <c r="C3821" s="4">
        <v>21</v>
      </c>
      <c r="D3821" s="21">
        <v>349</v>
      </c>
      <c r="F3821" s="57">
        <f t="shared" si="269"/>
        <v>4</v>
      </c>
    </row>
    <row r="3822" spans="1:6" x14ac:dyDescent="0.25">
      <c r="A3822" s="5" t="s">
        <v>44</v>
      </c>
      <c r="B3822" s="19">
        <v>44052</v>
      </c>
      <c r="C3822" s="4">
        <v>873</v>
      </c>
      <c r="D3822" s="21">
        <v>70039</v>
      </c>
      <c r="E3822" s="4">
        <v>22</v>
      </c>
      <c r="F3822" s="57">
        <f t="shared" si="269"/>
        <v>1470</v>
      </c>
    </row>
    <row r="3823" spans="1:6" x14ac:dyDescent="0.25">
      <c r="A3823" s="5" t="s">
        <v>21</v>
      </c>
      <c r="B3823" s="19">
        <v>44052</v>
      </c>
      <c r="C3823" s="4">
        <v>205</v>
      </c>
      <c r="D3823" s="21">
        <v>3515</v>
      </c>
      <c r="E3823" s="4">
        <v>3</v>
      </c>
      <c r="F3823" s="57">
        <f>E3823+F3799</f>
        <v>64</v>
      </c>
    </row>
    <row r="3824" spans="1:6" x14ac:dyDescent="0.25">
      <c r="A3824" s="5" t="s">
        <v>31</v>
      </c>
      <c r="B3824" s="19">
        <v>44052</v>
      </c>
      <c r="C3824" s="4">
        <v>6</v>
      </c>
      <c r="D3824" s="21">
        <v>214</v>
      </c>
      <c r="F3824" s="57">
        <f t="shared" si="269"/>
        <v>2</v>
      </c>
    </row>
    <row r="3825" spans="1:6" x14ac:dyDescent="0.25">
      <c r="A3825" s="5" t="s">
        <v>32</v>
      </c>
      <c r="B3825" s="19">
        <v>44052</v>
      </c>
      <c r="C3825" s="4">
        <v>77</v>
      </c>
      <c r="D3825" s="21">
        <v>1163</v>
      </c>
      <c r="F3825" s="57">
        <f t="shared" si="269"/>
        <v>13</v>
      </c>
    </row>
    <row r="3826" spans="1:6" x14ac:dyDescent="0.25">
      <c r="A3826" s="5" t="s">
        <v>42</v>
      </c>
      <c r="B3826" s="19">
        <v>44052</v>
      </c>
      <c r="C3826" s="4">
        <v>1</v>
      </c>
      <c r="D3826" s="21">
        <v>86</v>
      </c>
      <c r="F3826" s="57">
        <f>E3826+F3802</f>
        <v>0</v>
      </c>
    </row>
    <row r="3827" spans="1:6" x14ac:dyDescent="0.25">
      <c r="A3827" s="5" t="s">
        <v>33</v>
      </c>
      <c r="B3827" s="19">
        <v>44052</v>
      </c>
      <c r="C3827" s="4">
        <v>73</v>
      </c>
      <c r="D3827" s="21">
        <v>3420</v>
      </c>
      <c r="F3827" s="57">
        <f t="shared" ref="F3827:F3836" si="270">E3827+F3802</f>
        <v>0</v>
      </c>
    </row>
    <row r="3828" spans="1:6" x14ac:dyDescent="0.25">
      <c r="A3828" s="5" t="s">
        <v>34</v>
      </c>
      <c r="B3828" s="19">
        <v>44052</v>
      </c>
      <c r="C3828" s="4">
        <v>0</v>
      </c>
      <c r="D3828" s="21">
        <v>206</v>
      </c>
      <c r="F3828" s="57">
        <f t="shared" si="270"/>
        <v>1</v>
      </c>
    </row>
    <row r="3829" spans="1:6" x14ac:dyDescent="0.25">
      <c r="A3829" s="5" t="s">
        <v>22</v>
      </c>
      <c r="B3829" s="19">
        <v>44052</v>
      </c>
      <c r="C3829" s="4">
        <v>3</v>
      </c>
      <c r="D3829" s="21">
        <v>516</v>
      </c>
      <c r="E3829" s="4">
        <v>1</v>
      </c>
      <c r="F3829" s="57">
        <f t="shared" si="270"/>
        <v>1</v>
      </c>
    </row>
    <row r="3830" spans="1:6" x14ac:dyDescent="0.25">
      <c r="A3830" s="5" t="s">
        <v>18</v>
      </c>
      <c r="B3830" s="19">
        <v>44052</v>
      </c>
      <c r="C3830" s="4">
        <v>108</v>
      </c>
      <c r="D3830" s="21">
        <v>2146</v>
      </c>
      <c r="E3830" s="4">
        <v>1</v>
      </c>
      <c r="F3830" s="57">
        <f t="shared" si="270"/>
        <v>2</v>
      </c>
    </row>
    <row r="3831" spans="1:6" x14ac:dyDescent="0.25">
      <c r="A3831" s="5" t="s">
        <v>24</v>
      </c>
      <c r="B3831" s="19">
        <v>44052</v>
      </c>
      <c r="C3831" s="4">
        <v>3</v>
      </c>
      <c r="D3831" s="21">
        <v>60</v>
      </c>
      <c r="F3831" s="57">
        <f t="shared" si="270"/>
        <v>2</v>
      </c>
    </row>
    <row r="3832" spans="1:6" x14ac:dyDescent="0.25">
      <c r="A3832" s="5" t="s">
        <v>20</v>
      </c>
      <c r="B3832" s="19">
        <v>44052</v>
      </c>
      <c r="C3832" s="4">
        <v>29</v>
      </c>
      <c r="D3832" s="21">
        <v>1456</v>
      </c>
      <c r="F3832" s="57">
        <f t="shared" si="270"/>
        <v>2</v>
      </c>
    </row>
    <row r="3833" spans="1:6" x14ac:dyDescent="0.25">
      <c r="A3833" s="5" t="s">
        <v>19</v>
      </c>
      <c r="B3833" s="19">
        <v>44052</v>
      </c>
      <c r="C3833" s="4">
        <v>62</v>
      </c>
      <c r="D3833" s="21">
        <v>2903</v>
      </c>
      <c r="F3833" s="57">
        <f t="shared" si="270"/>
        <v>2</v>
      </c>
    </row>
    <row r="3834" spans="1:6" x14ac:dyDescent="0.25">
      <c r="A3834" s="5" t="s">
        <v>35</v>
      </c>
      <c r="B3834" s="19">
        <v>44052</v>
      </c>
      <c r="C3834" s="4">
        <v>46</v>
      </c>
      <c r="D3834" s="21">
        <v>589</v>
      </c>
      <c r="F3834" s="57">
        <f t="shared" si="270"/>
        <v>5</v>
      </c>
    </row>
    <row r="3835" spans="1:6" x14ac:dyDescent="0.25">
      <c r="A3835" s="5" t="s">
        <v>36</v>
      </c>
      <c r="B3835" s="19">
        <v>44052</v>
      </c>
      <c r="C3835" s="4">
        <v>-1</v>
      </c>
      <c r="D3835" s="21">
        <v>22</v>
      </c>
      <c r="F3835" s="57">
        <f>E3835+F3811</f>
        <v>0</v>
      </c>
    </row>
    <row r="3836" spans="1:6" x14ac:dyDescent="0.25">
      <c r="A3836" s="5" t="s">
        <v>37</v>
      </c>
      <c r="B3836" s="19">
        <v>44052</v>
      </c>
      <c r="C3836" s="4">
        <v>1</v>
      </c>
      <c r="D3836" s="21">
        <v>34</v>
      </c>
      <c r="F3836" s="57">
        <f t="shared" si="270"/>
        <v>0</v>
      </c>
    </row>
    <row r="3837" spans="1:6" x14ac:dyDescent="0.25">
      <c r="A3837" s="5" t="s">
        <v>38</v>
      </c>
      <c r="B3837" s="19">
        <v>44052</v>
      </c>
      <c r="C3837" s="4">
        <v>41</v>
      </c>
      <c r="D3837" s="21">
        <v>748</v>
      </c>
      <c r="F3837" s="57">
        <f t="shared" ref="F3837:F3842" si="271">E3837+F3813</f>
        <v>3</v>
      </c>
    </row>
    <row r="3838" spans="1:6" x14ac:dyDescent="0.25">
      <c r="A3838" s="5" t="s">
        <v>23</v>
      </c>
      <c r="B3838" s="19">
        <v>44052</v>
      </c>
      <c r="C3838" s="4">
        <v>87</v>
      </c>
      <c r="D3838" s="21">
        <v>2136</v>
      </c>
      <c r="E3838" s="4">
        <v>1</v>
      </c>
      <c r="F3838" s="57">
        <f t="shared" si="271"/>
        <v>22</v>
      </c>
    </row>
    <row r="3839" spans="1:6" x14ac:dyDescent="0.25">
      <c r="A3839" s="5" t="s">
        <v>39</v>
      </c>
      <c r="B3839" s="19">
        <v>44052</v>
      </c>
      <c r="C3839" s="4">
        <v>20</v>
      </c>
      <c r="D3839" s="21">
        <v>135</v>
      </c>
      <c r="F3839" s="57">
        <f t="shared" si="271"/>
        <v>1</v>
      </c>
    </row>
    <row r="3840" spans="1:6" x14ac:dyDescent="0.25">
      <c r="A3840" s="5" t="s">
        <v>40</v>
      </c>
      <c r="B3840" s="19">
        <v>44052</v>
      </c>
      <c r="C3840" s="4">
        <v>37</v>
      </c>
      <c r="D3840" s="21">
        <v>987</v>
      </c>
      <c r="F3840" s="57">
        <f t="shared" si="271"/>
        <v>5</v>
      </c>
    </row>
    <row r="3841" spans="1:6" x14ac:dyDescent="0.25">
      <c r="A3841" s="5" t="s">
        <v>41</v>
      </c>
      <c r="B3841" s="19">
        <v>44052</v>
      </c>
      <c r="C3841" s="4">
        <v>26</v>
      </c>
      <c r="D3841" s="21">
        <v>399</v>
      </c>
      <c r="F3841" s="57">
        <f t="shared" si="271"/>
        <v>5</v>
      </c>
    </row>
    <row r="3842" spans="1:6" x14ac:dyDescent="0.25">
      <c r="A3842" s="42" t="s">
        <v>17</v>
      </c>
      <c r="B3842" s="19">
        <v>44053</v>
      </c>
      <c r="C3842" s="4">
        <v>5402</v>
      </c>
      <c r="D3842" s="21">
        <v>156669</v>
      </c>
      <c r="E3842" s="4">
        <v>108</v>
      </c>
      <c r="F3842" s="57">
        <f t="shared" si="271"/>
        <v>2722</v>
      </c>
    </row>
    <row r="3843" spans="1:6" x14ac:dyDescent="0.25">
      <c r="A3843" s="5" t="s">
        <v>29</v>
      </c>
      <c r="B3843" s="19">
        <v>44053</v>
      </c>
      <c r="C3843" s="4">
        <v>0</v>
      </c>
      <c r="D3843" s="21">
        <v>62</v>
      </c>
      <c r="F3843" s="57">
        <f t="shared" ref="F3843:F3860" si="272">E3843+F3819</f>
        <v>0</v>
      </c>
    </row>
    <row r="3844" spans="1:6" x14ac:dyDescent="0.25">
      <c r="A3844" s="5" t="s">
        <v>16</v>
      </c>
      <c r="B3844" s="19">
        <v>44053</v>
      </c>
      <c r="C3844" s="4">
        <v>16</v>
      </c>
      <c r="D3844" s="21">
        <v>4085</v>
      </c>
      <c r="E3844" s="4">
        <v>3</v>
      </c>
      <c r="F3844" s="57">
        <f t="shared" si="272"/>
        <v>166</v>
      </c>
    </row>
    <row r="3845" spans="1:6" x14ac:dyDescent="0.25">
      <c r="A3845" s="5" t="s">
        <v>30</v>
      </c>
      <c r="B3845" s="19">
        <v>44053</v>
      </c>
      <c r="C3845" s="4">
        <v>2</v>
      </c>
      <c r="D3845" s="21">
        <v>351</v>
      </c>
      <c r="F3845" s="57">
        <f t="shared" si="272"/>
        <v>4</v>
      </c>
    </row>
    <row r="3846" spans="1:6" x14ac:dyDescent="0.25">
      <c r="A3846" s="5" t="s">
        <v>44</v>
      </c>
      <c r="B3846" s="19">
        <v>44053</v>
      </c>
      <c r="C3846" s="4">
        <v>1047</v>
      </c>
      <c r="D3846" s="21">
        <v>71086</v>
      </c>
      <c r="E3846" s="4">
        <f>4+13+16</f>
        <v>33</v>
      </c>
      <c r="F3846" s="57">
        <f>E3846+F3822</f>
        <v>1503</v>
      </c>
    </row>
    <row r="3847" spans="1:6" x14ac:dyDescent="0.25">
      <c r="A3847" s="5" t="s">
        <v>21</v>
      </c>
      <c r="B3847" s="19">
        <v>44053</v>
      </c>
      <c r="C3847" s="4">
        <v>170</v>
      </c>
      <c r="D3847" s="21">
        <v>3685</v>
      </c>
      <c r="E3847" s="4">
        <v>3</v>
      </c>
      <c r="F3847" s="57">
        <f>E3847+F3823</f>
        <v>67</v>
      </c>
    </row>
    <row r="3848" spans="1:6" x14ac:dyDescent="0.25">
      <c r="A3848" s="5" t="s">
        <v>31</v>
      </c>
      <c r="B3848" s="19">
        <v>44053</v>
      </c>
      <c r="C3848" s="4">
        <v>2</v>
      </c>
      <c r="D3848" s="21">
        <v>216</v>
      </c>
      <c r="F3848" s="57">
        <f t="shared" si="272"/>
        <v>2</v>
      </c>
    </row>
    <row r="3849" spans="1:6" x14ac:dyDescent="0.25">
      <c r="A3849" s="5" t="s">
        <v>32</v>
      </c>
      <c r="B3849" s="19">
        <v>44053</v>
      </c>
      <c r="C3849" s="4">
        <v>45</v>
      </c>
      <c r="D3849" s="21">
        <v>1208</v>
      </c>
      <c r="F3849" s="57">
        <f t="shared" si="272"/>
        <v>13</v>
      </c>
    </row>
    <row r="3850" spans="1:6" x14ac:dyDescent="0.25">
      <c r="A3850" s="5" t="s">
        <v>42</v>
      </c>
      <c r="B3850" s="19">
        <v>44053</v>
      </c>
      <c r="C3850" s="4">
        <v>1</v>
      </c>
      <c r="D3850" s="21">
        <v>87</v>
      </c>
      <c r="F3850" s="57">
        <f>E3850+F3826</f>
        <v>0</v>
      </c>
    </row>
    <row r="3851" spans="1:6" x14ac:dyDescent="0.25">
      <c r="A3851" s="5" t="s">
        <v>33</v>
      </c>
      <c r="B3851" s="19">
        <v>44053</v>
      </c>
      <c r="C3851" s="4">
        <v>139</v>
      </c>
      <c r="D3851" s="21">
        <v>3559</v>
      </c>
      <c r="E3851" s="4">
        <v>1</v>
      </c>
      <c r="F3851" s="57">
        <f t="shared" si="272"/>
        <v>1</v>
      </c>
    </row>
    <row r="3852" spans="1:6" x14ac:dyDescent="0.25">
      <c r="A3852" s="5" t="s">
        <v>34</v>
      </c>
      <c r="B3852" s="19">
        <v>44053</v>
      </c>
      <c r="C3852" s="4">
        <v>2</v>
      </c>
      <c r="D3852" s="21">
        <v>208</v>
      </c>
      <c r="F3852" s="57">
        <f t="shared" si="272"/>
        <v>1</v>
      </c>
    </row>
    <row r="3853" spans="1:6" x14ac:dyDescent="0.25">
      <c r="A3853" s="5" t="s">
        <v>22</v>
      </c>
      <c r="B3853" s="19">
        <v>44053</v>
      </c>
      <c r="C3853" s="4">
        <v>2</v>
      </c>
      <c r="D3853" s="21">
        <v>518</v>
      </c>
      <c r="F3853" s="57">
        <f t="shared" si="272"/>
        <v>1</v>
      </c>
    </row>
    <row r="3854" spans="1:6" x14ac:dyDescent="0.25">
      <c r="A3854" s="5" t="s">
        <v>18</v>
      </c>
      <c r="B3854" s="19">
        <v>44053</v>
      </c>
      <c r="C3854" s="4">
        <v>94</v>
      </c>
      <c r="D3854" s="21">
        <v>2240</v>
      </c>
      <c r="E3854" s="4">
        <v>3</v>
      </c>
      <c r="F3854" s="57">
        <f t="shared" si="272"/>
        <v>5</v>
      </c>
    </row>
    <row r="3855" spans="1:6" x14ac:dyDescent="0.25">
      <c r="A3855" s="5" t="s">
        <v>24</v>
      </c>
      <c r="B3855" s="19">
        <v>44053</v>
      </c>
      <c r="C3855" s="4">
        <v>1</v>
      </c>
      <c r="D3855" s="21">
        <v>61</v>
      </c>
      <c r="F3855" s="57">
        <f t="shared" si="272"/>
        <v>2</v>
      </c>
    </row>
    <row r="3856" spans="1:6" x14ac:dyDescent="0.25">
      <c r="A3856" s="5" t="s">
        <v>20</v>
      </c>
      <c r="B3856" s="19">
        <v>44053</v>
      </c>
      <c r="C3856" s="4">
        <v>27</v>
      </c>
      <c r="D3856" s="21">
        <v>1483</v>
      </c>
      <c r="F3856" s="57">
        <f t="shared" si="272"/>
        <v>2</v>
      </c>
    </row>
    <row r="3857" spans="1:6" x14ac:dyDescent="0.25">
      <c r="A3857" s="5" t="s">
        <v>19</v>
      </c>
      <c r="B3857" s="19">
        <v>44053</v>
      </c>
      <c r="C3857" s="4">
        <v>105</v>
      </c>
      <c r="D3857" s="21">
        <v>3008</v>
      </c>
      <c r="E3857" s="4">
        <v>4</v>
      </c>
      <c r="F3857" s="57">
        <f t="shared" si="272"/>
        <v>6</v>
      </c>
    </row>
    <row r="3858" spans="1:6" x14ac:dyDescent="0.25">
      <c r="A3858" s="5" t="s">
        <v>35</v>
      </c>
      <c r="B3858" s="19">
        <v>44053</v>
      </c>
      <c r="C3858" s="4">
        <v>22</v>
      </c>
      <c r="D3858" s="21">
        <v>611</v>
      </c>
      <c r="F3858" s="57">
        <f t="shared" si="272"/>
        <v>5</v>
      </c>
    </row>
    <row r="3859" spans="1:6" x14ac:dyDescent="0.25">
      <c r="A3859" s="5" t="s">
        <v>36</v>
      </c>
      <c r="B3859" s="19">
        <v>44053</v>
      </c>
      <c r="C3859" s="4">
        <v>0</v>
      </c>
      <c r="D3859" s="21">
        <v>22</v>
      </c>
      <c r="F3859" s="57">
        <f>E3859+F3835</f>
        <v>0</v>
      </c>
    </row>
    <row r="3860" spans="1:6" x14ac:dyDescent="0.25">
      <c r="A3860" s="5" t="s">
        <v>37</v>
      </c>
      <c r="B3860" s="19">
        <v>44053</v>
      </c>
      <c r="C3860" s="4">
        <v>-3</v>
      </c>
      <c r="D3860" s="21">
        <v>31</v>
      </c>
      <c r="F3860" s="57">
        <f t="shared" si="272"/>
        <v>0</v>
      </c>
    </row>
    <row r="3861" spans="1:6" x14ac:dyDescent="0.25">
      <c r="A3861" s="5" t="s">
        <v>38</v>
      </c>
      <c r="B3861" s="19">
        <v>44053</v>
      </c>
      <c r="C3861" s="4">
        <v>57</v>
      </c>
      <c r="D3861" s="21">
        <v>805</v>
      </c>
      <c r="F3861" s="57">
        <f t="shared" ref="F3861:F3866" si="273">E3861+F3837</f>
        <v>3</v>
      </c>
    </row>
    <row r="3862" spans="1:6" x14ac:dyDescent="0.25">
      <c r="A3862" s="5" t="s">
        <v>23</v>
      </c>
      <c r="B3862" s="19">
        <v>44053</v>
      </c>
      <c r="C3862" s="4">
        <v>140</v>
      </c>
      <c r="D3862" s="21">
        <v>2276</v>
      </c>
      <c r="E3862" s="4">
        <v>1</v>
      </c>
      <c r="F3862" s="57">
        <f t="shared" si="273"/>
        <v>23</v>
      </c>
    </row>
    <row r="3863" spans="1:6" x14ac:dyDescent="0.25">
      <c r="A3863" s="5" t="s">
        <v>39</v>
      </c>
      <c r="B3863" s="19">
        <v>44053</v>
      </c>
      <c r="C3863" s="4">
        <v>3</v>
      </c>
      <c r="D3863" s="21">
        <v>138</v>
      </c>
      <c r="F3863" s="57">
        <f t="shared" si="273"/>
        <v>1</v>
      </c>
    </row>
    <row r="3864" spans="1:6" x14ac:dyDescent="0.25">
      <c r="A3864" s="5" t="s">
        <v>40</v>
      </c>
      <c r="B3864" s="19">
        <v>44053</v>
      </c>
      <c r="C3864" s="4">
        <v>68</v>
      </c>
      <c r="D3864" s="21">
        <v>1055</v>
      </c>
      <c r="E3864" s="4">
        <v>2</v>
      </c>
      <c r="F3864" s="57">
        <f t="shared" si="273"/>
        <v>7</v>
      </c>
    </row>
    <row r="3865" spans="1:6" x14ac:dyDescent="0.25">
      <c r="A3865" s="5" t="s">
        <v>41</v>
      </c>
      <c r="B3865" s="19">
        <v>44053</v>
      </c>
      <c r="C3865" s="4">
        <v>27</v>
      </c>
      <c r="D3865" s="21">
        <v>426</v>
      </c>
      <c r="F3865" s="57">
        <f t="shared" si="273"/>
        <v>5</v>
      </c>
    </row>
    <row r="3866" spans="1:6" x14ac:dyDescent="0.25">
      <c r="A3866" s="42" t="s">
        <v>17</v>
      </c>
      <c r="B3866" s="19">
        <v>44054</v>
      </c>
      <c r="C3866" s="4">
        <v>4576</v>
      </c>
      <c r="D3866" s="21">
        <v>161245</v>
      </c>
      <c r="E3866" s="4">
        <f>4+6+90+93</f>
        <v>193</v>
      </c>
      <c r="F3866" s="57">
        <f t="shared" si="273"/>
        <v>2915</v>
      </c>
    </row>
    <row r="3867" spans="1:6" x14ac:dyDescent="0.25">
      <c r="A3867" s="5" t="s">
        <v>44</v>
      </c>
      <c r="B3867" s="19">
        <v>44054</v>
      </c>
      <c r="C3867" s="4">
        <v>1200</v>
      </c>
      <c r="D3867" s="21">
        <v>72286</v>
      </c>
      <c r="E3867" s="4">
        <f>3+4+11+13</f>
        <v>31</v>
      </c>
      <c r="F3867" s="57">
        <f>E3867+F3846</f>
        <v>1534</v>
      </c>
    </row>
    <row r="3868" spans="1:6" x14ac:dyDescent="0.25">
      <c r="A3868" s="5" t="s">
        <v>29</v>
      </c>
      <c r="B3868" s="19">
        <v>44054</v>
      </c>
      <c r="C3868" s="4">
        <v>0</v>
      </c>
      <c r="D3868" s="21">
        <v>62</v>
      </c>
      <c r="F3868" s="57">
        <f>E3868+F3843</f>
        <v>0</v>
      </c>
    </row>
    <row r="3869" spans="1:6" x14ac:dyDescent="0.25">
      <c r="A3869" s="5" t="s">
        <v>16</v>
      </c>
      <c r="B3869" s="19">
        <v>44054</v>
      </c>
      <c r="C3869" s="4">
        <v>69</v>
      </c>
      <c r="D3869" s="21">
        <v>4154</v>
      </c>
      <c r="E3869" s="4">
        <v>1</v>
      </c>
      <c r="F3869" s="57">
        <f>E3869+F3844</f>
        <v>167</v>
      </c>
    </row>
    <row r="3870" spans="1:6" x14ac:dyDescent="0.25">
      <c r="A3870" s="5" t="s">
        <v>30</v>
      </c>
      <c r="B3870" s="19">
        <v>44054</v>
      </c>
      <c r="C3870" s="4">
        <v>6</v>
      </c>
      <c r="D3870" s="21">
        <v>357</v>
      </c>
      <c r="F3870" s="57">
        <f>E3870+F3845</f>
        <v>4</v>
      </c>
    </row>
    <row r="3871" spans="1:6" x14ac:dyDescent="0.25">
      <c r="A3871" s="5" t="s">
        <v>21</v>
      </c>
      <c r="B3871" s="19">
        <v>44054</v>
      </c>
      <c r="C3871" s="4">
        <v>148</v>
      </c>
      <c r="D3871" s="21">
        <v>3833</v>
      </c>
      <c r="E3871" s="4">
        <v>3</v>
      </c>
      <c r="F3871" s="57">
        <f>E3871+F3847</f>
        <v>70</v>
      </c>
    </row>
    <row r="3872" spans="1:6" x14ac:dyDescent="0.25">
      <c r="A3872" s="5" t="s">
        <v>31</v>
      </c>
      <c r="B3872" s="19">
        <v>44054</v>
      </c>
      <c r="C3872" s="4">
        <v>2</v>
      </c>
      <c r="D3872" s="21">
        <v>218</v>
      </c>
      <c r="F3872" s="57">
        <f t="shared" ref="F3872:F3929" si="274">E3872+F3848</f>
        <v>2</v>
      </c>
    </row>
    <row r="3873" spans="1:6" x14ac:dyDescent="0.25">
      <c r="A3873" s="5" t="s">
        <v>32</v>
      </c>
      <c r="B3873" s="19">
        <v>44054</v>
      </c>
      <c r="C3873" s="4">
        <v>35</v>
      </c>
      <c r="D3873" s="21">
        <v>1243</v>
      </c>
      <c r="E3873" s="4">
        <v>2</v>
      </c>
      <c r="F3873" s="57">
        <f t="shared" si="274"/>
        <v>15</v>
      </c>
    </row>
    <row r="3874" spans="1:6" x14ac:dyDescent="0.25">
      <c r="A3874" s="5" t="s">
        <v>42</v>
      </c>
      <c r="B3874" s="19">
        <v>44054</v>
      </c>
      <c r="C3874" s="4">
        <v>-4</v>
      </c>
      <c r="D3874" s="21">
        <v>83</v>
      </c>
      <c r="F3874" s="57">
        <f>E3874+F3850</f>
        <v>0</v>
      </c>
    </row>
    <row r="3875" spans="1:6" x14ac:dyDescent="0.25">
      <c r="A3875" s="5" t="s">
        <v>33</v>
      </c>
      <c r="B3875" s="19">
        <v>44054</v>
      </c>
      <c r="C3875" s="4">
        <v>318</v>
      </c>
      <c r="D3875" s="21">
        <v>3877</v>
      </c>
      <c r="F3875" s="57">
        <f t="shared" si="274"/>
        <v>1</v>
      </c>
    </row>
    <row r="3876" spans="1:6" x14ac:dyDescent="0.25">
      <c r="A3876" s="5" t="s">
        <v>34</v>
      </c>
      <c r="B3876" s="19">
        <v>44054</v>
      </c>
      <c r="C3876" s="4">
        <v>0</v>
      </c>
      <c r="D3876" s="21">
        <v>208</v>
      </c>
      <c r="F3876" s="57">
        <f t="shared" si="274"/>
        <v>1</v>
      </c>
    </row>
    <row r="3877" spans="1:6" x14ac:dyDescent="0.25">
      <c r="A3877" s="5" t="s">
        <v>22</v>
      </c>
      <c r="B3877" s="19">
        <v>44054</v>
      </c>
      <c r="C3877" s="4">
        <v>1</v>
      </c>
      <c r="D3877" s="21">
        <v>519</v>
      </c>
      <c r="F3877" s="57">
        <f t="shared" si="274"/>
        <v>1</v>
      </c>
    </row>
    <row r="3878" spans="1:6" x14ac:dyDescent="0.25">
      <c r="A3878" s="5" t="s">
        <v>18</v>
      </c>
      <c r="B3878" s="19">
        <v>44054</v>
      </c>
      <c r="C3878" s="4">
        <v>148</v>
      </c>
      <c r="D3878" s="21">
        <v>2388</v>
      </c>
      <c r="E3878" s="4">
        <v>2</v>
      </c>
      <c r="F3878" s="57">
        <f t="shared" si="274"/>
        <v>7</v>
      </c>
    </row>
    <row r="3879" spans="1:6" x14ac:dyDescent="0.25">
      <c r="A3879" s="5" t="s">
        <v>24</v>
      </c>
      <c r="B3879" s="19">
        <v>44054</v>
      </c>
      <c r="C3879" s="4">
        <v>1</v>
      </c>
      <c r="D3879" s="21">
        <v>62</v>
      </c>
      <c r="F3879" s="57">
        <f t="shared" si="274"/>
        <v>2</v>
      </c>
    </row>
    <row r="3880" spans="1:6" x14ac:dyDescent="0.25">
      <c r="A3880" s="5" t="s">
        <v>20</v>
      </c>
      <c r="B3880" s="19">
        <v>44054</v>
      </c>
      <c r="C3880" s="4">
        <v>7</v>
      </c>
      <c r="D3880" s="21">
        <v>1490</v>
      </c>
      <c r="E3880" s="4">
        <f>1</f>
        <v>1</v>
      </c>
      <c r="F3880" s="57">
        <f t="shared" si="274"/>
        <v>3</v>
      </c>
    </row>
    <row r="3881" spans="1:6" x14ac:dyDescent="0.25">
      <c r="A3881" s="5" t="s">
        <v>19</v>
      </c>
      <c r="B3881" s="19">
        <v>44054</v>
      </c>
      <c r="C3881" s="4">
        <v>187</v>
      </c>
      <c r="D3881" s="21">
        <v>3195</v>
      </c>
      <c r="E3881" s="4">
        <v>4</v>
      </c>
      <c r="F3881" s="57">
        <f t="shared" si="274"/>
        <v>10</v>
      </c>
    </row>
    <row r="3882" spans="1:6" x14ac:dyDescent="0.25">
      <c r="A3882" s="5" t="s">
        <v>35</v>
      </c>
      <c r="B3882" s="19">
        <v>44054</v>
      </c>
      <c r="C3882" s="4">
        <v>72</v>
      </c>
      <c r="D3882" s="21">
        <v>683</v>
      </c>
      <c r="F3882" s="57">
        <f>E3882+F3858</f>
        <v>5</v>
      </c>
    </row>
    <row r="3883" spans="1:6" x14ac:dyDescent="0.25">
      <c r="A3883" s="5" t="s">
        <v>36</v>
      </c>
      <c r="B3883" s="19">
        <v>44054</v>
      </c>
      <c r="C3883" s="4">
        <v>1</v>
      </c>
      <c r="D3883" s="21">
        <v>23</v>
      </c>
      <c r="F3883" s="57">
        <f>E3883+F3859</f>
        <v>0</v>
      </c>
    </row>
    <row r="3884" spans="1:6" x14ac:dyDescent="0.25">
      <c r="A3884" s="5" t="s">
        <v>37</v>
      </c>
      <c r="B3884" s="19">
        <v>44054</v>
      </c>
      <c r="C3884" s="4">
        <v>0</v>
      </c>
      <c r="D3884" s="21">
        <v>31</v>
      </c>
      <c r="F3884" s="57">
        <f t="shared" si="274"/>
        <v>0</v>
      </c>
    </row>
    <row r="3885" spans="1:6" x14ac:dyDescent="0.25">
      <c r="A3885" s="5" t="s">
        <v>38</v>
      </c>
      <c r="B3885" s="19">
        <v>44054</v>
      </c>
      <c r="C3885" s="4">
        <v>29</v>
      </c>
      <c r="D3885" s="21">
        <v>834</v>
      </c>
      <c r="F3885" s="57">
        <f t="shared" ref="F3885:F3891" si="275">E3885+F3861</f>
        <v>3</v>
      </c>
    </row>
    <row r="3886" spans="1:6" x14ac:dyDescent="0.25">
      <c r="A3886" s="5" t="s">
        <v>23</v>
      </c>
      <c r="B3886" s="19">
        <v>44054</v>
      </c>
      <c r="C3886" s="4">
        <v>155</v>
      </c>
      <c r="D3886" s="21">
        <v>2431</v>
      </c>
      <c r="E3886" s="4">
        <v>2</v>
      </c>
      <c r="F3886" s="57">
        <f t="shared" si="275"/>
        <v>25</v>
      </c>
    </row>
    <row r="3887" spans="1:6" x14ac:dyDescent="0.25">
      <c r="A3887" s="5" t="s">
        <v>39</v>
      </c>
      <c r="B3887" s="19">
        <v>44054</v>
      </c>
      <c r="C3887" s="4">
        <v>20</v>
      </c>
      <c r="D3887" s="21">
        <v>158</v>
      </c>
      <c r="F3887" s="57">
        <f t="shared" si="275"/>
        <v>1</v>
      </c>
    </row>
    <row r="3888" spans="1:6" x14ac:dyDescent="0.25">
      <c r="A3888" s="5" t="s">
        <v>40</v>
      </c>
      <c r="B3888" s="19">
        <v>44054</v>
      </c>
      <c r="C3888" s="4">
        <v>42</v>
      </c>
      <c r="D3888" s="21">
        <v>1097</v>
      </c>
      <c r="E3888" s="4">
        <v>2</v>
      </c>
      <c r="F3888" s="57">
        <f t="shared" si="275"/>
        <v>9</v>
      </c>
    </row>
    <row r="3889" spans="1:6" x14ac:dyDescent="0.25">
      <c r="A3889" s="5" t="s">
        <v>41</v>
      </c>
      <c r="B3889" s="19">
        <v>44054</v>
      </c>
      <c r="C3889" s="4">
        <v>30</v>
      </c>
      <c r="D3889" s="21">
        <v>456</v>
      </c>
      <c r="F3889" s="57">
        <f t="shared" si="275"/>
        <v>5</v>
      </c>
    </row>
    <row r="3890" spans="1:6" x14ac:dyDescent="0.25">
      <c r="A3890" s="42" t="s">
        <v>17</v>
      </c>
      <c r="B3890" s="19">
        <v>44055</v>
      </c>
      <c r="C3890" s="4">
        <v>5153</v>
      </c>
      <c r="D3890" s="21">
        <f>C3890+D3866</f>
        <v>166398</v>
      </c>
      <c r="E3890" s="4">
        <v>141</v>
      </c>
      <c r="F3890" s="57">
        <f t="shared" si="275"/>
        <v>3056</v>
      </c>
    </row>
    <row r="3891" spans="1:6" x14ac:dyDescent="0.25">
      <c r="A3891" s="5" t="s">
        <v>44</v>
      </c>
      <c r="B3891" s="19">
        <v>44055</v>
      </c>
      <c r="C3891" s="4">
        <v>1163</v>
      </c>
      <c r="D3891" s="21">
        <f t="shared" ref="D3891:D3913" si="276">C3891+D3867</f>
        <v>73449</v>
      </c>
      <c r="E3891" s="4">
        <v>59</v>
      </c>
      <c r="F3891" s="57">
        <f t="shared" si="275"/>
        <v>1593</v>
      </c>
    </row>
    <row r="3892" spans="1:6" x14ac:dyDescent="0.25">
      <c r="A3892" s="5" t="s">
        <v>29</v>
      </c>
      <c r="B3892" s="19">
        <v>44055</v>
      </c>
      <c r="C3892" s="4">
        <v>0</v>
      </c>
      <c r="D3892" s="21">
        <f t="shared" si="276"/>
        <v>62</v>
      </c>
      <c r="F3892" s="57">
        <f t="shared" si="274"/>
        <v>0</v>
      </c>
    </row>
    <row r="3893" spans="1:6" x14ac:dyDescent="0.25">
      <c r="A3893" s="5" t="s">
        <v>16</v>
      </c>
      <c r="B3893" s="19">
        <v>44055</v>
      </c>
      <c r="C3893" s="4">
        <v>64</v>
      </c>
      <c r="D3893" s="21">
        <f t="shared" si="276"/>
        <v>4218</v>
      </c>
      <c r="F3893" s="57">
        <f t="shared" si="274"/>
        <v>167</v>
      </c>
    </row>
    <row r="3894" spans="1:6" x14ac:dyDescent="0.25">
      <c r="A3894" s="5" t="s">
        <v>30</v>
      </c>
      <c r="B3894" s="19">
        <v>44055</v>
      </c>
      <c r="C3894" s="4">
        <v>10</v>
      </c>
      <c r="D3894" s="21">
        <f t="shared" si="276"/>
        <v>367</v>
      </c>
      <c r="E3894" s="4">
        <v>1</v>
      </c>
      <c r="F3894" s="57">
        <f t="shared" si="274"/>
        <v>5</v>
      </c>
    </row>
    <row r="3895" spans="1:6" x14ac:dyDescent="0.25">
      <c r="A3895" s="5" t="s">
        <v>21</v>
      </c>
      <c r="B3895" s="19">
        <v>44055</v>
      </c>
      <c r="C3895" s="4">
        <v>141</v>
      </c>
      <c r="D3895" s="21">
        <f t="shared" si="276"/>
        <v>3974</v>
      </c>
      <c r="F3895" s="57">
        <f t="shared" si="274"/>
        <v>70</v>
      </c>
    </row>
    <row r="3896" spans="1:6" x14ac:dyDescent="0.25">
      <c r="A3896" s="5" t="s">
        <v>31</v>
      </c>
      <c r="B3896" s="19">
        <v>44055</v>
      </c>
      <c r="C3896" s="4">
        <v>3</v>
      </c>
      <c r="D3896" s="21">
        <f t="shared" si="276"/>
        <v>221</v>
      </c>
      <c r="F3896" s="57">
        <f t="shared" si="274"/>
        <v>2</v>
      </c>
    </row>
    <row r="3897" spans="1:6" x14ac:dyDescent="0.25">
      <c r="A3897" s="5" t="s">
        <v>32</v>
      </c>
      <c r="B3897" s="19">
        <v>44055</v>
      </c>
      <c r="C3897" s="4">
        <v>66</v>
      </c>
      <c r="D3897" s="21">
        <f t="shared" si="276"/>
        <v>1309</v>
      </c>
      <c r="F3897" s="57">
        <f t="shared" si="274"/>
        <v>15</v>
      </c>
    </row>
    <row r="3898" spans="1:6" x14ac:dyDescent="0.25">
      <c r="A3898" s="5" t="s">
        <v>42</v>
      </c>
      <c r="B3898" s="19">
        <v>44055</v>
      </c>
      <c r="C3898" s="4">
        <v>0</v>
      </c>
      <c r="D3898" s="21">
        <f t="shared" si="276"/>
        <v>83</v>
      </c>
      <c r="F3898" s="57">
        <f>E3898+F3874</f>
        <v>0</v>
      </c>
    </row>
    <row r="3899" spans="1:6" x14ac:dyDescent="0.25">
      <c r="A3899" s="5" t="s">
        <v>33</v>
      </c>
      <c r="B3899" s="19">
        <v>44055</v>
      </c>
      <c r="C3899" s="4">
        <v>152</v>
      </c>
      <c r="D3899" s="21">
        <f t="shared" si="276"/>
        <v>4029</v>
      </c>
      <c r="F3899" s="57">
        <f>E3899+F3875</f>
        <v>1</v>
      </c>
    </row>
    <row r="3900" spans="1:6" x14ac:dyDescent="0.25">
      <c r="A3900" s="5" t="s">
        <v>34</v>
      </c>
      <c r="B3900" s="19">
        <v>44055</v>
      </c>
      <c r="C3900" s="4">
        <v>0</v>
      </c>
      <c r="D3900" s="21">
        <f t="shared" si="276"/>
        <v>208</v>
      </c>
      <c r="F3900" s="57">
        <f t="shared" si="274"/>
        <v>1</v>
      </c>
    </row>
    <row r="3901" spans="1:6" x14ac:dyDescent="0.25">
      <c r="A3901" s="5" t="s">
        <v>22</v>
      </c>
      <c r="B3901" s="19">
        <v>44055</v>
      </c>
      <c r="C3901" s="4">
        <v>22</v>
      </c>
      <c r="D3901" s="21">
        <f t="shared" si="276"/>
        <v>541</v>
      </c>
      <c r="F3901" s="57">
        <f t="shared" si="274"/>
        <v>1</v>
      </c>
    </row>
    <row r="3902" spans="1:6" x14ac:dyDescent="0.25">
      <c r="A3902" s="5" t="s">
        <v>18</v>
      </c>
      <c r="B3902" s="19">
        <v>44055</v>
      </c>
      <c r="C3902" s="4">
        <v>189</v>
      </c>
      <c r="D3902" s="21">
        <f t="shared" si="276"/>
        <v>2577</v>
      </c>
      <c r="E3902" s="4">
        <v>3</v>
      </c>
      <c r="F3902" s="57">
        <f t="shared" si="274"/>
        <v>10</v>
      </c>
    </row>
    <row r="3903" spans="1:6" x14ac:dyDescent="0.25">
      <c r="A3903" s="5" t="s">
        <v>24</v>
      </c>
      <c r="B3903" s="19">
        <v>44055</v>
      </c>
      <c r="C3903" s="4">
        <v>-1</v>
      </c>
      <c r="D3903" s="21">
        <f t="shared" si="276"/>
        <v>61</v>
      </c>
      <c r="F3903" s="57">
        <f t="shared" si="274"/>
        <v>2</v>
      </c>
    </row>
    <row r="3904" spans="1:6" x14ac:dyDescent="0.25">
      <c r="A3904" s="5" t="s">
        <v>20</v>
      </c>
      <c r="B3904" s="19">
        <v>44055</v>
      </c>
      <c r="C3904" s="4">
        <v>155</v>
      </c>
      <c r="D3904" s="21">
        <f t="shared" si="276"/>
        <v>1645</v>
      </c>
      <c r="F3904" s="57">
        <f t="shared" si="274"/>
        <v>3</v>
      </c>
    </row>
    <row r="3905" spans="1:6" x14ac:dyDescent="0.25">
      <c r="A3905" s="5" t="s">
        <v>19</v>
      </c>
      <c r="B3905" s="19">
        <v>44055</v>
      </c>
      <c r="C3905" s="4">
        <v>180</v>
      </c>
      <c r="D3905" s="21">
        <f t="shared" si="276"/>
        <v>3375</v>
      </c>
      <c r="E3905" s="4">
        <v>3</v>
      </c>
      <c r="F3905" s="57">
        <f t="shared" si="274"/>
        <v>13</v>
      </c>
    </row>
    <row r="3906" spans="1:6" x14ac:dyDescent="0.25">
      <c r="A3906" s="5" t="s">
        <v>35</v>
      </c>
      <c r="B3906" s="19">
        <v>44055</v>
      </c>
      <c r="C3906" s="4">
        <v>67</v>
      </c>
      <c r="D3906" s="21">
        <f>C3906+D3882</f>
        <v>750</v>
      </c>
      <c r="F3906" s="57">
        <f>E3906+F3882</f>
        <v>5</v>
      </c>
    </row>
    <row r="3907" spans="1:6" x14ac:dyDescent="0.25">
      <c r="A3907" s="5" t="s">
        <v>36</v>
      </c>
      <c r="B3907" s="19">
        <v>44055</v>
      </c>
      <c r="C3907" s="4">
        <v>0</v>
      </c>
      <c r="D3907" s="21">
        <f t="shared" si="276"/>
        <v>23</v>
      </c>
      <c r="F3907" s="57">
        <f>E3907+F3883</f>
        <v>0</v>
      </c>
    </row>
    <row r="3908" spans="1:6" x14ac:dyDescent="0.25">
      <c r="A3908" s="5" t="s">
        <v>37</v>
      </c>
      <c r="B3908" s="19">
        <v>44055</v>
      </c>
      <c r="C3908" s="4">
        <v>1</v>
      </c>
      <c r="D3908" s="21">
        <f t="shared" si="276"/>
        <v>32</v>
      </c>
      <c r="F3908" s="57">
        <f t="shared" si="274"/>
        <v>0</v>
      </c>
    </row>
    <row r="3909" spans="1:6" x14ac:dyDescent="0.25">
      <c r="A3909" s="5" t="s">
        <v>38</v>
      </c>
      <c r="B3909" s="19">
        <v>44055</v>
      </c>
      <c r="C3909" s="4">
        <v>34</v>
      </c>
      <c r="D3909" s="21">
        <f t="shared" si="276"/>
        <v>868</v>
      </c>
      <c r="F3909" s="57">
        <f t="shared" ref="F3909:F3914" si="277">E3909+F3885</f>
        <v>3</v>
      </c>
    </row>
    <row r="3910" spans="1:6" x14ac:dyDescent="0.25">
      <c r="A3910" s="5" t="s">
        <v>23</v>
      </c>
      <c r="B3910" s="19">
        <v>44055</v>
      </c>
      <c r="C3910" s="4">
        <v>165</v>
      </c>
      <c r="D3910" s="21">
        <f t="shared" si="276"/>
        <v>2596</v>
      </c>
      <c r="E3910" s="4">
        <v>1</v>
      </c>
      <c r="F3910" s="57">
        <f t="shared" si="277"/>
        <v>26</v>
      </c>
    </row>
    <row r="3911" spans="1:6" x14ac:dyDescent="0.25">
      <c r="A3911" s="5" t="s">
        <v>39</v>
      </c>
      <c r="B3911" s="19">
        <v>44055</v>
      </c>
      <c r="C3911" s="4">
        <v>21</v>
      </c>
      <c r="D3911" s="21">
        <f t="shared" si="276"/>
        <v>179</v>
      </c>
      <c r="F3911" s="57">
        <f t="shared" si="277"/>
        <v>1</v>
      </c>
    </row>
    <row r="3912" spans="1:6" x14ac:dyDescent="0.25">
      <c r="A3912" s="5" t="s">
        <v>40</v>
      </c>
      <c r="B3912" s="19">
        <v>44055</v>
      </c>
      <c r="C3912" s="4">
        <v>46</v>
      </c>
      <c r="D3912" s="21">
        <f t="shared" si="276"/>
        <v>1143</v>
      </c>
      <c r="E3912" s="4">
        <v>1</v>
      </c>
      <c r="F3912" s="57">
        <f t="shared" si="277"/>
        <v>10</v>
      </c>
    </row>
    <row r="3913" spans="1:6" x14ac:dyDescent="0.25">
      <c r="A3913" s="5" t="s">
        <v>41</v>
      </c>
      <c r="B3913" s="19">
        <v>44055</v>
      </c>
      <c r="C3913" s="4">
        <v>32</v>
      </c>
      <c r="D3913" s="21">
        <f t="shared" si="276"/>
        <v>488</v>
      </c>
      <c r="F3913" s="57">
        <f t="shared" si="277"/>
        <v>5</v>
      </c>
    </row>
    <row r="3914" spans="1:6" x14ac:dyDescent="0.25">
      <c r="A3914" s="42" t="s">
        <v>17</v>
      </c>
      <c r="B3914" s="19">
        <v>44056</v>
      </c>
      <c r="C3914" s="4">
        <v>4986</v>
      </c>
      <c r="D3914" s="21">
        <f>C3914+D3890</f>
        <v>171384</v>
      </c>
      <c r="E3914" s="4">
        <v>73</v>
      </c>
      <c r="F3914" s="57">
        <f t="shared" si="277"/>
        <v>3129</v>
      </c>
    </row>
    <row r="3915" spans="1:6" x14ac:dyDescent="0.25">
      <c r="A3915" s="5" t="s">
        <v>44</v>
      </c>
      <c r="B3915" s="19">
        <v>44056</v>
      </c>
      <c r="C3915" s="4">
        <v>1126</v>
      </c>
      <c r="D3915" s="21">
        <f t="shared" ref="D3915:D3929" si="278">C3915+D3891</f>
        <v>74575</v>
      </c>
      <c r="E3915" s="4">
        <f>2+2+10+15</f>
        <v>29</v>
      </c>
      <c r="F3915" s="57">
        <f t="shared" si="274"/>
        <v>1622</v>
      </c>
    </row>
    <row r="3916" spans="1:6" x14ac:dyDescent="0.25">
      <c r="A3916" s="5" t="s">
        <v>29</v>
      </c>
      <c r="B3916" s="19">
        <v>44056</v>
      </c>
      <c r="C3916" s="4">
        <v>1</v>
      </c>
      <c r="D3916" s="21">
        <f t="shared" si="278"/>
        <v>63</v>
      </c>
      <c r="F3916" s="57">
        <f t="shared" si="274"/>
        <v>0</v>
      </c>
    </row>
    <row r="3917" spans="1:6" x14ac:dyDescent="0.25">
      <c r="A3917" s="5" t="s">
        <v>16</v>
      </c>
      <c r="B3917" s="19">
        <v>44056</v>
      </c>
      <c r="C3917" s="4">
        <v>61</v>
      </c>
      <c r="D3917" s="21">
        <f t="shared" si="278"/>
        <v>4279</v>
      </c>
      <c r="E3917" s="4">
        <v>6</v>
      </c>
      <c r="F3917" s="57">
        <f t="shared" si="274"/>
        <v>173</v>
      </c>
    </row>
    <row r="3918" spans="1:6" x14ac:dyDescent="0.25">
      <c r="A3918" s="5" t="s">
        <v>30</v>
      </c>
      <c r="B3918" s="19">
        <v>44056</v>
      </c>
      <c r="C3918" s="4">
        <v>18</v>
      </c>
      <c r="D3918" s="21">
        <f t="shared" si="278"/>
        <v>385</v>
      </c>
      <c r="F3918" s="57">
        <f t="shared" si="274"/>
        <v>5</v>
      </c>
    </row>
    <row r="3919" spans="1:6" x14ac:dyDescent="0.25">
      <c r="A3919" s="5" t="s">
        <v>21</v>
      </c>
      <c r="B3919" s="19">
        <v>44056</v>
      </c>
      <c r="C3919" s="4">
        <v>175</v>
      </c>
      <c r="D3919" s="21">
        <f t="shared" si="278"/>
        <v>4149</v>
      </c>
      <c r="E3919" s="4">
        <v>3</v>
      </c>
      <c r="F3919" s="57">
        <f t="shared" si="274"/>
        <v>73</v>
      </c>
    </row>
    <row r="3920" spans="1:6" x14ac:dyDescent="0.25">
      <c r="A3920" s="5" t="s">
        <v>31</v>
      </c>
      <c r="B3920" s="19">
        <v>44056</v>
      </c>
      <c r="C3920" s="4">
        <v>2</v>
      </c>
      <c r="D3920" s="21">
        <f t="shared" si="278"/>
        <v>223</v>
      </c>
      <c r="F3920" s="57">
        <f t="shared" si="274"/>
        <v>2</v>
      </c>
    </row>
    <row r="3921" spans="1:6" x14ac:dyDescent="0.25">
      <c r="A3921" s="5" t="s">
        <v>32</v>
      </c>
      <c r="B3921" s="19">
        <v>44056</v>
      </c>
      <c r="C3921" s="4">
        <v>55</v>
      </c>
      <c r="D3921" s="21">
        <f t="shared" si="278"/>
        <v>1364</v>
      </c>
      <c r="E3921" s="4">
        <v>3</v>
      </c>
      <c r="F3921" s="57">
        <f t="shared" si="274"/>
        <v>18</v>
      </c>
    </row>
    <row r="3922" spans="1:6" x14ac:dyDescent="0.25">
      <c r="A3922" s="5" t="s">
        <v>42</v>
      </c>
      <c r="B3922" s="19">
        <v>44056</v>
      </c>
      <c r="C3922" s="4">
        <v>-2</v>
      </c>
      <c r="D3922" s="21">
        <f t="shared" si="278"/>
        <v>81</v>
      </c>
      <c r="F3922" s="57">
        <f>E3922+F3898</f>
        <v>0</v>
      </c>
    </row>
    <row r="3923" spans="1:6" x14ac:dyDescent="0.25">
      <c r="A3923" s="5" t="s">
        <v>33</v>
      </c>
      <c r="B3923" s="19">
        <v>44056</v>
      </c>
      <c r="C3923" s="4">
        <v>167</v>
      </c>
      <c r="D3923" s="21">
        <f t="shared" si="278"/>
        <v>4196</v>
      </c>
      <c r="E3923" s="4">
        <f>2+9+8</f>
        <v>19</v>
      </c>
      <c r="F3923" s="57">
        <f>E3923+F3899</f>
        <v>20</v>
      </c>
    </row>
    <row r="3924" spans="1:6" x14ac:dyDescent="0.25">
      <c r="A3924" s="5" t="s">
        <v>34</v>
      </c>
      <c r="B3924" s="19">
        <v>44056</v>
      </c>
      <c r="C3924" s="4">
        <v>1</v>
      </c>
      <c r="D3924" s="21">
        <f t="shared" si="278"/>
        <v>209</v>
      </c>
      <c r="F3924" s="57">
        <f t="shared" si="274"/>
        <v>1</v>
      </c>
    </row>
    <row r="3925" spans="1:6" x14ac:dyDescent="0.25">
      <c r="A3925" s="5" t="s">
        <v>22</v>
      </c>
      <c r="B3925" s="19">
        <v>44056</v>
      </c>
      <c r="C3925" s="4">
        <v>98</v>
      </c>
      <c r="D3925" s="21">
        <f t="shared" si="278"/>
        <v>639</v>
      </c>
      <c r="F3925" s="57">
        <f t="shared" si="274"/>
        <v>1</v>
      </c>
    </row>
    <row r="3926" spans="1:6" x14ac:dyDescent="0.25">
      <c r="A3926" s="5" t="s">
        <v>18</v>
      </c>
      <c r="B3926" s="19">
        <v>44056</v>
      </c>
      <c r="C3926" s="4">
        <v>164</v>
      </c>
      <c r="D3926" s="21">
        <f t="shared" si="278"/>
        <v>2741</v>
      </c>
      <c r="E3926" s="4">
        <f>1+2+4</f>
        <v>7</v>
      </c>
      <c r="F3926" s="57">
        <f t="shared" si="274"/>
        <v>17</v>
      </c>
    </row>
    <row r="3927" spans="1:6" x14ac:dyDescent="0.25">
      <c r="A3927" s="5" t="s">
        <v>24</v>
      </c>
      <c r="B3927" s="19">
        <v>44056</v>
      </c>
      <c r="C3927" s="4">
        <v>2</v>
      </c>
      <c r="D3927" s="21">
        <f t="shared" si="278"/>
        <v>63</v>
      </c>
      <c r="F3927" s="57">
        <f t="shared" si="274"/>
        <v>2</v>
      </c>
    </row>
    <row r="3928" spans="1:6" x14ac:dyDescent="0.25">
      <c r="A3928" s="5" t="s">
        <v>20</v>
      </c>
      <c r="B3928" s="19">
        <v>44056</v>
      </c>
      <c r="C3928" s="4">
        <v>65</v>
      </c>
      <c r="D3928" s="21">
        <f t="shared" si="278"/>
        <v>1710</v>
      </c>
      <c r="F3928" s="57">
        <f t="shared" si="274"/>
        <v>3</v>
      </c>
    </row>
    <row r="3929" spans="1:6" x14ac:dyDescent="0.25">
      <c r="A3929" s="5" t="s">
        <v>19</v>
      </c>
      <c r="B3929" s="19">
        <v>44056</v>
      </c>
      <c r="C3929" s="4">
        <v>160</v>
      </c>
      <c r="D3929" s="21">
        <f t="shared" si="278"/>
        <v>3535</v>
      </c>
      <c r="E3929" s="4">
        <v>5</v>
      </c>
      <c r="F3929" s="57">
        <f t="shared" si="274"/>
        <v>18</v>
      </c>
    </row>
    <row r="3930" spans="1:6" x14ac:dyDescent="0.25">
      <c r="A3930" s="5" t="s">
        <v>35</v>
      </c>
      <c r="B3930" s="19">
        <v>44056</v>
      </c>
      <c r="C3930" s="4">
        <v>78</v>
      </c>
      <c r="D3930" s="21">
        <f>C3930+D3906</f>
        <v>828</v>
      </c>
      <c r="F3930" s="57">
        <f>E3930+F3906</f>
        <v>5</v>
      </c>
    </row>
    <row r="3931" spans="1:6" x14ac:dyDescent="0.25">
      <c r="A3931" s="5" t="s">
        <v>36</v>
      </c>
      <c r="B3931" s="19">
        <v>44056</v>
      </c>
      <c r="C3931" s="4">
        <v>0</v>
      </c>
      <c r="D3931" s="21">
        <f t="shared" ref="D3931:D3937" si="279">C3931+D3907</f>
        <v>23</v>
      </c>
      <c r="F3931" s="57">
        <f>E3931+F3907</f>
        <v>0</v>
      </c>
    </row>
    <row r="3932" spans="1:6" x14ac:dyDescent="0.25">
      <c r="A3932" s="5" t="s">
        <v>37</v>
      </c>
      <c r="B3932" s="19">
        <v>44056</v>
      </c>
      <c r="C3932" s="4">
        <v>1</v>
      </c>
      <c r="D3932" s="21">
        <f t="shared" si="279"/>
        <v>33</v>
      </c>
      <c r="F3932" s="57">
        <f>E3932+F3908</f>
        <v>0</v>
      </c>
    </row>
    <row r="3933" spans="1:6" x14ac:dyDescent="0.25">
      <c r="A3933" s="5" t="s">
        <v>38</v>
      </c>
      <c r="B3933" s="19">
        <v>44056</v>
      </c>
      <c r="C3933" s="4">
        <v>46</v>
      </c>
      <c r="D3933" s="21">
        <f t="shared" si="279"/>
        <v>914</v>
      </c>
      <c r="F3933" s="57">
        <f t="shared" ref="F3933:F3938" si="280">E3933+F3909</f>
        <v>3</v>
      </c>
    </row>
    <row r="3934" spans="1:6" x14ac:dyDescent="0.25">
      <c r="A3934" s="5" t="s">
        <v>23</v>
      </c>
      <c r="B3934" s="19">
        <v>44056</v>
      </c>
      <c r="C3934" s="4">
        <v>168</v>
      </c>
      <c r="D3934" s="21">
        <f t="shared" si="279"/>
        <v>2764</v>
      </c>
      <c r="E3934" s="4">
        <v>3</v>
      </c>
      <c r="F3934" s="57">
        <f t="shared" si="280"/>
        <v>29</v>
      </c>
    </row>
    <row r="3935" spans="1:6" x14ac:dyDescent="0.25">
      <c r="A3935" s="5" t="s">
        <v>39</v>
      </c>
      <c r="B3935" s="19">
        <v>44056</v>
      </c>
      <c r="C3935" s="4">
        <v>21</v>
      </c>
      <c r="D3935" s="21">
        <f t="shared" si="279"/>
        <v>200</v>
      </c>
      <c r="F3935" s="57">
        <f t="shared" si="280"/>
        <v>1</v>
      </c>
    </row>
    <row r="3936" spans="1:6" x14ac:dyDescent="0.25">
      <c r="A3936" s="5" t="s">
        <v>40</v>
      </c>
      <c r="B3936" s="19">
        <v>44056</v>
      </c>
      <c r="C3936" s="4">
        <v>84</v>
      </c>
      <c r="D3936" s="21">
        <f t="shared" si="279"/>
        <v>1227</v>
      </c>
      <c r="E3936" s="4">
        <v>1</v>
      </c>
      <c r="F3936" s="57">
        <f t="shared" si="280"/>
        <v>11</v>
      </c>
    </row>
    <row r="3937" spans="1:6" x14ac:dyDescent="0.25">
      <c r="A3937" s="5" t="s">
        <v>41</v>
      </c>
      <c r="B3937" s="19">
        <v>44056</v>
      </c>
      <c r="C3937" s="4">
        <v>21</v>
      </c>
      <c r="D3937" s="21">
        <f t="shared" si="279"/>
        <v>509</v>
      </c>
      <c r="F3937" s="57">
        <f t="shared" si="280"/>
        <v>5</v>
      </c>
    </row>
    <row r="3938" spans="1:6" x14ac:dyDescent="0.25">
      <c r="A3938" s="42" t="s">
        <v>17</v>
      </c>
      <c r="B3938" s="19">
        <v>44057</v>
      </c>
      <c r="C3938" s="4">
        <f>4157+3</f>
        <v>4160</v>
      </c>
      <c r="D3938" s="21">
        <f>C3938+D3914</f>
        <v>175544</v>
      </c>
      <c r="E3938" s="4">
        <f>19+13+31+25</f>
        <v>88</v>
      </c>
      <c r="F3938" s="57">
        <f t="shared" si="280"/>
        <v>3217</v>
      </c>
    </row>
    <row r="3939" spans="1:6" x14ac:dyDescent="0.25">
      <c r="A3939" s="5" t="s">
        <v>44</v>
      </c>
      <c r="B3939" s="19">
        <v>44057</v>
      </c>
      <c r="C3939" s="4">
        <f>1012+6</f>
        <v>1018</v>
      </c>
      <c r="D3939" s="21">
        <f t="shared" ref="D3939:D3953" si="281">C3939+D3915</f>
        <v>75593</v>
      </c>
      <c r="E3939" s="4">
        <f>3+7+17+11</f>
        <v>38</v>
      </c>
      <c r="F3939" s="57">
        <f t="shared" ref="F3939:F3977" si="282">E3939+F3915</f>
        <v>1660</v>
      </c>
    </row>
    <row r="3940" spans="1:6" x14ac:dyDescent="0.25">
      <c r="A3940" s="5" t="s">
        <v>29</v>
      </c>
      <c r="B3940" s="19">
        <v>44057</v>
      </c>
      <c r="C3940" s="4">
        <v>0</v>
      </c>
      <c r="D3940" s="21">
        <f t="shared" si="281"/>
        <v>63</v>
      </c>
      <c r="F3940" s="57">
        <f t="shared" si="282"/>
        <v>0</v>
      </c>
    </row>
    <row r="3941" spans="1:6" x14ac:dyDescent="0.25">
      <c r="A3941" s="5" t="s">
        <v>16</v>
      </c>
      <c r="B3941" s="19">
        <v>44057</v>
      </c>
      <c r="C3941" s="4">
        <v>49</v>
      </c>
      <c r="D3941" s="21">
        <f t="shared" si="281"/>
        <v>4328</v>
      </c>
      <c r="F3941" s="57">
        <f t="shared" si="282"/>
        <v>173</v>
      </c>
    </row>
    <row r="3942" spans="1:6" x14ac:dyDescent="0.25">
      <c r="A3942" s="5" t="s">
        <v>30</v>
      </c>
      <c r="B3942" s="19">
        <v>44057</v>
      </c>
      <c r="C3942" s="4">
        <v>6</v>
      </c>
      <c r="D3942" s="21">
        <f t="shared" si="281"/>
        <v>391</v>
      </c>
      <c r="F3942" s="57">
        <f t="shared" si="282"/>
        <v>5</v>
      </c>
    </row>
    <row r="3943" spans="1:6" x14ac:dyDescent="0.25">
      <c r="A3943" s="5" t="s">
        <v>21</v>
      </c>
      <c r="B3943" s="19">
        <v>44057</v>
      </c>
      <c r="C3943" s="4">
        <v>144</v>
      </c>
      <c r="D3943" s="21">
        <f t="shared" si="281"/>
        <v>4293</v>
      </c>
      <c r="E3943" s="4">
        <f>1</f>
        <v>1</v>
      </c>
      <c r="F3943" s="57">
        <f t="shared" si="282"/>
        <v>74</v>
      </c>
    </row>
    <row r="3944" spans="1:6" x14ac:dyDescent="0.25">
      <c r="A3944" s="5" t="s">
        <v>31</v>
      </c>
      <c r="B3944" s="19">
        <v>44057</v>
      </c>
      <c r="C3944" s="4">
        <v>1</v>
      </c>
      <c r="D3944" s="21">
        <f t="shared" si="281"/>
        <v>224</v>
      </c>
      <c r="F3944" s="57">
        <f t="shared" si="282"/>
        <v>2</v>
      </c>
    </row>
    <row r="3945" spans="1:6" x14ac:dyDescent="0.25">
      <c r="A3945" s="5" t="s">
        <v>32</v>
      </c>
      <c r="B3945" s="19">
        <v>44057</v>
      </c>
      <c r="C3945" s="4">
        <v>100</v>
      </c>
      <c r="D3945" s="21">
        <f t="shared" si="281"/>
        <v>1464</v>
      </c>
      <c r="E3945" s="4">
        <v>2</v>
      </c>
      <c r="F3945" s="57">
        <f t="shared" si="282"/>
        <v>20</v>
      </c>
    </row>
    <row r="3946" spans="1:6" x14ac:dyDescent="0.25">
      <c r="A3946" s="5" t="s">
        <v>42</v>
      </c>
      <c r="B3946" s="19">
        <v>44057</v>
      </c>
      <c r="C3946" s="4">
        <v>0</v>
      </c>
      <c r="D3946" s="21">
        <f t="shared" si="281"/>
        <v>81</v>
      </c>
      <c r="F3946" s="57">
        <f>E3946+F3922</f>
        <v>0</v>
      </c>
    </row>
    <row r="3947" spans="1:6" x14ac:dyDescent="0.25">
      <c r="A3947" s="5" t="s">
        <v>33</v>
      </c>
      <c r="B3947" s="19">
        <v>44057</v>
      </c>
      <c r="C3947" s="4">
        <f>133-3</f>
        <v>130</v>
      </c>
      <c r="D3947" s="21">
        <f t="shared" si="281"/>
        <v>4326</v>
      </c>
      <c r="E3947" s="4">
        <f>14+7</f>
        <v>21</v>
      </c>
      <c r="F3947" s="57">
        <f>E3947+F3923</f>
        <v>41</v>
      </c>
    </row>
    <row r="3948" spans="1:6" x14ac:dyDescent="0.25">
      <c r="A3948" s="5" t="s">
        <v>34</v>
      </c>
      <c r="B3948" s="19">
        <v>44057</v>
      </c>
      <c r="C3948" s="4">
        <v>1</v>
      </c>
      <c r="D3948" s="21">
        <f t="shared" si="281"/>
        <v>210</v>
      </c>
      <c r="F3948" s="57">
        <f t="shared" si="282"/>
        <v>1</v>
      </c>
    </row>
    <row r="3949" spans="1:6" x14ac:dyDescent="0.25">
      <c r="A3949" s="5" t="s">
        <v>22</v>
      </c>
      <c r="B3949" s="19">
        <v>44057</v>
      </c>
      <c r="C3949" s="4">
        <f>22-1</f>
        <v>21</v>
      </c>
      <c r="D3949" s="21">
        <f t="shared" si="281"/>
        <v>660</v>
      </c>
      <c r="F3949" s="57">
        <f t="shared" si="282"/>
        <v>1</v>
      </c>
    </row>
    <row r="3950" spans="1:6" x14ac:dyDescent="0.25">
      <c r="A3950" s="5" t="s">
        <v>18</v>
      </c>
      <c r="B3950" s="19">
        <v>44057</v>
      </c>
      <c r="C3950" s="4">
        <v>165</v>
      </c>
      <c r="D3950" s="21">
        <f t="shared" si="281"/>
        <v>2906</v>
      </c>
      <c r="E3950" s="4">
        <v>2</v>
      </c>
      <c r="F3950" s="57">
        <f t="shared" si="282"/>
        <v>19</v>
      </c>
    </row>
    <row r="3951" spans="1:6" x14ac:dyDescent="0.25">
      <c r="A3951" s="5" t="s">
        <v>24</v>
      </c>
      <c r="B3951" s="19">
        <v>44057</v>
      </c>
      <c r="C3951" s="4">
        <v>1</v>
      </c>
      <c r="D3951" s="21">
        <f t="shared" si="281"/>
        <v>64</v>
      </c>
      <c r="F3951" s="57">
        <f t="shared" si="282"/>
        <v>2</v>
      </c>
    </row>
    <row r="3952" spans="1:6" x14ac:dyDescent="0.25">
      <c r="A3952" s="5" t="s">
        <v>20</v>
      </c>
      <c r="B3952" s="19">
        <v>44057</v>
      </c>
      <c r="C3952" s="4">
        <v>16</v>
      </c>
      <c r="D3952" s="21">
        <f t="shared" si="281"/>
        <v>1726</v>
      </c>
      <c r="E3952" s="4">
        <v>1</v>
      </c>
      <c r="F3952" s="57">
        <f t="shared" si="282"/>
        <v>4</v>
      </c>
    </row>
    <row r="3953" spans="1:6" x14ac:dyDescent="0.25">
      <c r="A3953" s="5" t="s">
        <v>19</v>
      </c>
      <c r="B3953" s="19">
        <v>44057</v>
      </c>
      <c r="C3953" s="4">
        <v>118</v>
      </c>
      <c r="D3953" s="21">
        <f t="shared" si="281"/>
        <v>3653</v>
      </c>
      <c r="E3953" s="4">
        <v>6</v>
      </c>
      <c r="F3953" s="57">
        <f t="shared" si="282"/>
        <v>24</v>
      </c>
    </row>
    <row r="3954" spans="1:6" x14ac:dyDescent="0.25">
      <c r="A3954" s="5" t="s">
        <v>35</v>
      </c>
      <c r="B3954" s="19">
        <v>44057</v>
      </c>
      <c r="C3954" s="4">
        <f>106+3</f>
        <v>109</v>
      </c>
      <c r="D3954" s="21">
        <f>C3954+D3930</f>
        <v>937</v>
      </c>
      <c r="E3954" s="4">
        <v>2</v>
      </c>
      <c r="F3954" s="57">
        <f>E3954+F3930</f>
        <v>7</v>
      </c>
    </row>
    <row r="3955" spans="1:6" x14ac:dyDescent="0.25">
      <c r="A3955" s="5" t="s">
        <v>36</v>
      </c>
      <c r="B3955" s="19">
        <v>44057</v>
      </c>
      <c r="C3955" s="4">
        <v>-1</v>
      </c>
      <c r="D3955" s="21">
        <f t="shared" ref="D3955:D3961" si="283">C3955+D3931</f>
        <v>22</v>
      </c>
      <c r="F3955" s="57">
        <f>E3955+F3931</f>
        <v>0</v>
      </c>
    </row>
    <row r="3956" spans="1:6" x14ac:dyDescent="0.25">
      <c r="A3956" s="5" t="s">
        <v>37</v>
      </c>
      <c r="B3956" s="19">
        <v>44057</v>
      </c>
      <c r="C3956" s="4">
        <v>1</v>
      </c>
      <c r="D3956" s="21">
        <f t="shared" si="283"/>
        <v>34</v>
      </c>
      <c r="F3956" s="57">
        <f t="shared" si="282"/>
        <v>0</v>
      </c>
    </row>
    <row r="3957" spans="1:6" x14ac:dyDescent="0.25">
      <c r="A3957" s="5" t="s">
        <v>38</v>
      </c>
      <c r="B3957" s="19">
        <v>44057</v>
      </c>
      <c r="C3957" s="4">
        <f>40-3</f>
        <v>37</v>
      </c>
      <c r="D3957" s="21">
        <f t="shared" si="283"/>
        <v>951</v>
      </c>
      <c r="F3957" s="57">
        <f t="shared" ref="F3957:F3962" si="284">E3957+F3933</f>
        <v>3</v>
      </c>
    </row>
    <row r="3958" spans="1:6" x14ac:dyDescent="0.25">
      <c r="A3958" s="5" t="s">
        <v>23</v>
      </c>
      <c r="B3958" s="19">
        <v>44057</v>
      </c>
      <c r="C3958" s="4">
        <v>190</v>
      </c>
      <c r="D3958" s="21">
        <f t="shared" si="283"/>
        <v>2954</v>
      </c>
      <c r="E3958" s="4">
        <v>1</v>
      </c>
      <c r="F3958" s="57">
        <f t="shared" si="284"/>
        <v>30</v>
      </c>
    </row>
    <row r="3959" spans="1:6" x14ac:dyDescent="0.25">
      <c r="A3959" s="5" t="s">
        <v>39</v>
      </c>
      <c r="B3959" s="19">
        <v>44057</v>
      </c>
      <c r="C3959" s="4">
        <f>24-2</f>
        <v>22</v>
      </c>
      <c r="D3959" s="21">
        <f t="shared" si="283"/>
        <v>222</v>
      </c>
      <c r="F3959" s="57">
        <f t="shared" si="284"/>
        <v>1</v>
      </c>
    </row>
    <row r="3960" spans="1:6" x14ac:dyDescent="0.25">
      <c r="A3960" s="5" t="s">
        <v>40</v>
      </c>
      <c r="B3960" s="19">
        <v>44057</v>
      </c>
      <c r="C3960" s="4">
        <f>48-2</f>
        <v>46</v>
      </c>
      <c r="D3960" s="21">
        <f t="shared" si="283"/>
        <v>1273</v>
      </c>
      <c r="E3960" s="4">
        <v>3</v>
      </c>
      <c r="F3960" s="57">
        <f t="shared" si="284"/>
        <v>14</v>
      </c>
    </row>
    <row r="3961" spans="1:6" x14ac:dyDescent="0.25">
      <c r="A3961" s="5" t="s">
        <v>41</v>
      </c>
      <c r="B3961" s="19">
        <v>44057</v>
      </c>
      <c r="C3961" s="4">
        <f>32-1</f>
        <v>31</v>
      </c>
      <c r="D3961" s="21">
        <f t="shared" si="283"/>
        <v>540</v>
      </c>
      <c r="F3961" s="57">
        <f t="shared" si="284"/>
        <v>5</v>
      </c>
    </row>
    <row r="3962" spans="1:6" x14ac:dyDescent="0.25">
      <c r="A3962" s="42" t="s">
        <v>17</v>
      </c>
      <c r="B3962" s="19">
        <v>44058</v>
      </c>
      <c r="C3962" s="4">
        <v>4438</v>
      </c>
      <c r="D3962" s="21">
        <f>C3962+D3938</f>
        <v>179982</v>
      </c>
      <c r="E3962" s="4">
        <f>16+10+33+24</f>
        <v>83</v>
      </c>
      <c r="F3962" s="57">
        <f t="shared" si="284"/>
        <v>3300</v>
      </c>
    </row>
    <row r="3963" spans="1:6" x14ac:dyDescent="0.25">
      <c r="A3963" s="5" t="s">
        <v>44</v>
      </c>
      <c r="B3963" s="19">
        <v>44058</v>
      </c>
      <c r="C3963" s="4">
        <v>915</v>
      </c>
      <c r="D3963" s="21">
        <f t="shared" ref="D3963:D3977" si="285">C3963+D3939</f>
        <v>76508</v>
      </c>
      <c r="E3963" s="4">
        <f>4+2+3</f>
        <v>9</v>
      </c>
      <c r="F3963" s="57">
        <f t="shared" si="282"/>
        <v>1669</v>
      </c>
    </row>
    <row r="3964" spans="1:6" x14ac:dyDescent="0.25">
      <c r="A3964" s="5" t="s">
        <v>29</v>
      </c>
      <c r="B3964" s="19">
        <v>44058</v>
      </c>
      <c r="C3964" s="4">
        <v>0</v>
      </c>
      <c r="D3964" s="21">
        <f t="shared" si="285"/>
        <v>63</v>
      </c>
      <c r="F3964" s="57">
        <f t="shared" si="282"/>
        <v>0</v>
      </c>
    </row>
    <row r="3965" spans="1:6" x14ac:dyDescent="0.25">
      <c r="A3965" s="5" t="s">
        <v>16</v>
      </c>
      <c r="B3965" s="19">
        <v>44058</v>
      </c>
      <c r="C3965" s="4">
        <v>40</v>
      </c>
      <c r="D3965" s="21">
        <f t="shared" si="285"/>
        <v>4368</v>
      </c>
      <c r="E3965" s="4">
        <v>4</v>
      </c>
      <c r="F3965" s="57">
        <f t="shared" si="282"/>
        <v>177</v>
      </c>
    </row>
    <row r="3966" spans="1:6" x14ac:dyDescent="0.25">
      <c r="A3966" s="5" t="s">
        <v>30</v>
      </c>
      <c r="B3966" s="19">
        <v>44058</v>
      </c>
      <c r="C3966" s="4">
        <v>4</v>
      </c>
      <c r="D3966" s="21">
        <f t="shared" si="285"/>
        <v>395</v>
      </c>
      <c r="F3966" s="57">
        <f t="shared" si="282"/>
        <v>5</v>
      </c>
    </row>
    <row r="3967" spans="1:6" x14ac:dyDescent="0.25">
      <c r="A3967" s="5" t="s">
        <v>21</v>
      </c>
      <c r="B3967" s="19">
        <v>44058</v>
      </c>
      <c r="C3967" s="4">
        <v>161</v>
      </c>
      <c r="D3967" s="21">
        <f t="shared" si="285"/>
        <v>4454</v>
      </c>
      <c r="F3967" s="57">
        <f t="shared" si="282"/>
        <v>74</v>
      </c>
    </row>
    <row r="3968" spans="1:6" x14ac:dyDescent="0.25">
      <c r="A3968" s="5" t="s">
        <v>31</v>
      </c>
      <c r="B3968" s="19">
        <v>44058</v>
      </c>
      <c r="C3968" s="4">
        <v>2</v>
      </c>
      <c r="D3968" s="21">
        <f t="shared" si="285"/>
        <v>226</v>
      </c>
      <c r="F3968" s="57">
        <f t="shared" si="282"/>
        <v>2</v>
      </c>
    </row>
    <row r="3969" spans="1:6" x14ac:dyDescent="0.25">
      <c r="A3969" s="5" t="s">
        <v>32</v>
      </c>
      <c r="B3969" s="19">
        <v>44058</v>
      </c>
      <c r="C3969" s="4">
        <v>64</v>
      </c>
      <c r="D3969" s="21">
        <f t="shared" si="285"/>
        <v>1528</v>
      </c>
      <c r="E3969" s="4">
        <v>2</v>
      </c>
      <c r="F3969" s="57">
        <f t="shared" si="282"/>
        <v>22</v>
      </c>
    </row>
    <row r="3970" spans="1:6" x14ac:dyDescent="0.25">
      <c r="A3970" s="5" t="s">
        <v>42</v>
      </c>
      <c r="B3970" s="19">
        <v>44058</v>
      </c>
      <c r="C3970" s="4">
        <v>1</v>
      </c>
      <c r="D3970" s="21">
        <f t="shared" si="285"/>
        <v>82</v>
      </c>
      <c r="F3970" s="57">
        <f>E3970+F3946</f>
        <v>0</v>
      </c>
    </row>
    <row r="3971" spans="1:6" x14ac:dyDescent="0.25">
      <c r="A3971" s="5" t="s">
        <v>33</v>
      </c>
      <c r="B3971" s="19">
        <v>44058</v>
      </c>
      <c r="C3971" s="4">
        <v>157</v>
      </c>
      <c r="D3971" s="21">
        <f t="shared" si="285"/>
        <v>4483</v>
      </c>
      <c r="F3971" s="57">
        <f t="shared" si="282"/>
        <v>41</v>
      </c>
    </row>
    <row r="3972" spans="1:6" x14ac:dyDescent="0.25">
      <c r="A3972" s="5" t="s">
        <v>34</v>
      </c>
      <c r="B3972" s="19">
        <v>44058</v>
      </c>
      <c r="C3972" s="4">
        <v>1</v>
      </c>
      <c r="D3972" s="21">
        <f t="shared" si="285"/>
        <v>211</v>
      </c>
      <c r="F3972" s="57">
        <f t="shared" si="282"/>
        <v>1</v>
      </c>
    </row>
    <row r="3973" spans="1:6" x14ac:dyDescent="0.25">
      <c r="A3973" s="5" t="s">
        <v>22</v>
      </c>
      <c r="B3973" s="19">
        <v>44058</v>
      </c>
      <c r="C3973" s="4">
        <v>55</v>
      </c>
      <c r="D3973" s="21">
        <f t="shared" si="285"/>
        <v>715</v>
      </c>
      <c r="F3973" s="57">
        <f t="shared" si="282"/>
        <v>1</v>
      </c>
    </row>
    <row r="3974" spans="1:6" x14ac:dyDescent="0.25">
      <c r="A3974" s="5" t="s">
        <v>18</v>
      </c>
      <c r="B3974" s="19">
        <v>44058</v>
      </c>
      <c r="C3974" s="4">
        <v>210</v>
      </c>
      <c r="D3974" s="21">
        <f t="shared" si="285"/>
        <v>3116</v>
      </c>
      <c r="E3974" s="4">
        <f>1+1+3</f>
        <v>5</v>
      </c>
      <c r="F3974" s="57">
        <f t="shared" si="282"/>
        <v>24</v>
      </c>
    </row>
    <row r="3975" spans="1:6" x14ac:dyDescent="0.25">
      <c r="A3975" s="5" t="s">
        <v>24</v>
      </c>
      <c r="B3975" s="19">
        <v>44058</v>
      </c>
      <c r="C3975" s="4">
        <v>3</v>
      </c>
      <c r="D3975" s="21">
        <f t="shared" si="285"/>
        <v>67</v>
      </c>
      <c r="F3975" s="57">
        <f t="shared" si="282"/>
        <v>2</v>
      </c>
    </row>
    <row r="3976" spans="1:6" x14ac:dyDescent="0.25">
      <c r="A3976" s="5" t="s">
        <v>20</v>
      </c>
      <c r="B3976" s="19">
        <v>44058</v>
      </c>
      <c r="C3976" s="4">
        <v>72</v>
      </c>
      <c r="D3976" s="21">
        <f t="shared" si="285"/>
        <v>1798</v>
      </c>
      <c r="F3976" s="57">
        <f t="shared" si="282"/>
        <v>4</v>
      </c>
    </row>
    <row r="3977" spans="1:6" x14ac:dyDescent="0.25">
      <c r="A3977" s="5" t="s">
        <v>19</v>
      </c>
      <c r="B3977" s="19">
        <v>44058</v>
      </c>
      <c r="C3977" s="4">
        <v>115</v>
      </c>
      <c r="D3977" s="21">
        <f t="shared" si="285"/>
        <v>3768</v>
      </c>
      <c r="E3977" s="4">
        <v>1</v>
      </c>
      <c r="F3977" s="57">
        <f t="shared" si="282"/>
        <v>25</v>
      </c>
    </row>
    <row r="3978" spans="1:6" x14ac:dyDescent="0.25">
      <c r="A3978" s="5" t="s">
        <v>35</v>
      </c>
      <c r="B3978" s="19">
        <v>44058</v>
      </c>
      <c r="C3978" s="4">
        <v>66</v>
      </c>
      <c r="D3978" s="21">
        <f>C3978+D3954</f>
        <v>1003</v>
      </c>
      <c r="E3978" s="4">
        <v>3</v>
      </c>
      <c r="F3978" s="57">
        <f>E3978+F3954</f>
        <v>10</v>
      </c>
    </row>
    <row r="3979" spans="1:6" x14ac:dyDescent="0.25">
      <c r="A3979" s="5" t="s">
        <v>36</v>
      </c>
      <c r="B3979" s="19">
        <v>44058</v>
      </c>
      <c r="C3979" s="4">
        <v>0</v>
      </c>
      <c r="D3979" s="21">
        <f t="shared" ref="D3979:D3985" si="286">C3979+D3955</f>
        <v>22</v>
      </c>
      <c r="F3979" s="57">
        <f>E3979+F3955</f>
        <v>0</v>
      </c>
    </row>
    <row r="3980" spans="1:6" x14ac:dyDescent="0.25">
      <c r="A3980" s="5" t="s">
        <v>37</v>
      </c>
      <c r="B3980" s="19">
        <v>44058</v>
      </c>
      <c r="C3980" s="4">
        <v>0</v>
      </c>
      <c r="D3980" s="21">
        <f t="shared" si="286"/>
        <v>34</v>
      </c>
      <c r="F3980" s="57">
        <f>E3980+F3956</f>
        <v>0</v>
      </c>
    </row>
    <row r="3981" spans="1:6" x14ac:dyDescent="0.25">
      <c r="A3981" s="5" t="s">
        <v>38</v>
      </c>
      <c r="B3981" s="19">
        <v>44058</v>
      </c>
      <c r="C3981" s="4">
        <v>38</v>
      </c>
      <c r="D3981" s="21">
        <f t="shared" si="286"/>
        <v>989</v>
      </c>
      <c r="F3981" s="57">
        <f t="shared" ref="F3981:F3986" si="287">E3981+F3957</f>
        <v>3</v>
      </c>
    </row>
    <row r="3982" spans="1:6" x14ac:dyDescent="0.25">
      <c r="A3982" s="5" t="s">
        <v>23</v>
      </c>
      <c r="B3982" s="19">
        <v>44058</v>
      </c>
      <c r="C3982" s="4">
        <v>179</v>
      </c>
      <c r="D3982" s="21">
        <f t="shared" si="286"/>
        <v>3133</v>
      </c>
      <c r="E3982" s="4">
        <v>1</v>
      </c>
      <c r="F3982" s="57">
        <f t="shared" si="287"/>
        <v>31</v>
      </c>
    </row>
    <row r="3983" spans="1:6" x14ac:dyDescent="0.25">
      <c r="A3983" s="5" t="s">
        <v>39</v>
      </c>
      <c r="B3983" s="19">
        <v>44058</v>
      </c>
      <c r="C3983" s="4">
        <v>26</v>
      </c>
      <c r="D3983" s="21">
        <f t="shared" si="286"/>
        <v>248</v>
      </c>
      <c r="F3983" s="57">
        <f t="shared" si="287"/>
        <v>1</v>
      </c>
    </row>
    <row r="3984" spans="1:6" x14ac:dyDescent="0.25">
      <c r="A3984" s="5" t="s">
        <v>40</v>
      </c>
      <c r="B3984" s="19">
        <v>44058</v>
      </c>
      <c r="C3984" s="4">
        <v>88</v>
      </c>
      <c r="D3984" s="21">
        <f t="shared" si="286"/>
        <v>1361</v>
      </c>
      <c r="E3984" s="4">
        <v>2</v>
      </c>
      <c r="F3984" s="57">
        <f t="shared" si="287"/>
        <v>16</v>
      </c>
    </row>
    <row r="3985" spans="1:6" x14ac:dyDescent="0.25">
      <c r="A3985" s="5" t="s">
        <v>41</v>
      </c>
      <c r="B3985" s="19">
        <v>44058</v>
      </c>
      <c r="C3985" s="4">
        <v>28</v>
      </c>
      <c r="D3985" s="21">
        <f t="shared" si="286"/>
        <v>568</v>
      </c>
      <c r="F3985" s="57">
        <f t="shared" si="287"/>
        <v>5</v>
      </c>
    </row>
    <row r="3986" spans="1:6" x14ac:dyDescent="0.25">
      <c r="A3986" s="42" t="s">
        <v>17</v>
      </c>
      <c r="B3986" s="19">
        <v>44059</v>
      </c>
      <c r="C3986" s="4">
        <v>3117</v>
      </c>
      <c r="D3986" s="21">
        <f>C3986+D3962</f>
        <v>183099</v>
      </c>
      <c r="E3986" s="4">
        <f>8+5+1+8+7</f>
        <v>29</v>
      </c>
      <c r="F3986" s="57">
        <f t="shared" si="287"/>
        <v>3329</v>
      </c>
    </row>
    <row r="3987" spans="1:6" x14ac:dyDescent="0.25">
      <c r="A3987" s="5" t="s">
        <v>44</v>
      </c>
      <c r="B3987" s="19">
        <v>44059</v>
      </c>
      <c r="C3987" s="4">
        <v>972</v>
      </c>
      <c r="D3987" s="21">
        <f t="shared" ref="D3987:D4001" si="288">C3987+D3963</f>
        <v>77480</v>
      </c>
      <c r="E3987" s="4">
        <f>2+5+1</f>
        <v>8</v>
      </c>
      <c r="F3987" s="57">
        <f t="shared" ref="F3987:F4025" si="289">E3987+F3963</f>
        <v>1677</v>
      </c>
    </row>
    <row r="3988" spans="1:6" x14ac:dyDescent="0.25">
      <c r="A3988" s="5" t="s">
        <v>29</v>
      </c>
      <c r="B3988" s="19">
        <v>44059</v>
      </c>
      <c r="C3988" s="4">
        <v>0</v>
      </c>
      <c r="D3988" s="21">
        <f t="shared" si="288"/>
        <v>63</v>
      </c>
      <c r="F3988" s="57">
        <f t="shared" si="289"/>
        <v>0</v>
      </c>
    </row>
    <row r="3989" spans="1:6" x14ac:dyDescent="0.25">
      <c r="A3989" s="5" t="s">
        <v>16</v>
      </c>
      <c r="B3989" s="19">
        <v>44059</v>
      </c>
      <c r="C3989" s="4">
        <v>68</v>
      </c>
      <c r="D3989" s="21">
        <f t="shared" si="288"/>
        <v>4436</v>
      </c>
      <c r="E3989" s="4">
        <v>3</v>
      </c>
      <c r="F3989" s="57">
        <f>E3989+F3965</f>
        <v>180</v>
      </c>
    </row>
    <row r="3990" spans="1:6" x14ac:dyDescent="0.25">
      <c r="A3990" s="5" t="s">
        <v>30</v>
      </c>
      <c r="B3990" s="19">
        <v>44059</v>
      </c>
      <c r="C3990" s="4">
        <v>9</v>
      </c>
      <c r="D3990" s="21">
        <f t="shared" si="288"/>
        <v>404</v>
      </c>
      <c r="F3990" s="57">
        <f t="shared" si="289"/>
        <v>5</v>
      </c>
    </row>
    <row r="3991" spans="1:6" x14ac:dyDescent="0.25">
      <c r="A3991" s="5" t="s">
        <v>21</v>
      </c>
      <c r="B3991" s="19">
        <v>44059</v>
      </c>
      <c r="C3991" s="4">
        <v>141</v>
      </c>
      <c r="D3991" s="21">
        <f t="shared" si="288"/>
        <v>4595</v>
      </c>
      <c r="E3991" s="4">
        <v>4</v>
      </c>
      <c r="F3991" s="57">
        <f t="shared" si="289"/>
        <v>78</v>
      </c>
    </row>
    <row r="3992" spans="1:6" x14ac:dyDescent="0.25">
      <c r="A3992" s="5" t="s">
        <v>31</v>
      </c>
      <c r="B3992" s="19">
        <v>44059</v>
      </c>
      <c r="C3992" s="4">
        <v>3</v>
      </c>
      <c r="D3992" s="21">
        <f t="shared" si="288"/>
        <v>229</v>
      </c>
      <c r="F3992" s="57">
        <f t="shared" si="289"/>
        <v>2</v>
      </c>
    </row>
    <row r="3993" spans="1:6" x14ac:dyDescent="0.25">
      <c r="A3993" s="5" t="s">
        <v>32</v>
      </c>
      <c r="B3993" s="19">
        <v>44059</v>
      </c>
      <c r="C3993" s="4">
        <v>102</v>
      </c>
      <c r="D3993" s="21">
        <f t="shared" si="288"/>
        <v>1630</v>
      </c>
      <c r="E3993" s="4">
        <v>2</v>
      </c>
      <c r="F3993" s="57">
        <f t="shared" si="289"/>
        <v>24</v>
      </c>
    </row>
    <row r="3994" spans="1:6" x14ac:dyDescent="0.25">
      <c r="A3994" s="5" t="s">
        <v>42</v>
      </c>
      <c r="B3994" s="19">
        <v>44059</v>
      </c>
      <c r="C3994" s="4">
        <v>1</v>
      </c>
      <c r="D3994" s="21">
        <f t="shared" si="288"/>
        <v>83</v>
      </c>
      <c r="F3994" s="57">
        <f>E3994+F3970</f>
        <v>0</v>
      </c>
    </row>
    <row r="3995" spans="1:6" x14ac:dyDescent="0.25">
      <c r="A3995" s="5" t="s">
        <v>33</v>
      </c>
      <c r="B3995" s="19">
        <v>44059</v>
      </c>
      <c r="C3995" s="4">
        <v>272</v>
      </c>
      <c r="D3995" s="21">
        <f t="shared" si="288"/>
        <v>4755</v>
      </c>
      <c r="E3995" s="4">
        <v>16</v>
      </c>
      <c r="F3995" s="57">
        <f t="shared" si="289"/>
        <v>57</v>
      </c>
    </row>
    <row r="3996" spans="1:6" x14ac:dyDescent="0.25">
      <c r="A3996" s="5" t="s">
        <v>34</v>
      </c>
      <c r="B3996" s="19">
        <v>44059</v>
      </c>
      <c r="C3996" s="4">
        <v>1</v>
      </c>
      <c r="D3996" s="21">
        <f t="shared" si="288"/>
        <v>212</v>
      </c>
      <c r="F3996" s="57">
        <f t="shared" si="289"/>
        <v>1</v>
      </c>
    </row>
    <row r="3997" spans="1:6" x14ac:dyDescent="0.25">
      <c r="A3997" s="5" t="s">
        <v>22</v>
      </c>
      <c r="B3997" s="19">
        <v>44059</v>
      </c>
      <c r="C3997" s="4">
        <v>34</v>
      </c>
      <c r="D3997" s="21">
        <f t="shared" si="288"/>
        <v>749</v>
      </c>
      <c r="F3997" s="57">
        <f t="shared" si="289"/>
        <v>1</v>
      </c>
    </row>
    <row r="3998" spans="1:6" x14ac:dyDescent="0.25">
      <c r="A3998" s="5" t="s">
        <v>18</v>
      </c>
      <c r="B3998" s="19">
        <v>44059</v>
      </c>
      <c r="C3998" s="4">
        <v>210</v>
      </c>
      <c r="D3998" s="21">
        <f t="shared" si="288"/>
        <v>3326</v>
      </c>
      <c r="E3998" s="4">
        <v>2</v>
      </c>
      <c r="F3998" s="57">
        <f t="shared" si="289"/>
        <v>26</v>
      </c>
    </row>
    <row r="3999" spans="1:6" x14ac:dyDescent="0.25">
      <c r="A3999" s="5" t="s">
        <v>24</v>
      </c>
      <c r="B3999" s="19">
        <v>44059</v>
      </c>
      <c r="C3999" s="4">
        <v>0</v>
      </c>
      <c r="D3999" s="21">
        <f t="shared" si="288"/>
        <v>67</v>
      </c>
      <c r="F3999" s="57">
        <f t="shared" si="289"/>
        <v>2</v>
      </c>
    </row>
    <row r="4000" spans="1:6" x14ac:dyDescent="0.25">
      <c r="A4000" s="5" t="s">
        <v>20</v>
      </c>
      <c r="B4000" s="19">
        <v>44059</v>
      </c>
      <c r="C4000" s="4">
        <v>27</v>
      </c>
      <c r="D4000" s="21">
        <f t="shared" si="288"/>
        <v>1825</v>
      </c>
      <c r="F4000" s="57">
        <f t="shared" si="289"/>
        <v>4</v>
      </c>
    </row>
    <row r="4001" spans="1:6" x14ac:dyDescent="0.25">
      <c r="A4001" s="5" t="s">
        <v>19</v>
      </c>
      <c r="B4001" s="19">
        <v>44059</v>
      </c>
      <c r="C4001" s="4">
        <v>86</v>
      </c>
      <c r="D4001" s="21">
        <f t="shared" si="288"/>
        <v>3854</v>
      </c>
      <c r="F4001" s="57">
        <f t="shared" si="289"/>
        <v>25</v>
      </c>
    </row>
    <row r="4002" spans="1:6" x14ac:dyDescent="0.25">
      <c r="A4002" s="5" t="s">
        <v>35</v>
      </c>
      <c r="B4002" s="19">
        <v>44059</v>
      </c>
      <c r="C4002" s="4">
        <v>92</v>
      </c>
      <c r="D4002" s="21">
        <f>C4002+D3978</f>
        <v>1095</v>
      </c>
      <c r="E4002" s="4">
        <v>2</v>
      </c>
      <c r="F4002" s="57">
        <f>E4002+F3978</f>
        <v>12</v>
      </c>
    </row>
    <row r="4003" spans="1:6" x14ac:dyDescent="0.25">
      <c r="A4003" s="5" t="s">
        <v>36</v>
      </c>
      <c r="B4003" s="19">
        <v>44059</v>
      </c>
      <c r="C4003" s="4">
        <v>0</v>
      </c>
      <c r="D4003" s="21">
        <f t="shared" ref="D4003:D4009" si="290">C4003+D3979</f>
        <v>22</v>
      </c>
      <c r="F4003" s="57">
        <f>E4003+F3979</f>
        <v>0</v>
      </c>
    </row>
    <row r="4004" spans="1:6" x14ac:dyDescent="0.25">
      <c r="A4004" s="5" t="s">
        <v>37</v>
      </c>
      <c r="B4004" s="19">
        <v>44059</v>
      </c>
      <c r="C4004" s="4">
        <v>0</v>
      </c>
      <c r="D4004" s="21">
        <f t="shared" si="290"/>
        <v>34</v>
      </c>
      <c r="F4004" s="57">
        <f t="shared" si="289"/>
        <v>0</v>
      </c>
    </row>
    <row r="4005" spans="1:6" x14ac:dyDescent="0.25">
      <c r="A4005" s="5" t="s">
        <v>38</v>
      </c>
      <c r="B4005" s="19">
        <v>44059</v>
      </c>
      <c r="C4005" s="4">
        <v>42</v>
      </c>
      <c r="D4005" s="21">
        <f t="shared" si="290"/>
        <v>1031</v>
      </c>
      <c r="F4005" s="57">
        <f t="shared" ref="F4005:F4010" si="291">E4005+F3981</f>
        <v>3</v>
      </c>
    </row>
    <row r="4006" spans="1:6" x14ac:dyDescent="0.25">
      <c r="A4006" s="5" t="s">
        <v>23</v>
      </c>
      <c r="B4006" s="19">
        <v>44059</v>
      </c>
      <c r="C4006" s="4">
        <v>160</v>
      </c>
      <c r="D4006" s="21">
        <f t="shared" si="290"/>
        <v>3293</v>
      </c>
      <c r="F4006" s="57">
        <f t="shared" si="291"/>
        <v>31</v>
      </c>
    </row>
    <row r="4007" spans="1:6" x14ac:dyDescent="0.25">
      <c r="A4007" s="5" t="s">
        <v>39</v>
      </c>
      <c r="B4007" s="19">
        <v>44059</v>
      </c>
      <c r="C4007" s="4">
        <v>33</v>
      </c>
      <c r="D4007" s="21">
        <f t="shared" si="290"/>
        <v>281</v>
      </c>
      <c r="F4007" s="57">
        <f t="shared" si="291"/>
        <v>1</v>
      </c>
    </row>
    <row r="4008" spans="1:6" x14ac:dyDescent="0.25">
      <c r="A4008" s="5" t="s">
        <v>40</v>
      </c>
      <c r="B4008" s="19">
        <v>44059</v>
      </c>
      <c r="C4008" s="4">
        <v>57</v>
      </c>
      <c r="D4008" s="21">
        <f t="shared" si="290"/>
        <v>1418</v>
      </c>
      <c r="F4008" s="57">
        <f t="shared" si="291"/>
        <v>16</v>
      </c>
    </row>
    <row r="4009" spans="1:6" x14ac:dyDescent="0.25">
      <c r="A4009" s="5" t="s">
        <v>41</v>
      </c>
      <c r="B4009" s="19">
        <v>44059</v>
      </c>
      <c r="C4009" s="4">
        <v>42</v>
      </c>
      <c r="D4009" s="21">
        <f t="shared" si="290"/>
        <v>610</v>
      </c>
      <c r="F4009" s="57">
        <f t="shared" si="291"/>
        <v>5</v>
      </c>
    </row>
    <row r="4010" spans="1:6" x14ac:dyDescent="0.25">
      <c r="A4010" s="42" t="s">
        <v>17</v>
      </c>
      <c r="B4010" s="19">
        <v>44060</v>
      </c>
      <c r="C4010" s="4">
        <v>2521</v>
      </c>
      <c r="D4010" s="21">
        <f>C4010+D3986</f>
        <v>185620</v>
      </c>
      <c r="E4010" s="4">
        <f>11+15+20+13</f>
        <v>59</v>
      </c>
      <c r="F4010" s="57">
        <f t="shared" si="291"/>
        <v>3388</v>
      </c>
    </row>
    <row r="4011" spans="1:6" x14ac:dyDescent="0.25">
      <c r="A4011" s="5" t="s">
        <v>44</v>
      </c>
      <c r="B4011" s="19">
        <v>44060</v>
      </c>
      <c r="C4011" s="4">
        <v>710</v>
      </c>
      <c r="D4011" s="21">
        <f t="shared" ref="D4011:D4025" si="292">C4011+D3987</f>
        <v>78190</v>
      </c>
      <c r="E4011" s="4">
        <f>4+6+8+11</f>
        <v>29</v>
      </c>
      <c r="F4011" s="57">
        <f t="shared" si="289"/>
        <v>1706</v>
      </c>
    </row>
    <row r="4012" spans="1:6" x14ac:dyDescent="0.25">
      <c r="A4012" s="5" t="s">
        <v>29</v>
      </c>
      <c r="B4012" s="19">
        <v>44060</v>
      </c>
      <c r="C4012" s="4">
        <v>2</v>
      </c>
      <c r="D4012" s="21">
        <f t="shared" si="292"/>
        <v>65</v>
      </c>
      <c r="F4012" s="57">
        <f t="shared" si="289"/>
        <v>0</v>
      </c>
    </row>
    <row r="4013" spans="1:6" x14ac:dyDescent="0.25">
      <c r="A4013" s="5" t="s">
        <v>16</v>
      </c>
      <c r="B4013" s="19">
        <v>44060</v>
      </c>
      <c r="C4013" s="4">
        <v>68</v>
      </c>
      <c r="D4013" s="21">
        <f t="shared" si="292"/>
        <v>4504</v>
      </c>
      <c r="E4013" s="4">
        <f>3+1</f>
        <v>4</v>
      </c>
      <c r="F4013" s="57">
        <f t="shared" si="289"/>
        <v>184</v>
      </c>
    </row>
    <row r="4014" spans="1:6" x14ac:dyDescent="0.25">
      <c r="A4014" s="5" t="s">
        <v>30</v>
      </c>
      <c r="B4014" s="19">
        <v>44060</v>
      </c>
      <c r="C4014" s="4">
        <v>14</v>
      </c>
      <c r="D4014" s="21">
        <f t="shared" si="292"/>
        <v>418</v>
      </c>
      <c r="F4014" s="57">
        <f t="shared" si="289"/>
        <v>5</v>
      </c>
    </row>
    <row r="4015" spans="1:6" x14ac:dyDescent="0.25">
      <c r="A4015" s="5" t="s">
        <v>21</v>
      </c>
      <c r="B4015" s="19">
        <v>44060</v>
      </c>
      <c r="C4015" s="4">
        <v>172</v>
      </c>
      <c r="D4015" s="21">
        <f t="shared" si="292"/>
        <v>4767</v>
      </c>
      <c r="E4015" s="4">
        <v>1</v>
      </c>
      <c r="F4015" s="57">
        <f t="shared" si="289"/>
        <v>79</v>
      </c>
    </row>
    <row r="4016" spans="1:6" x14ac:dyDescent="0.25">
      <c r="A4016" s="5" t="s">
        <v>31</v>
      </c>
      <c r="B4016" s="19">
        <v>44060</v>
      </c>
      <c r="C4016" s="4">
        <v>2</v>
      </c>
      <c r="D4016" s="21">
        <f t="shared" si="292"/>
        <v>231</v>
      </c>
      <c r="F4016" s="57">
        <f t="shared" si="289"/>
        <v>2</v>
      </c>
    </row>
    <row r="4017" spans="1:6" x14ac:dyDescent="0.25">
      <c r="A4017" s="5" t="s">
        <v>32</v>
      </c>
      <c r="B4017" s="19">
        <v>44060</v>
      </c>
      <c r="C4017" s="4">
        <v>73</v>
      </c>
      <c r="D4017" s="21">
        <f t="shared" si="292"/>
        <v>1703</v>
      </c>
      <c r="E4017" s="4">
        <v>2</v>
      </c>
      <c r="F4017" s="57">
        <f t="shared" si="289"/>
        <v>26</v>
      </c>
    </row>
    <row r="4018" spans="1:6" x14ac:dyDescent="0.25">
      <c r="A4018" s="5" t="s">
        <v>42</v>
      </c>
      <c r="B4018" s="19">
        <v>44060</v>
      </c>
      <c r="C4018" s="4">
        <v>0</v>
      </c>
      <c r="D4018" s="21">
        <f t="shared" si="292"/>
        <v>83</v>
      </c>
      <c r="F4018" s="57">
        <f>E4018+F3994</f>
        <v>0</v>
      </c>
    </row>
    <row r="4019" spans="1:6" x14ac:dyDescent="0.25">
      <c r="A4019" s="5" t="s">
        <v>33</v>
      </c>
      <c r="B4019" s="19">
        <v>44060</v>
      </c>
      <c r="C4019" s="4">
        <v>244</v>
      </c>
      <c r="D4019" s="21">
        <f t="shared" si="292"/>
        <v>4999</v>
      </c>
      <c r="F4019" s="57">
        <f t="shared" si="289"/>
        <v>57</v>
      </c>
    </row>
    <row r="4020" spans="1:6" x14ac:dyDescent="0.25">
      <c r="A4020" s="5" t="s">
        <v>34</v>
      </c>
      <c r="B4020" s="19">
        <v>44060</v>
      </c>
      <c r="C4020" s="4">
        <v>1</v>
      </c>
      <c r="D4020" s="21">
        <f t="shared" si="292"/>
        <v>213</v>
      </c>
      <c r="F4020" s="57">
        <f t="shared" si="289"/>
        <v>1</v>
      </c>
    </row>
    <row r="4021" spans="1:6" x14ac:dyDescent="0.25">
      <c r="A4021" s="5" t="s">
        <v>22</v>
      </c>
      <c r="B4021" s="19">
        <v>44060</v>
      </c>
      <c r="C4021" s="4">
        <v>45</v>
      </c>
      <c r="D4021" s="21">
        <f t="shared" si="292"/>
        <v>794</v>
      </c>
      <c r="F4021" s="57">
        <f t="shared" si="289"/>
        <v>1</v>
      </c>
    </row>
    <row r="4022" spans="1:6" x14ac:dyDescent="0.25">
      <c r="A4022" s="5" t="s">
        <v>18</v>
      </c>
      <c r="B4022" s="19">
        <v>44060</v>
      </c>
      <c r="C4022" s="4">
        <v>169</v>
      </c>
      <c r="D4022" s="21">
        <f t="shared" si="292"/>
        <v>3495</v>
      </c>
      <c r="E4022" s="4">
        <v>1</v>
      </c>
      <c r="F4022" s="57">
        <f t="shared" si="289"/>
        <v>27</v>
      </c>
    </row>
    <row r="4023" spans="1:6" x14ac:dyDescent="0.25">
      <c r="A4023" s="5" t="s">
        <v>24</v>
      </c>
      <c r="B4023" s="19">
        <v>44060</v>
      </c>
      <c r="C4023" s="4">
        <v>-4</v>
      </c>
      <c r="D4023" s="21">
        <f t="shared" si="292"/>
        <v>63</v>
      </c>
      <c r="F4023" s="57">
        <f t="shared" si="289"/>
        <v>2</v>
      </c>
    </row>
    <row r="4024" spans="1:6" x14ac:dyDescent="0.25">
      <c r="A4024" s="5" t="s">
        <v>20</v>
      </c>
      <c r="B4024" s="19">
        <v>44060</v>
      </c>
      <c r="C4024" s="4">
        <v>64</v>
      </c>
      <c r="D4024" s="21">
        <f t="shared" si="292"/>
        <v>1889</v>
      </c>
      <c r="E4024" s="4">
        <f>1</f>
        <v>1</v>
      </c>
      <c r="F4024" s="57">
        <f t="shared" si="289"/>
        <v>5</v>
      </c>
    </row>
    <row r="4025" spans="1:6" x14ac:dyDescent="0.25">
      <c r="A4025" s="5" t="s">
        <v>19</v>
      </c>
      <c r="B4025" s="19">
        <v>44060</v>
      </c>
      <c r="C4025" s="4">
        <v>82</v>
      </c>
      <c r="D4025" s="21">
        <f t="shared" si="292"/>
        <v>3936</v>
      </c>
      <c r="E4025" s="4">
        <f>1+3+1+1</f>
        <v>6</v>
      </c>
      <c r="F4025" s="57">
        <f t="shared" si="289"/>
        <v>31</v>
      </c>
    </row>
    <row r="4026" spans="1:6" x14ac:dyDescent="0.25">
      <c r="A4026" s="5" t="s">
        <v>35</v>
      </c>
      <c r="B4026" s="19">
        <v>44060</v>
      </c>
      <c r="C4026" s="4">
        <v>88</v>
      </c>
      <c r="D4026" s="21">
        <f>C4026+D4002</f>
        <v>1183</v>
      </c>
      <c r="E4026" s="4">
        <f>1+2+2</f>
        <v>5</v>
      </c>
      <c r="F4026" s="57">
        <f>E4026+F4002</f>
        <v>17</v>
      </c>
    </row>
    <row r="4027" spans="1:6" x14ac:dyDescent="0.25">
      <c r="A4027" s="5" t="s">
        <v>36</v>
      </c>
      <c r="B4027" s="19">
        <v>44060</v>
      </c>
      <c r="C4027" s="4">
        <v>0</v>
      </c>
      <c r="D4027" s="21">
        <f t="shared" ref="D4027:D4033" si="293">C4027+D4003</f>
        <v>22</v>
      </c>
      <c r="F4027" s="57">
        <f>E4027+F4003</f>
        <v>0</v>
      </c>
    </row>
    <row r="4028" spans="1:6" x14ac:dyDescent="0.25">
      <c r="A4028" s="5" t="s">
        <v>37</v>
      </c>
      <c r="B4028" s="19">
        <v>44060</v>
      </c>
      <c r="C4028" s="4">
        <v>0</v>
      </c>
      <c r="D4028" s="21">
        <f t="shared" si="293"/>
        <v>34</v>
      </c>
      <c r="F4028" s="57">
        <f>E4028+F4004</f>
        <v>0</v>
      </c>
    </row>
    <row r="4029" spans="1:6" x14ac:dyDescent="0.25">
      <c r="A4029" s="5" t="s">
        <v>38</v>
      </c>
      <c r="B4029" s="19">
        <v>44060</v>
      </c>
      <c r="C4029" s="4">
        <v>33</v>
      </c>
      <c r="D4029" s="21">
        <f t="shared" si="293"/>
        <v>1064</v>
      </c>
      <c r="F4029" s="57">
        <f t="shared" ref="F4029:F4034" si="294">E4029+F4005</f>
        <v>3</v>
      </c>
    </row>
    <row r="4030" spans="1:6" x14ac:dyDescent="0.25">
      <c r="A4030" s="5" t="s">
        <v>23</v>
      </c>
      <c r="B4030" s="19">
        <v>44060</v>
      </c>
      <c r="C4030" s="4">
        <v>139</v>
      </c>
      <c r="D4030" s="21">
        <f t="shared" si="293"/>
        <v>3432</v>
      </c>
      <c r="E4030" s="4">
        <f>1</f>
        <v>1</v>
      </c>
      <c r="F4030" s="57">
        <f t="shared" si="294"/>
        <v>32</v>
      </c>
    </row>
    <row r="4031" spans="1:6" x14ac:dyDescent="0.25">
      <c r="A4031" s="5" t="s">
        <v>39</v>
      </c>
      <c r="B4031" s="19">
        <v>44060</v>
      </c>
      <c r="C4031" s="4">
        <v>44</v>
      </c>
      <c r="D4031" s="21">
        <f t="shared" si="293"/>
        <v>325</v>
      </c>
      <c r="F4031" s="57">
        <f t="shared" si="294"/>
        <v>1</v>
      </c>
    </row>
    <row r="4032" spans="1:6" x14ac:dyDescent="0.25">
      <c r="A4032" s="5" t="s">
        <v>40</v>
      </c>
      <c r="B4032" s="19">
        <v>44060</v>
      </c>
      <c r="C4032" s="4">
        <v>60</v>
      </c>
      <c r="D4032" s="21">
        <f t="shared" si="293"/>
        <v>1478</v>
      </c>
      <c r="E4032" s="4">
        <f>1</f>
        <v>1</v>
      </c>
      <c r="F4032" s="57">
        <f t="shared" si="294"/>
        <v>17</v>
      </c>
    </row>
    <row r="4033" spans="1:6" x14ac:dyDescent="0.25">
      <c r="A4033" s="5" t="s">
        <v>41</v>
      </c>
      <c r="B4033" s="19">
        <v>44060</v>
      </c>
      <c r="C4033" s="4">
        <v>30</v>
      </c>
      <c r="D4033" s="21">
        <f t="shared" si="293"/>
        <v>640</v>
      </c>
      <c r="F4033" s="57">
        <f t="shared" si="294"/>
        <v>5</v>
      </c>
    </row>
    <row r="4034" spans="1:6" x14ac:dyDescent="0.25">
      <c r="A4034" s="42" t="s">
        <v>17</v>
      </c>
      <c r="B4034" s="19">
        <v>44061</v>
      </c>
      <c r="C4034" s="4">
        <v>4585</v>
      </c>
      <c r="D4034" s="21">
        <v>190199</v>
      </c>
      <c r="E4034" s="4">
        <v>132</v>
      </c>
      <c r="F4034" s="57">
        <f t="shared" si="294"/>
        <v>3520</v>
      </c>
    </row>
    <row r="4035" spans="1:6" x14ac:dyDescent="0.25">
      <c r="A4035" s="5" t="s">
        <v>44</v>
      </c>
      <c r="B4035" s="19">
        <v>44061</v>
      </c>
      <c r="C4035" s="4">
        <v>1051</v>
      </c>
      <c r="D4035" s="21">
        <v>79252</v>
      </c>
      <c r="E4035" s="4">
        <v>60</v>
      </c>
      <c r="F4035" s="57">
        <f t="shared" ref="F4035:F4073" si="295">E4035+F4011</f>
        <v>1766</v>
      </c>
    </row>
    <row r="4036" spans="1:6" x14ac:dyDescent="0.25">
      <c r="A4036" s="5" t="s">
        <v>29</v>
      </c>
      <c r="B4036" s="19">
        <v>44061</v>
      </c>
      <c r="C4036" s="4">
        <v>-1</v>
      </c>
      <c r="D4036" s="21">
        <f>C4036+D4012</f>
        <v>64</v>
      </c>
      <c r="F4036" s="57">
        <f t="shared" si="295"/>
        <v>0</v>
      </c>
    </row>
    <row r="4037" spans="1:6" x14ac:dyDescent="0.25">
      <c r="A4037" s="5" t="s">
        <v>16</v>
      </c>
      <c r="B4037" s="19">
        <v>44061</v>
      </c>
      <c r="C4037" s="4">
        <v>45</v>
      </c>
      <c r="D4037" s="21">
        <f>C4037+D4013</f>
        <v>4549</v>
      </c>
      <c r="E4037" s="4">
        <f>1+2</f>
        <v>3</v>
      </c>
      <c r="F4037" s="57">
        <f t="shared" si="295"/>
        <v>187</v>
      </c>
    </row>
    <row r="4038" spans="1:6" x14ac:dyDescent="0.25">
      <c r="A4038" s="5" t="s">
        <v>30</v>
      </c>
      <c r="B4038" s="19">
        <v>44061</v>
      </c>
      <c r="C4038" s="4">
        <v>7</v>
      </c>
      <c r="D4038" s="21">
        <v>424</v>
      </c>
      <c r="F4038" s="57">
        <f t="shared" si="295"/>
        <v>5</v>
      </c>
    </row>
    <row r="4039" spans="1:6" x14ac:dyDescent="0.25">
      <c r="A4039" s="5" t="s">
        <v>21</v>
      </c>
      <c r="B4039" s="19">
        <v>44061</v>
      </c>
      <c r="C4039" s="4">
        <v>227</v>
      </c>
      <c r="D4039" s="21">
        <v>4991</v>
      </c>
      <c r="E4039" s="4">
        <f>1+4</f>
        <v>5</v>
      </c>
      <c r="F4039" s="57">
        <f t="shared" si="295"/>
        <v>84</v>
      </c>
    </row>
    <row r="4040" spans="1:6" x14ac:dyDescent="0.25">
      <c r="A4040" s="5" t="s">
        <v>31</v>
      </c>
      <c r="B4040" s="19">
        <v>44061</v>
      </c>
      <c r="C4040" s="4">
        <v>3</v>
      </c>
      <c r="D4040" s="21">
        <v>233</v>
      </c>
      <c r="F4040" s="57">
        <f t="shared" si="295"/>
        <v>2</v>
      </c>
    </row>
    <row r="4041" spans="1:6" x14ac:dyDescent="0.25">
      <c r="A4041" s="5" t="s">
        <v>32</v>
      </c>
      <c r="B4041" s="19">
        <v>44061</v>
      </c>
      <c r="C4041" s="4">
        <v>46</v>
      </c>
      <c r="D4041" s="21">
        <v>1750</v>
      </c>
      <c r="F4041" s="57">
        <f t="shared" si="295"/>
        <v>26</v>
      </c>
    </row>
    <row r="4042" spans="1:6" x14ac:dyDescent="0.25">
      <c r="A4042" s="5" t="s">
        <v>42</v>
      </c>
      <c r="B4042" s="19">
        <v>44061</v>
      </c>
      <c r="C4042" s="4">
        <v>-1</v>
      </c>
      <c r="D4042" s="21">
        <v>79</v>
      </c>
      <c r="E4042" s="4">
        <v>1</v>
      </c>
      <c r="F4042" s="57">
        <f>E4042+F4018</f>
        <v>1</v>
      </c>
    </row>
    <row r="4043" spans="1:6" x14ac:dyDescent="0.25">
      <c r="A4043" s="5" t="s">
        <v>33</v>
      </c>
      <c r="B4043" s="19">
        <v>44061</v>
      </c>
      <c r="C4043" s="4">
        <v>218</v>
      </c>
      <c r="D4043" s="21">
        <v>5227</v>
      </c>
      <c r="E4043" s="4">
        <f>3+7+5+1</f>
        <v>16</v>
      </c>
      <c r="F4043" s="57">
        <f t="shared" si="295"/>
        <v>73</v>
      </c>
    </row>
    <row r="4044" spans="1:6" x14ac:dyDescent="0.25">
      <c r="A4044" s="5" t="s">
        <v>34</v>
      </c>
      <c r="B4044" s="19">
        <v>44061</v>
      </c>
      <c r="C4044" s="4">
        <v>-1</v>
      </c>
      <c r="D4044" s="21">
        <v>184</v>
      </c>
      <c r="F4044" s="57">
        <f t="shared" si="295"/>
        <v>1</v>
      </c>
    </row>
    <row r="4045" spans="1:6" x14ac:dyDescent="0.25">
      <c r="A4045" s="5" t="s">
        <v>22</v>
      </c>
      <c r="B4045" s="19">
        <v>44061</v>
      </c>
      <c r="C4045" s="4">
        <v>56</v>
      </c>
      <c r="D4045" s="21">
        <v>851</v>
      </c>
      <c r="F4045" s="57">
        <f t="shared" si="295"/>
        <v>1</v>
      </c>
    </row>
    <row r="4046" spans="1:6" x14ac:dyDescent="0.25">
      <c r="A4046" s="5" t="s">
        <v>18</v>
      </c>
      <c r="B4046" s="19">
        <v>44061</v>
      </c>
      <c r="C4046" s="4">
        <v>124</v>
      </c>
      <c r="D4046" s="21">
        <v>3623</v>
      </c>
      <c r="E4046" s="4">
        <f>7+1</f>
        <v>8</v>
      </c>
      <c r="F4046" s="57">
        <f t="shared" si="295"/>
        <v>35</v>
      </c>
    </row>
    <row r="4047" spans="1:6" x14ac:dyDescent="0.25">
      <c r="A4047" s="5" t="s">
        <v>24</v>
      </c>
      <c r="B4047" s="19">
        <v>44061</v>
      </c>
      <c r="C4047" s="4">
        <v>0</v>
      </c>
      <c r="D4047" s="21">
        <v>55</v>
      </c>
      <c r="F4047" s="57">
        <f t="shared" si="295"/>
        <v>2</v>
      </c>
    </row>
    <row r="4048" spans="1:6" x14ac:dyDescent="0.25">
      <c r="A4048" s="5" t="s">
        <v>20</v>
      </c>
      <c r="B4048" s="19">
        <v>44061</v>
      </c>
      <c r="C4048" s="4">
        <v>13</v>
      </c>
      <c r="D4048" s="21">
        <v>1911</v>
      </c>
      <c r="E4048" s="4">
        <v>2</v>
      </c>
      <c r="F4048" s="57">
        <f t="shared" si="295"/>
        <v>7</v>
      </c>
    </row>
    <row r="4049" spans="1:6" x14ac:dyDescent="0.25">
      <c r="A4049" s="5" t="s">
        <v>19</v>
      </c>
      <c r="B4049" s="19">
        <v>44061</v>
      </c>
      <c r="C4049" s="4">
        <v>138</v>
      </c>
      <c r="D4049" s="21">
        <f>C4049+D4025</f>
        <v>4074</v>
      </c>
      <c r="E4049" s="4">
        <v>2</v>
      </c>
      <c r="F4049" s="57">
        <f t="shared" si="295"/>
        <v>33</v>
      </c>
    </row>
    <row r="4050" spans="1:6" x14ac:dyDescent="0.25">
      <c r="A4050" s="5" t="s">
        <v>35</v>
      </c>
      <c r="B4050" s="19">
        <v>44061</v>
      </c>
      <c r="C4050" s="4">
        <v>111</v>
      </c>
      <c r="D4050" s="21">
        <v>1287</v>
      </c>
      <c r="E4050" s="4">
        <v>1</v>
      </c>
      <c r="F4050" s="57">
        <f>E4050+F4026</f>
        <v>18</v>
      </c>
    </row>
    <row r="4051" spans="1:6" x14ac:dyDescent="0.25">
      <c r="A4051" s="5" t="s">
        <v>36</v>
      </c>
      <c r="B4051" s="19">
        <v>44061</v>
      </c>
      <c r="C4051" s="4">
        <v>0</v>
      </c>
      <c r="D4051" s="21">
        <f>C4051+D4027</f>
        <v>22</v>
      </c>
      <c r="F4051" s="57">
        <f>E4051+F4027</f>
        <v>0</v>
      </c>
    </row>
    <row r="4052" spans="1:6" x14ac:dyDescent="0.25">
      <c r="A4052" s="5" t="s">
        <v>37</v>
      </c>
      <c r="B4052" s="19">
        <v>44061</v>
      </c>
      <c r="C4052" s="4">
        <v>2</v>
      </c>
      <c r="D4052" s="21">
        <f>C4052+D4028</f>
        <v>36</v>
      </c>
      <c r="F4052" s="57">
        <f t="shared" si="295"/>
        <v>0</v>
      </c>
    </row>
    <row r="4053" spans="1:6" x14ac:dyDescent="0.25">
      <c r="A4053" s="5" t="s">
        <v>38</v>
      </c>
      <c r="B4053" s="19">
        <v>44061</v>
      </c>
      <c r="C4053" s="4">
        <v>22</v>
      </c>
      <c r="D4053" s="21">
        <v>1089</v>
      </c>
      <c r="F4053" s="57">
        <f t="shared" ref="F4053:F4058" si="296">E4053+F4029</f>
        <v>3</v>
      </c>
    </row>
    <row r="4054" spans="1:6" x14ac:dyDescent="0.25">
      <c r="A4054" s="5" t="s">
        <v>23</v>
      </c>
      <c r="B4054" s="19">
        <v>44061</v>
      </c>
      <c r="C4054" s="4">
        <v>129</v>
      </c>
      <c r="D4054" s="21">
        <f>C4054+D4030</f>
        <v>3561</v>
      </c>
      <c r="E4054" s="4">
        <v>2</v>
      </c>
      <c r="F4054" s="57">
        <f t="shared" si="296"/>
        <v>34</v>
      </c>
    </row>
    <row r="4055" spans="1:6" x14ac:dyDescent="0.25">
      <c r="A4055" s="5" t="s">
        <v>39</v>
      </c>
      <c r="B4055" s="19">
        <v>44061</v>
      </c>
      <c r="C4055" s="4">
        <v>12</v>
      </c>
      <c r="D4055" s="21">
        <v>338</v>
      </c>
      <c r="F4055" s="57">
        <f t="shared" si="296"/>
        <v>1</v>
      </c>
    </row>
    <row r="4056" spans="1:6" x14ac:dyDescent="0.25">
      <c r="A4056" s="5" t="s">
        <v>40</v>
      </c>
      <c r="B4056" s="19">
        <v>44061</v>
      </c>
      <c r="C4056" s="4">
        <v>10</v>
      </c>
      <c r="D4056" s="21">
        <v>1489</v>
      </c>
      <c r="E4056" s="4">
        <v>1</v>
      </c>
      <c r="F4056" s="57">
        <f t="shared" si="296"/>
        <v>18</v>
      </c>
    </row>
    <row r="4057" spans="1:6" x14ac:dyDescent="0.25">
      <c r="A4057" s="5" t="s">
        <v>41</v>
      </c>
      <c r="B4057" s="19">
        <v>44061</v>
      </c>
      <c r="C4057" s="4">
        <v>44</v>
      </c>
      <c r="D4057" s="21">
        <v>678</v>
      </c>
      <c r="F4057" s="57">
        <f t="shared" si="296"/>
        <v>5</v>
      </c>
    </row>
    <row r="4058" spans="1:6" x14ac:dyDescent="0.25">
      <c r="A4058" s="42" t="s">
        <v>17</v>
      </c>
      <c r="B4058" s="19">
        <v>44062</v>
      </c>
      <c r="C4058" s="4">
        <v>4303</v>
      </c>
      <c r="D4058" s="21">
        <f>C4058+D4034</f>
        <v>194502</v>
      </c>
      <c r="E4058" s="4">
        <v>209</v>
      </c>
      <c r="F4058" s="57">
        <f t="shared" si="296"/>
        <v>3729</v>
      </c>
    </row>
    <row r="4059" spans="1:6" x14ac:dyDescent="0.25">
      <c r="A4059" s="5" t="s">
        <v>44</v>
      </c>
      <c r="B4059" s="19">
        <v>44062</v>
      </c>
      <c r="C4059" s="4">
        <v>1094</v>
      </c>
      <c r="D4059" s="21">
        <f t="shared" ref="D4059:D4073" si="297">C4059+D4035</f>
        <v>80346</v>
      </c>
      <c r="E4059" s="4">
        <f>6+5+14+22</f>
        <v>47</v>
      </c>
      <c r="F4059" s="57">
        <f t="shared" si="295"/>
        <v>1813</v>
      </c>
    </row>
    <row r="4060" spans="1:6" x14ac:dyDescent="0.25">
      <c r="A4060" s="5" t="s">
        <v>29</v>
      </c>
      <c r="B4060" s="19">
        <v>44062</v>
      </c>
      <c r="C4060" s="4">
        <v>-1</v>
      </c>
      <c r="D4060" s="21">
        <f t="shared" si="297"/>
        <v>63</v>
      </c>
      <c r="F4060" s="57">
        <f t="shared" si="295"/>
        <v>0</v>
      </c>
    </row>
    <row r="4061" spans="1:6" x14ac:dyDescent="0.25">
      <c r="A4061" s="5" t="s">
        <v>16</v>
      </c>
      <c r="B4061" s="19">
        <v>44062</v>
      </c>
      <c r="C4061" s="4">
        <v>57</v>
      </c>
      <c r="D4061" s="21">
        <f t="shared" si="297"/>
        <v>4606</v>
      </c>
      <c r="E4061" s="4">
        <v>1</v>
      </c>
      <c r="F4061" s="57">
        <f t="shared" si="295"/>
        <v>188</v>
      </c>
    </row>
    <row r="4062" spans="1:6" x14ac:dyDescent="0.25">
      <c r="A4062" s="5" t="s">
        <v>30</v>
      </c>
      <c r="B4062" s="19">
        <v>44062</v>
      </c>
      <c r="C4062" s="4">
        <v>13</v>
      </c>
      <c r="D4062" s="21">
        <f t="shared" si="297"/>
        <v>437</v>
      </c>
      <c r="F4062" s="57">
        <f t="shared" si="295"/>
        <v>5</v>
      </c>
    </row>
    <row r="4063" spans="1:6" x14ac:dyDescent="0.25">
      <c r="A4063" s="5" t="s">
        <v>21</v>
      </c>
      <c r="B4063" s="19">
        <v>44062</v>
      </c>
      <c r="C4063" s="4">
        <v>100</v>
      </c>
      <c r="D4063" s="21">
        <f t="shared" si="297"/>
        <v>5091</v>
      </c>
      <c r="F4063" s="57">
        <f t="shared" si="295"/>
        <v>84</v>
      </c>
    </row>
    <row r="4064" spans="1:6" x14ac:dyDescent="0.25">
      <c r="A4064" s="5" t="s">
        <v>31</v>
      </c>
      <c r="B4064" s="19">
        <v>44062</v>
      </c>
      <c r="C4064" s="4">
        <v>3</v>
      </c>
      <c r="D4064" s="21">
        <f t="shared" si="297"/>
        <v>236</v>
      </c>
      <c r="F4064" s="57">
        <f t="shared" si="295"/>
        <v>2</v>
      </c>
    </row>
    <row r="4065" spans="1:6" x14ac:dyDescent="0.25">
      <c r="A4065" s="5" t="s">
        <v>32</v>
      </c>
      <c r="B4065" s="19">
        <v>44062</v>
      </c>
      <c r="C4065" s="4">
        <v>60</v>
      </c>
      <c r="D4065" s="21">
        <f t="shared" si="297"/>
        <v>1810</v>
      </c>
      <c r="E4065" s="4">
        <v>1</v>
      </c>
      <c r="F4065" s="57">
        <f t="shared" si="295"/>
        <v>27</v>
      </c>
    </row>
    <row r="4066" spans="1:6" x14ac:dyDescent="0.25">
      <c r="A4066" s="5" t="s">
        <v>42</v>
      </c>
      <c r="B4066" s="19">
        <v>44062</v>
      </c>
      <c r="C4066" s="4">
        <v>0</v>
      </c>
      <c r="D4066" s="21">
        <f t="shared" si="297"/>
        <v>79</v>
      </c>
      <c r="F4066" s="57">
        <f>E4066+F4042</f>
        <v>1</v>
      </c>
    </row>
    <row r="4067" spans="1:6" x14ac:dyDescent="0.25">
      <c r="A4067" s="5" t="s">
        <v>33</v>
      </c>
      <c r="B4067" s="19">
        <v>44062</v>
      </c>
      <c r="C4067" s="4">
        <v>133</v>
      </c>
      <c r="D4067" s="21">
        <f t="shared" si="297"/>
        <v>5360</v>
      </c>
      <c r="E4067" s="4">
        <v>12</v>
      </c>
      <c r="F4067" s="57">
        <f t="shared" si="295"/>
        <v>85</v>
      </c>
    </row>
    <row r="4068" spans="1:6" x14ac:dyDescent="0.25">
      <c r="A4068" s="5" t="s">
        <v>34</v>
      </c>
      <c r="B4068" s="19">
        <v>44062</v>
      </c>
      <c r="C4068" s="4">
        <v>2</v>
      </c>
      <c r="D4068" s="21">
        <f t="shared" si="297"/>
        <v>186</v>
      </c>
      <c r="F4068" s="57">
        <f t="shared" si="295"/>
        <v>1</v>
      </c>
    </row>
    <row r="4069" spans="1:6" x14ac:dyDescent="0.25">
      <c r="A4069" s="5" t="s">
        <v>22</v>
      </c>
      <c r="B4069" s="19">
        <v>44062</v>
      </c>
      <c r="C4069" s="4">
        <v>54</v>
      </c>
      <c r="D4069" s="21">
        <f t="shared" si="297"/>
        <v>905</v>
      </c>
      <c r="F4069" s="57">
        <f t="shared" si="295"/>
        <v>1</v>
      </c>
    </row>
    <row r="4070" spans="1:6" x14ac:dyDescent="0.25">
      <c r="A4070" s="5" t="s">
        <v>18</v>
      </c>
      <c r="B4070" s="19">
        <v>44062</v>
      </c>
      <c r="C4070" s="4">
        <v>150</v>
      </c>
      <c r="D4070" s="21">
        <f t="shared" si="297"/>
        <v>3773</v>
      </c>
      <c r="E4070" s="4">
        <v>5</v>
      </c>
      <c r="F4070" s="57">
        <f t="shared" si="295"/>
        <v>40</v>
      </c>
    </row>
    <row r="4071" spans="1:6" x14ac:dyDescent="0.25">
      <c r="A4071" s="5" t="s">
        <v>24</v>
      </c>
      <c r="B4071" s="19">
        <v>44062</v>
      </c>
      <c r="C4071" s="4">
        <v>0</v>
      </c>
      <c r="D4071" s="21">
        <f t="shared" si="297"/>
        <v>55</v>
      </c>
      <c r="F4071" s="57">
        <f t="shared" si="295"/>
        <v>2</v>
      </c>
    </row>
    <row r="4072" spans="1:6" x14ac:dyDescent="0.25">
      <c r="A4072" s="5" t="s">
        <v>20</v>
      </c>
      <c r="B4072" s="19">
        <v>44062</v>
      </c>
      <c r="C4072" s="4">
        <v>50</v>
      </c>
      <c r="D4072" s="21">
        <f t="shared" si="297"/>
        <v>1961</v>
      </c>
      <c r="E4072" s="4">
        <v>1</v>
      </c>
      <c r="F4072" s="57">
        <f t="shared" si="295"/>
        <v>8</v>
      </c>
    </row>
    <row r="4073" spans="1:6" x14ac:dyDescent="0.25">
      <c r="A4073" s="5" t="s">
        <v>19</v>
      </c>
      <c r="B4073" s="19">
        <v>44062</v>
      </c>
      <c r="C4073" s="4">
        <v>94</v>
      </c>
      <c r="D4073" s="21">
        <f t="shared" si="297"/>
        <v>4168</v>
      </c>
      <c r="E4073" s="4">
        <v>3</v>
      </c>
      <c r="F4073" s="57">
        <f t="shared" si="295"/>
        <v>36</v>
      </c>
    </row>
    <row r="4074" spans="1:6" x14ac:dyDescent="0.25">
      <c r="A4074" s="5" t="s">
        <v>35</v>
      </c>
      <c r="B4074" s="19">
        <v>44062</v>
      </c>
      <c r="C4074" s="4">
        <v>114</v>
      </c>
      <c r="D4074" s="21">
        <f>C4074+D4050</f>
        <v>1401</v>
      </c>
      <c r="E4074" s="4">
        <v>2</v>
      </c>
      <c r="F4074" s="57">
        <f>E4074+F4050</f>
        <v>20</v>
      </c>
    </row>
    <row r="4075" spans="1:6" x14ac:dyDescent="0.25">
      <c r="A4075" s="5" t="s">
        <v>36</v>
      </c>
      <c r="B4075" s="19">
        <v>44062</v>
      </c>
      <c r="C4075" s="4">
        <v>0</v>
      </c>
      <c r="D4075" s="21">
        <f t="shared" ref="D4075:D4081" si="298">C4075+D4051</f>
        <v>22</v>
      </c>
      <c r="F4075" s="57">
        <f>E4075+F4051</f>
        <v>0</v>
      </c>
    </row>
    <row r="4076" spans="1:6" x14ac:dyDescent="0.25">
      <c r="A4076" s="5" t="s">
        <v>37</v>
      </c>
      <c r="B4076" s="19">
        <v>44062</v>
      </c>
      <c r="C4076" s="4">
        <v>0</v>
      </c>
      <c r="D4076" s="21">
        <f t="shared" si="298"/>
        <v>36</v>
      </c>
      <c r="F4076" s="57">
        <f>E4076+F4052</f>
        <v>0</v>
      </c>
    </row>
    <row r="4077" spans="1:6" x14ac:dyDescent="0.25">
      <c r="A4077" s="5" t="s">
        <v>38</v>
      </c>
      <c r="B4077" s="19">
        <v>44062</v>
      </c>
      <c r="C4077" s="4">
        <v>56</v>
      </c>
      <c r="D4077" s="21">
        <f t="shared" si="298"/>
        <v>1145</v>
      </c>
      <c r="F4077" s="57">
        <f t="shared" ref="F4077:F4082" si="299">E4077+F4053</f>
        <v>3</v>
      </c>
    </row>
    <row r="4078" spans="1:6" x14ac:dyDescent="0.25">
      <c r="A4078" s="5" t="s">
        <v>23</v>
      </c>
      <c r="B4078" s="19">
        <v>44062</v>
      </c>
      <c r="C4078" s="4">
        <v>202</v>
      </c>
      <c r="D4078" s="21">
        <f t="shared" si="298"/>
        <v>3763</v>
      </c>
      <c r="E4078" s="4">
        <v>2</v>
      </c>
      <c r="F4078" s="57">
        <f t="shared" si="299"/>
        <v>36</v>
      </c>
    </row>
    <row r="4079" spans="1:6" x14ac:dyDescent="0.25">
      <c r="A4079" s="5" t="s">
        <v>39</v>
      </c>
      <c r="B4079" s="19">
        <v>44062</v>
      </c>
      <c r="C4079" s="4">
        <v>41</v>
      </c>
      <c r="D4079" s="21">
        <f t="shared" si="298"/>
        <v>379</v>
      </c>
      <c r="F4079" s="57">
        <f t="shared" si="299"/>
        <v>1</v>
      </c>
    </row>
    <row r="4080" spans="1:6" x14ac:dyDescent="0.25">
      <c r="A4080" s="5" t="s">
        <v>40</v>
      </c>
      <c r="B4080" s="19">
        <v>44062</v>
      </c>
      <c r="C4080" s="4">
        <v>64</v>
      </c>
      <c r="D4080" s="21">
        <f t="shared" si="298"/>
        <v>1553</v>
      </c>
      <c r="F4080" s="57">
        <f t="shared" si="299"/>
        <v>18</v>
      </c>
    </row>
    <row r="4081" spans="1:6" x14ac:dyDescent="0.25">
      <c r="A4081" s="5" t="s">
        <v>41</v>
      </c>
      <c r="B4081" s="19">
        <v>44062</v>
      </c>
      <c r="C4081" s="4">
        <v>104</v>
      </c>
      <c r="D4081" s="21">
        <f t="shared" si="298"/>
        <v>782</v>
      </c>
      <c r="F4081" s="57">
        <f t="shared" si="299"/>
        <v>5</v>
      </c>
    </row>
    <row r="4082" spans="1:6" x14ac:dyDescent="0.25">
      <c r="A4082" s="42" t="s">
        <v>17</v>
      </c>
      <c r="B4082" s="19">
        <v>44063</v>
      </c>
      <c r="C4082" s="4">
        <v>5245</v>
      </c>
      <c r="D4082" s="21">
        <f>C4082+D4058</f>
        <v>199747</v>
      </c>
      <c r="E4082" s="4">
        <v>55</v>
      </c>
      <c r="F4082" s="57">
        <f t="shared" si="299"/>
        <v>3784</v>
      </c>
    </row>
    <row r="4083" spans="1:6" x14ac:dyDescent="0.25">
      <c r="A4083" s="5" t="s">
        <v>44</v>
      </c>
      <c r="B4083" s="19">
        <v>44063</v>
      </c>
      <c r="C4083" s="4">
        <v>1280</v>
      </c>
      <c r="D4083" s="21">
        <f t="shared" ref="D4083:D4097" si="300">C4083+D4059</f>
        <v>81626</v>
      </c>
      <c r="E4083" s="4">
        <v>85</v>
      </c>
      <c r="F4083" s="57">
        <f t="shared" ref="F4083:F4121" si="301">E4083+F4059</f>
        <v>1898</v>
      </c>
    </row>
    <row r="4084" spans="1:6" x14ac:dyDescent="0.25">
      <c r="A4084" s="5" t="s">
        <v>29</v>
      </c>
      <c r="B4084" s="19">
        <v>44063</v>
      </c>
      <c r="C4084" s="4">
        <v>1</v>
      </c>
      <c r="D4084" s="21">
        <f t="shared" si="300"/>
        <v>64</v>
      </c>
      <c r="F4084" s="57">
        <f t="shared" si="301"/>
        <v>0</v>
      </c>
    </row>
    <row r="4085" spans="1:6" x14ac:dyDescent="0.25">
      <c r="A4085" s="5" t="s">
        <v>16</v>
      </c>
      <c r="B4085" s="19">
        <v>44063</v>
      </c>
      <c r="C4085" s="4">
        <v>95</v>
      </c>
      <c r="D4085" s="21">
        <f t="shared" si="300"/>
        <v>4701</v>
      </c>
      <c r="E4085" s="4">
        <v>2</v>
      </c>
      <c r="F4085" s="57">
        <f t="shared" si="301"/>
        <v>190</v>
      </c>
    </row>
    <row r="4086" spans="1:6" x14ac:dyDescent="0.25">
      <c r="A4086" s="5" t="s">
        <v>30</v>
      </c>
      <c r="B4086" s="19">
        <v>44063</v>
      </c>
      <c r="C4086" s="4">
        <v>18</v>
      </c>
      <c r="D4086" s="21">
        <f t="shared" si="300"/>
        <v>455</v>
      </c>
      <c r="E4086" s="4">
        <v>1</v>
      </c>
      <c r="F4086" s="57">
        <f t="shared" si="301"/>
        <v>6</v>
      </c>
    </row>
    <row r="4087" spans="1:6" x14ac:dyDescent="0.25">
      <c r="A4087" s="5" t="s">
        <v>21</v>
      </c>
      <c r="B4087" s="19">
        <v>44063</v>
      </c>
      <c r="C4087" s="4">
        <v>181</v>
      </c>
      <c r="D4087" s="21">
        <f t="shared" si="300"/>
        <v>5272</v>
      </c>
      <c r="E4087" s="4">
        <f>4+1</f>
        <v>5</v>
      </c>
      <c r="F4087" s="57">
        <f t="shared" si="301"/>
        <v>89</v>
      </c>
    </row>
    <row r="4088" spans="1:6" x14ac:dyDescent="0.25">
      <c r="A4088" s="5" t="s">
        <v>31</v>
      </c>
      <c r="B4088" s="19">
        <v>44063</v>
      </c>
      <c r="C4088" s="4">
        <v>3</v>
      </c>
      <c r="D4088" s="21">
        <f t="shared" si="300"/>
        <v>239</v>
      </c>
      <c r="F4088" s="57">
        <f t="shared" si="301"/>
        <v>2</v>
      </c>
    </row>
    <row r="4089" spans="1:6" x14ac:dyDescent="0.25">
      <c r="A4089" s="5" t="s">
        <v>32</v>
      </c>
      <c r="B4089" s="19">
        <v>44063</v>
      </c>
      <c r="C4089" s="4">
        <v>51</v>
      </c>
      <c r="D4089" s="21">
        <f t="shared" si="300"/>
        <v>1861</v>
      </c>
      <c r="F4089" s="57">
        <f t="shared" si="301"/>
        <v>27</v>
      </c>
    </row>
    <row r="4090" spans="1:6" x14ac:dyDescent="0.25">
      <c r="A4090" s="5" t="s">
        <v>42</v>
      </c>
      <c r="B4090" s="19">
        <v>44063</v>
      </c>
      <c r="C4090" s="4">
        <v>1</v>
      </c>
      <c r="D4090" s="21">
        <f t="shared" si="300"/>
        <v>80</v>
      </c>
      <c r="F4090" s="57">
        <f>E4090+F4066</f>
        <v>1</v>
      </c>
    </row>
    <row r="4091" spans="1:6" x14ac:dyDescent="0.25">
      <c r="A4091" s="5" t="s">
        <v>33</v>
      </c>
      <c r="B4091" s="19">
        <v>44063</v>
      </c>
      <c r="C4091" s="4">
        <v>264</v>
      </c>
      <c r="D4091" s="21">
        <f t="shared" si="300"/>
        <v>5624</v>
      </c>
      <c r="E4091" s="4">
        <f>1+8+6</f>
        <v>15</v>
      </c>
      <c r="F4091" s="57">
        <f t="shared" si="301"/>
        <v>100</v>
      </c>
    </row>
    <row r="4092" spans="1:6" x14ac:dyDescent="0.25">
      <c r="A4092" s="5" t="s">
        <v>34</v>
      </c>
      <c r="B4092" s="19">
        <v>44063</v>
      </c>
      <c r="C4092" s="4">
        <v>1</v>
      </c>
      <c r="D4092" s="21">
        <f t="shared" si="300"/>
        <v>187</v>
      </c>
      <c r="F4092" s="57">
        <f t="shared" si="301"/>
        <v>1</v>
      </c>
    </row>
    <row r="4093" spans="1:6" x14ac:dyDescent="0.25">
      <c r="A4093" s="5" t="s">
        <v>22</v>
      </c>
      <c r="B4093" s="19">
        <v>44063</v>
      </c>
      <c r="C4093" s="4">
        <v>22</v>
      </c>
      <c r="D4093" s="21">
        <f t="shared" si="300"/>
        <v>927</v>
      </c>
      <c r="F4093" s="57">
        <f t="shared" si="301"/>
        <v>1</v>
      </c>
    </row>
    <row r="4094" spans="1:6" x14ac:dyDescent="0.25">
      <c r="A4094" s="5" t="s">
        <v>18</v>
      </c>
      <c r="B4094" s="19">
        <v>44063</v>
      </c>
      <c r="C4094" s="4">
        <v>267</v>
      </c>
      <c r="D4094" s="21">
        <f t="shared" si="300"/>
        <v>4040</v>
      </c>
      <c r="E4094" s="4">
        <f>2+2</f>
        <v>4</v>
      </c>
      <c r="F4094" s="57">
        <f t="shared" si="301"/>
        <v>44</v>
      </c>
    </row>
    <row r="4095" spans="1:6" x14ac:dyDescent="0.25">
      <c r="A4095" s="5" t="s">
        <v>24</v>
      </c>
      <c r="B4095" s="19">
        <v>44063</v>
      </c>
      <c r="C4095" s="4">
        <v>-2</v>
      </c>
      <c r="D4095" s="21">
        <f t="shared" si="300"/>
        <v>53</v>
      </c>
      <c r="F4095" s="57">
        <f t="shared" si="301"/>
        <v>2</v>
      </c>
    </row>
    <row r="4096" spans="1:6" x14ac:dyDescent="0.25">
      <c r="A4096" s="5" t="s">
        <v>20</v>
      </c>
      <c r="B4096" s="19">
        <v>44063</v>
      </c>
      <c r="C4096" s="4">
        <v>59</v>
      </c>
      <c r="D4096" s="21">
        <f t="shared" si="300"/>
        <v>2020</v>
      </c>
      <c r="E4096" s="4">
        <v>1</v>
      </c>
      <c r="F4096" s="57">
        <f t="shared" si="301"/>
        <v>9</v>
      </c>
    </row>
    <row r="4097" spans="1:6" x14ac:dyDescent="0.25">
      <c r="A4097" s="5" t="s">
        <v>19</v>
      </c>
      <c r="B4097" s="19">
        <v>44063</v>
      </c>
      <c r="C4097" s="4">
        <v>161</v>
      </c>
      <c r="D4097" s="21">
        <f t="shared" si="300"/>
        <v>4329</v>
      </c>
      <c r="E4097" s="4">
        <f>3+1+2</f>
        <v>6</v>
      </c>
      <c r="F4097" s="57">
        <f t="shared" si="301"/>
        <v>42</v>
      </c>
    </row>
    <row r="4098" spans="1:6" x14ac:dyDescent="0.25">
      <c r="A4098" s="5" t="s">
        <v>35</v>
      </c>
      <c r="B4098" s="19">
        <v>44063</v>
      </c>
      <c r="C4098" s="4">
        <v>99</v>
      </c>
      <c r="D4098" s="21">
        <f>C4098+D4074</f>
        <v>1500</v>
      </c>
      <c r="E4098" s="4">
        <v>2</v>
      </c>
      <c r="F4098" s="57">
        <f>E4098+F4074</f>
        <v>22</v>
      </c>
    </row>
    <row r="4099" spans="1:6" x14ac:dyDescent="0.25">
      <c r="A4099" s="5" t="s">
        <v>36</v>
      </c>
      <c r="B4099" s="19">
        <v>44063</v>
      </c>
      <c r="C4099" s="4">
        <v>13</v>
      </c>
      <c r="D4099" s="21">
        <f t="shared" ref="D4099:D4105" si="302">C4099+D4075</f>
        <v>35</v>
      </c>
      <c r="F4099" s="57">
        <f>E4099+F4075</f>
        <v>0</v>
      </c>
    </row>
    <row r="4100" spans="1:6" x14ac:dyDescent="0.25">
      <c r="A4100" s="5" t="s">
        <v>37</v>
      </c>
      <c r="B4100" s="19">
        <v>44063</v>
      </c>
      <c r="C4100" s="4">
        <v>3</v>
      </c>
      <c r="D4100" s="21">
        <f t="shared" si="302"/>
        <v>39</v>
      </c>
      <c r="F4100" s="57">
        <f t="shared" si="301"/>
        <v>0</v>
      </c>
    </row>
    <row r="4101" spans="1:6" x14ac:dyDescent="0.25">
      <c r="A4101" s="5" t="s">
        <v>38</v>
      </c>
      <c r="B4101" s="19">
        <v>44063</v>
      </c>
      <c r="C4101" s="4">
        <v>33</v>
      </c>
      <c r="D4101" s="21">
        <f t="shared" si="302"/>
        <v>1178</v>
      </c>
      <c r="E4101" s="4">
        <f>3+3</f>
        <v>6</v>
      </c>
      <c r="F4101" s="57">
        <f t="shared" ref="F4101:F4106" si="303">E4101+F4077</f>
        <v>9</v>
      </c>
    </row>
    <row r="4102" spans="1:6" x14ac:dyDescent="0.25">
      <c r="A4102" s="5" t="s">
        <v>23</v>
      </c>
      <c r="B4102" s="19">
        <v>44063</v>
      </c>
      <c r="C4102" s="4">
        <v>290</v>
      </c>
      <c r="D4102" s="21">
        <f t="shared" si="302"/>
        <v>4053</v>
      </c>
      <c r="E4102" s="4">
        <v>3</v>
      </c>
      <c r="F4102" s="57">
        <f t="shared" si="303"/>
        <v>39</v>
      </c>
    </row>
    <row r="4103" spans="1:6" x14ac:dyDescent="0.25">
      <c r="A4103" s="5" t="s">
        <v>39</v>
      </c>
      <c r="B4103" s="19">
        <v>44063</v>
      </c>
      <c r="C4103" s="4">
        <v>38</v>
      </c>
      <c r="D4103" s="21">
        <f t="shared" si="302"/>
        <v>417</v>
      </c>
      <c r="F4103" s="57">
        <f t="shared" si="303"/>
        <v>1</v>
      </c>
    </row>
    <row r="4104" spans="1:6" x14ac:dyDescent="0.25">
      <c r="A4104" s="5" t="s">
        <v>40</v>
      </c>
      <c r="B4104" s="19">
        <v>44063</v>
      </c>
      <c r="C4104" s="4">
        <v>47</v>
      </c>
      <c r="D4104" s="21">
        <f t="shared" si="302"/>
        <v>1600</v>
      </c>
      <c r="E4104" s="4">
        <v>1</v>
      </c>
      <c r="F4104" s="57">
        <f t="shared" si="303"/>
        <v>19</v>
      </c>
    </row>
    <row r="4105" spans="1:6" x14ac:dyDescent="0.25">
      <c r="A4105" s="5" t="s">
        <v>41</v>
      </c>
      <c r="B4105" s="19">
        <v>44063</v>
      </c>
      <c r="C4105" s="4">
        <v>55</v>
      </c>
      <c r="D4105" s="21">
        <f t="shared" si="302"/>
        <v>837</v>
      </c>
      <c r="E4105" s="4">
        <v>1</v>
      </c>
      <c r="F4105" s="57">
        <f t="shared" si="303"/>
        <v>6</v>
      </c>
    </row>
    <row r="4106" spans="1:6" x14ac:dyDescent="0.25">
      <c r="A4106" s="42" t="s">
        <v>17</v>
      </c>
      <c r="B4106" s="19">
        <v>44064</v>
      </c>
      <c r="C4106" s="4">
        <v>5322</v>
      </c>
      <c r="D4106" s="21">
        <f>C4106+D4082</f>
        <v>205069</v>
      </c>
      <c r="E4106" s="4">
        <v>131</v>
      </c>
      <c r="F4106" s="57">
        <f t="shared" si="303"/>
        <v>3915</v>
      </c>
    </row>
    <row r="4107" spans="1:6" x14ac:dyDescent="0.25">
      <c r="A4107" s="5" t="s">
        <v>44</v>
      </c>
      <c r="B4107" s="19">
        <v>44064</v>
      </c>
      <c r="C4107" s="4">
        <v>1179</v>
      </c>
      <c r="D4107" s="21">
        <f t="shared" ref="D4107:D4121" si="304">C4107+D4083</f>
        <v>82805</v>
      </c>
      <c r="E4107" s="4">
        <f>5+14+12</f>
        <v>31</v>
      </c>
      <c r="F4107" s="57">
        <f t="shared" si="301"/>
        <v>1929</v>
      </c>
    </row>
    <row r="4108" spans="1:6" x14ac:dyDescent="0.25">
      <c r="A4108" s="5" t="s">
        <v>29</v>
      </c>
      <c r="B4108" s="19">
        <v>44064</v>
      </c>
      <c r="C4108" s="4">
        <v>-1</v>
      </c>
      <c r="D4108" s="21">
        <f t="shared" si="304"/>
        <v>63</v>
      </c>
      <c r="F4108" s="57">
        <f t="shared" si="301"/>
        <v>0</v>
      </c>
    </row>
    <row r="4109" spans="1:6" x14ac:dyDescent="0.25">
      <c r="A4109" s="5" t="s">
        <v>16</v>
      </c>
      <c r="B4109" s="19">
        <v>44064</v>
      </c>
      <c r="C4109" s="4">
        <v>55</v>
      </c>
      <c r="D4109" s="21">
        <f t="shared" si="304"/>
        <v>4756</v>
      </c>
      <c r="E4109" s="4">
        <f>2</f>
        <v>2</v>
      </c>
      <c r="F4109" s="57">
        <f t="shared" si="301"/>
        <v>192</v>
      </c>
    </row>
    <row r="4110" spans="1:6" x14ac:dyDescent="0.25">
      <c r="A4110" s="5" t="s">
        <v>30</v>
      </c>
      <c r="B4110" s="19">
        <v>44064</v>
      </c>
      <c r="C4110" s="4">
        <v>19</v>
      </c>
      <c r="D4110" s="21">
        <f t="shared" si="304"/>
        <v>474</v>
      </c>
      <c r="E4110" s="4">
        <f>1</f>
        <v>1</v>
      </c>
      <c r="F4110" s="57">
        <f t="shared" si="301"/>
        <v>7</v>
      </c>
    </row>
    <row r="4111" spans="1:6" x14ac:dyDescent="0.25">
      <c r="A4111" s="5" t="s">
        <v>21</v>
      </c>
      <c r="B4111" s="19">
        <v>44064</v>
      </c>
      <c r="C4111" s="4">
        <v>182</v>
      </c>
      <c r="D4111" s="21">
        <f t="shared" si="304"/>
        <v>5454</v>
      </c>
      <c r="E4111" s="4">
        <v>2</v>
      </c>
      <c r="F4111" s="57">
        <f t="shared" si="301"/>
        <v>91</v>
      </c>
    </row>
    <row r="4112" spans="1:6" x14ac:dyDescent="0.25">
      <c r="A4112" s="5" t="s">
        <v>31</v>
      </c>
      <c r="B4112" s="19">
        <v>44064</v>
      </c>
      <c r="C4112" s="4">
        <v>4</v>
      </c>
      <c r="D4112" s="21">
        <f t="shared" si="304"/>
        <v>243</v>
      </c>
      <c r="E4112" s="4">
        <v>1</v>
      </c>
      <c r="F4112" s="57">
        <f t="shared" si="301"/>
        <v>3</v>
      </c>
    </row>
    <row r="4113" spans="1:6" x14ac:dyDescent="0.25">
      <c r="A4113" s="5" t="s">
        <v>32</v>
      </c>
      <c r="B4113" s="19">
        <v>44064</v>
      </c>
      <c r="C4113" s="4">
        <v>136</v>
      </c>
      <c r="D4113" s="21">
        <f t="shared" si="304"/>
        <v>1997</v>
      </c>
      <c r="E4113" s="4">
        <v>2</v>
      </c>
      <c r="F4113" s="57">
        <f t="shared" si="301"/>
        <v>29</v>
      </c>
    </row>
    <row r="4114" spans="1:6" x14ac:dyDescent="0.25">
      <c r="A4114" s="5" t="s">
        <v>42</v>
      </c>
      <c r="B4114" s="19">
        <v>44064</v>
      </c>
      <c r="C4114" s="4">
        <v>-1</v>
      </c>
      <c r="D4114" s="21">
        <f t="shared" si="304"/>
        <v>79</v>
      </c>
      <c r="F4114" s="57">
        <f>E4114+F4090</f>
        <v>1</v>
      </c>
    </row>
    <row r="4115" spans="1:6" x14ac:dyDescent="0.25">
      <c r="A4115" s="5" t="s">
        <v>33</v>
      </c>
      <c r="B4115" s="19">
        <v>44064</v>
      </c>
      <c r="C4115" s="4">
        <v>250</v>
      </c>
      <c r="D4115" s="21">
        <f t="shared" si="304"/>
        <v>5874</v>
      </c>
      <c r="E4115" s="4">
        <f>8+4+10+5</f>
        <v>27</v>
      </c>
      <c r="F4115" s="57">
        <f t="shared" si="301"/>
        <v>127</v>
      </c>
    </row>
    <row r="4116" spans="1:6" x14ac:dyDescent="0.25">
      <c r="A4116" s="5" t="s">
        <v>34</v>
      </c>
      <c r="B4116" s="19">
        <v>44064</v>
      </c>
      <c r="C4116" s="4">
        <v>0</v>
      </c>
      <c r="D4116" s="21">
        <f t="shared" si="304"/>
        <v>187</v>
      </c>
      <c r="F4116" s="57">
        <f t="shared" si="301"/>
        <v>1</v>
      </c>
    </row>
    <row r="4117" spans="1:6" x14ac:dyDescent="0.25">
      <c r="A4117" s="5" t="s">
        <v>22</v>
      </c>
      <c r="B4117" s="19">
        <v>44064</v>
      </c>
      <c r="C4117" s="4">
        <v>51</v>
      </c>
      <c r="D4117" s="21">
        <f t="shared" si="304"/>
        <v>978</v>
      </c>
      <c r="F4117" s="57">
        <f t="shared" si="301"/>
        <v>1</v>
      </c>
    </row>
    <row r="4118" spans="1:6" x14ac:dyDescent="0.25">
      <c r="A4118" s="5" t="s">
        <v>18</v>
      </c>
      <c r="B4118" s="19">
        <v>44064</v>
      </c>
      <c r="C4118" s="4">
        <v>212</v>
      </c>
      <c r="D4118" s="21">
        <f t="shared" si="304"/>
        <v>4252</v>
      </c>
      <c r="E4118" s="4">
        <f>1+2+1+1</f>
        <v>5</v>
      </c>
      <c r="F4118" s="57">
        <f t="shared" si="301"/>
        <v>49</v>
      </c>
    </row>
    <row r="4119" spans="1:6" x14ac:dyDescent="0.25">
      <c r="A4119" s="5" t="s">
        <v>24</v>
      </c>
      <c r="B4119" s="19">
        <v>44064</v>
      </c>
      <c r="C4119" s="4">
        <v>5</v>
      </c>
      <c r="D4119" s="21">
        <f t="shared" si="304"/>
        <v>58</v>
      </c>
      <c r="F4119" s="57">
        <f t="shared" si="301"/>
        <v>2</v>
      </c>
    </row>
    <row r="4120" spans="1:6" x14ac:dyDescent="0.25">
      <c r="A4120" s="5" t="s">
        <v>20</v>
      </c>
      <c r="B4120" s="19">
        <v>44064</v>
      </c>
      <c r="C4120" s="4">
        <v>47</v>
      </c>
      <c r="D4120" s="21">
        <f t="shared" si="304"/>
        <v>2067</v>
      </c>
      <c r="E4120" s="4">
        <f>2</f>
        <v>2</v>
      </c>
      <c r="F4120" s="57">
        <f t="shared" si="301"/>
        <v>11</v>
      </c>
    </row>
    <row r="4121" spans="1:6" x14ac:dyDescent="0.25">
      <c r="A4121" s="5" t="s">
        <v>19</v>
      </c>
      <c r="B4121" s="19">
        <v>44064</v>
      </c>
      <c r="C4121" s="4">
        <v>137</v>
      </c>
      <c r="D4121" s="21">
        <f t="shared" si="304"/>
        <v>4466</v>
      </c>
      <c r="F4121" s="57">
        <f t="shared" si="301"/>
        <v>42</v>
      </c>
    </row>
    <row r="4122" spans="1:6" x14ac:dyDescent="0.25">
      <c r="A4122" s="5" t="s">
        <v>35</v>
      </c>
      <c r="B4122" s="19">
        <v>44064</v>
      </c>
      <c r="C4122" s="4">
        <v>90</v>
      </c>
      <c r="D4122" s="21">
        <f>C4122+D4098</f>
        <v>1590</v>
      </c>
      <c r="E4122" s="4">
        <f>1+1+1</f>
        <v>3</v>
      </c>
      <c r="F4122" s="57">
        <f>E4122+F4098</f>
        <v>25</v>
      </c>
    </row>
    <row r="4123" spans="1:6" x14ac:dyDescent="0.25">
      <c r="A4123" s="5" t="s">
        <v>36</v>
      </c>
      <c r="B4123" s="19">
        <v>44064</v>
      </c>
      <c r="C4123" s="4">
        <v>1</v>
      </c>
      <c r="D4123" s="21">
        <f t="shared" ref="D4123:D4129" si="305">C4123+D4099</f>
        <v>36</v>
      </c>
      <c r="F4123" s="57">
        <f>E4123+F4099</f>
        <v>0</v>
      </c>
    </row>
    <row r="4124" spans="1:6" x14ac:dyDescent="0.25">
      <c r="A4124" s="5" t="s">
        <v>37</v>
      </c>
      <c r="B4124" s="19">
        <v>44064</v>
      </c>
      <c r="C4124" s="4">
        <v>0</v>
      </c>
      <c r="D4124" s="21">
        <f t="shared" si="305"/>
        <v>39</v>
      </c>
      <c r="F4124" s="57">
        <f>E4124+F4100</f>
        <v>0</v>
      </c>
    </row>
    <row r="4125" spans="1:6" x14ac:dyDescent="0.25">
      <c r="A4125" s="5" t="s">
        <v>38</v>
      </c>
      <c r="B4125" s="19">
        <v>44064</v>
      </c>
      <c r="C4125" s="4">
        <v>68</v>
      </c>
      <c r="D4125" s="21">
        <f t="shared" si="305"/>
        <v>1246</v>
      </c>
      <c r="F4125" s="57">
        <f t="shared" ref="F4125:F4130" si="306">E4125+F4101</f>
        <v>9</v>
      </c>
    </row>
    <row r="4126" spans="1:6" x14ac:dyDescent="0.25">
      <c r="A4126" s="5" t="s">
        <v>23</v>
      </c>
      <c r="B4126" s="19">
        <v>44064</v>
      </c>
      <c r="C4126" s="4">
        <v>262</v>
      </c>
      <c r="D4126" s="21">
        <f t="shared" si="305"/>
        <v>4315</v>
      </c>
      <c r="E4126" s="4">
        <v>6</v>
      </c>
      <c r="F4126" s="57">
        <f t="shared" si="306"/>
        <v>45</v>
      </c>
    </row>
    <row r="4127" spans="1:6" x14ac:dyDescent="0.25">
      <c r="A4127" s="5" t="s">
        <v>39</v>
      </c>
      <c r="B4127" s="19">
        <v>44064</v>
      </c>
      <c r="C4127" s="4">
        <v>38</v>
      </c>
      <c r="D4127" s="21">
        <f t="shared" si="305"/>
        <v>455</v>
      </c>
      <c r="E4127" s="4">
        <v>1</v>
      </c>
      <c r="F4127" s="57">
        <f t="shared" si="306"/>
        <v>2</v>
      </c>
    </row>
    <row r="4128" spans="1:6" x14ac:dyDescent="0.25">
      <c r="A4128" s="5" t="s">
        <v>40</v>
      </c>
      <c r="B4128" s="19">
        <v>44064</v>
      </c>
      <c r="C4128" s="4">
        <v>36</v>
      </c>
      <c r="D4128" s="21">
        <f t="shared" si="305"/>
        <v>1636</v>
      </c>
      <c r="F4128" s="57">
        <f t="shared" si="306"/>
        <v>19</v>
      </c>
    </row>
    <row r="4129" spans="1:6" x14ac:dyDescent="0.25">
      <c r="A4129" s="5" t="s">
        <v>41</v>
      </c>
      <c r="B4129" s="19">
        <v>44064</v>
      </c>
      <c r="C4129" s="4">
        <v>67</v>
      </c>
      <c r="D4129" s="21">
        <f t="shared" si="305"/>
        <v>904</v>
      </c>
      <c r="F4129" s="57">
        <f t="shared" si="306"/>
        <v>6</v>
      </c>
    </row>
    <row r="4130" spans="1:6" x14ac:dyDescent="0.25">
      <c r="A4130" s="42" t="s">
        <v>17</v>
      </c>
      <c r="B4130" s="19">
        <v>44065</v>
      </c>
      <c r="C4130" s="4">
        <v>4838</v>
      </c>
      <c r="D4130" s="21">
        <f>C4130+D4106</f>
        <v>209907</v>
      </c>
      <c r="E4130" s="4">
        <f>28+13+25+11</f>
        <v>77</v>
      </c>
      <c r="F4130" s="57">
        <f t="shared" si="306"/>
        <v>3992</v>
      </c>
    </row>
    <row r="4131" spans="1:6" x14ac:dyDescent="0.25">
      <c r="A4131" s="5" t="s">
        <v>44</v>
      </c>
      <c r="B4131" s="19">
        <v>44065</v>
      </c>
      <c r="C4131" s="4">
        <v>1100</v>
      </c>
      <c r="D4131" s="21">
        <f t="shared" ref="D4131:D4145" si="307">C4131+D4107</f>
        <v>83905</v>
      </c>
      <c r="E4131" s="4">
        <f>1+1+3+5</f>
        <v>10</v>
      </c>
      <c r="F4131" s="57">
        <f t="shared" ref="F4131:F4169" si="308">E4131+F4107</f>
        <v>1939</v>
      </c>
    </row>
    <row r="4132" spans="1:6" x14ac:dyDescent="0.25">
      <c r="A4132" s="5" t="s">
        <v>29</v>
      </c>
      <c r="B4132" s="19">
        <v>44065</v>
      </c>
      <c r="C4132" s="4">
        <v>1</v>
      </c>
      <c r="D4132" s="21">
        <f t="shared" si="307"/>
        <v>64</v>
      </c>
      <c r="F4132" s="57">
        <f t="shared" si="308"/>
        <v>0</v>
      </c>
    </row>
    <row r="4133" spans="1:6" x14ac:dyDescent="0.25">
      <c r="A4133" s="5" t="s">
        <v>16</v>
      </c>
      <c r="B4133" s="19">
        <v>44065</v>
      </c>
      <c r="C4133" s="4">
        <v>78</v>
      </c>
      <c r="D4133" s="21">
        <f t="shared" si="307"/>
        <v>4834</v>
      </c>
      <c r="F4133" s="57">
        <f t="shared" si="308"/>
        <v>192</v>
      </c>
    </row>
    <row r="4134" spans="1:6" x14ac:dyDescent="0.25">
      <c r="A4134" s="5" t="s">
        <v>30</v>
      </c>
      <c r="B4134" s="19">
        <v>44065</v>
      </c>
      <c r="C4134" s="4">
        <v>36</v>
      </c>
      <c r="D4134" s="21">
        <f t="shared" si="307"/>
        <v>510</v>
      </c>
      <c r="F4134" s="57">
        <f t="shared" si="308"/>
        <v>7</v>
      </c>
    </row>
    <row r="4135" spans="1:6" x14ac:dyDescent="0.25">
      <c r="A4135" s="5" t="s">
        <v>21</v>
      </c>
      <c r="B4135" s="19">
        <v>44065</v>
      </c>
      <c r="C4135" s="4">
        <v>219</v>
      </c>
      <c r="D4135" s="21">
        <f t="shared" si="307"/>
        <v>5673</v>
      </c>
      <c r="E4135" s="4">
        <v>4</v>
      </c>
      <c r="F4135" s="57">
        <f t="shared" si="308"/>
        <v>95</v>
      </c>
    </row>
    <row r="4136" spans="1:6" x14ac:dyDescent="0.25">
      <c r="A4136" s="5" t="s">
        <v>31</v>
      </c>
      <c r="B4136" s="19">
        <v>44065</v>
      </c>
      <c r="C4136" s="4">
        <v>4</v>
      </c>
      <c r="D4136" s="21">
        <f t="shared" si="307"/>
        <v>247</v>
      </c>
      <c r="F4136" s="57">
        <f t="shared" si="308"/>
        <v>3</v>
      </c>
    </row>
    <row r="4137" spans="1:6" x14ac:dyDescent="0.25">
      <c r="A4137" s="5" t="s">
        <v>32</v>
      </c>
      <c r="B4137" s="19">
        <v>44065</v>
      </c>
      <c r="C4137" s="4">
        <v>135</v>
      </c>
      <c r="D4137" s="21">
        <f t="shared" si="307"/>
        <v>2132</v>
      </c>
      <c r="F4137" s="57">
        <f t="shared" si="308"/>
        <v>29</v>
      </c>
    </row>
    <row r="4138" spans="1:6" x14ac:dyDescent="0.25">
      <c r="A4138" s="5" t="s">
        <v>42</v>
      </c>
      <c r="B4138" s="19">
        <v>44065</v>
      </c>
      <c r="C4138" s="4">
        <v>1</v>
      </c>
      <c r="D4138" s="21">
        <f t="shared" si="307"/>
        <v>80</v>
      </c>
      <c r="F4138" s="57">
        <f>E4138+F4114</f>
        <v>1</v>
      </c>
    </row>
    <row r="4139" spans="1:6" x14ac:dyDescent="0.25">
      <c r="A4139" s="5" t="s">
        <v>33</v>
      </c>
      <c r="B4139" s="19">
        <v>44065</v>
      </c>
      <c r="C4139" s="4">
        <v>212</v>
      </c>
      <c r="D4139" s="21">
        <f t="shared" si="307"/>
        <v>6086</v>
      </c>
      <c r="E4139" s="4">
        <f>10+4</f>
        <v>14</v>
      </c>
      <c r="F4139" s="57">
        <f t="shared" si="308"/>
        <v>141</v>
      </c>
    </row>
    <row r="4140" spans="1:6" x14ac:dyDescent="0.25">
      <c r="A4140" s="5" t="s">
        <v>34</v>
      </c>
      <c r="B4140" s="19">
        <v>44065</v>
      </c>
      <c r="C4140" s="4">
        <v>4</v>
      </c>
      <c r="D4140" s="21">
        <f t="shared" si="307"/>
        <v>191</v>
      </c>
      <c r="F4140" s="57">
        <f t="shared" si="308"/>
        <v>1</v>
      </c>
    </row>
    <row r="4141" spans="1:6" x14ac:dyDescent="0.25">
      <c r="A4141" s="5" t="s">
        <v>22</v>
      </c>
      <c r="B4141" s="19">
        <v>44065</v>
      </c>
      <c r="C4141" s="4">
        <v>28</v>
      </c>
      <c r="D4141" s="21">
        <f t="shared" si="307"/>
        <v>1006</v>
      </c>
      <c r="F4141" s="57">
        <f t="shared" si="308"/>
        <v>1</v>
      </c>
    </row>
    <row r="4142" spans="1:6" x14ac:dyDescent="0.25">
      <c r="A4142" s="5" t="s">
        <v>18</v>
      </c>
      <c r="B4142" s="19">
        <v>44065</v>
      </c>
      <c r="C4142" s="4">
        <v>245</v>
      </c>
      <c r="D4142" s="21">
        <f t="shared" si="307"/>
        <v>4497</v>
      </c>
      <c r="E4142" s="4">
        <f>1+2</f>
        <v>3</v>
      </c>
      <c r="F4142" s="57">
        <f t="shared" si="308"/>
        <v>52</v>
      </c>
    </row>
    <row r="4143" spans="1:6" x14ac:dyDescent="0.25">
      <c r="A4143" s="5" t="s">
        <v>24</v>
      </c>
      <c r="B4143" s="19">
        <v>44065</v>
      </c>
      <c r="C4143" s="4">
        <v>1</v>
      </c>
      <c r="D4143" s="21">
        <f t="shared" si="307"/>
        <v>59</v>
      </c>
      <c r="F4143" s="57">
        <f t="shared" si="308"/>
        <v>2</v>
      </c>
    </row>
    <row r="4144" spans="1:6" x14ac:dyDescent="0.25">
      <c r="A4144" s="5" t="s">
        <v>20</v>
      </c>
      <c r="B4144" s="19">
        <v>44065</v>
      </c>
      <c r="C4144" s="4">
        <v>103</v>
      </c>
      <c r="D4144" s="21">
        <f t="shared" si="307"/>
        <v>2170</v>
      </c>
      <c r="F4144" s="57">
        <f t="shared" si="308"/>
        <v>11</v>
      </c>
    </row>
    <row r="4145" spans="1:6" x14ac:dyDescent="0.25">
      <c r="A4145" s="5" t="s">
        <v>19</v>
      </c>
      <c r="B4145" s="19">
        <v>44065</v>
      </c>
      <c r="C4145" s="4">
        <v>118</v>
      </c>
      <c r="D4145" s="21">
        <f t="shared" si="307"/>
        <v>4584</v>
      </c>
      <c r="E4145" s="4">
        <f>1+1</f>
        <v>2</v>
      </c>
      <c r="F4145" s="57">
        <f t="shared" si="308"/>
        <v>44</v>
      </c>
    </row>
    <row r="4146" spans="1:6" x14ac:dyDescent="0.25">
      <c r="A4146" s="5" t="s">
        <v>35</v>
      </c>
      <c r="B4146" s="19">
        <v>44065</v>
      </c>
      <c r="C4146" s="4">
        <v>150</v>
      </c>
      <c r="D4146" s="21">
        <f>C4146+D4122</f>
        <v>1740</v>
      </c>
      <c r="E4146" s="4">
        <f>2+1</f>
        <v>3</v>
      </c>
      <c r="F4146" s="57">
        <f>E4146+F4122</f>
        <v>28</v>
      </c>
    </row>
    <row r="4147" spans="1:6" x14ac:dyDescent="0.25">
      <c r="A4147" s="5" t="s">
        <v>36</v>
      </c>
      <c r="B4147" s="19">
        <v>44065</v>
      </c>
      <c r="C4147" s="4">
        <v>3</v>
      </c>
      <c r="D4147" s="21">
        <f t="shared" ref="D4147:D4153" si="309">C4147+D4123</f>
        <v>39</v>
      </c>
      <c r="F4147" s="57">
        <f>E4147+F4123</f>
        <v>0</v>
      </c>
    </row>
    <row r="4148" spans="1:6" x14ac:dyDescent="0.25">
      <c r="A4148" s="5" t="s">
        <v>37</v>
      </c>
      <c r="B4148" s="19">
        <v>44065</v>
      </c>
      <c r="C4148" s="4">
        <v>2</v>
      </c>
      <c r="D4148" s="21">
        <f t="shared" si="309"/>
        <v>41</v>
      </c>
      <c r="F4148" s="57">
        <f t="shared" si="308"/>
        <v>0</v>
      </c>
    </row>
    <row r="4149" spans="1:6" x14ac:dyDescent="0.25">
      <c r="A4149" s="5" t="s">
        <v>38</v>
      </c>
      <c r="B4149" s="19">
        <v>44065</v>
      </c>
      <c r="C4149" s="4">
        <v>47</v>
      </c>
      <c r="D4149" s="21">
        <f t="shared" si="309"/>
        <v>1293</v>
      </c>
      <c r="F4149" s="57">
        <f t="shared" ref="F4149:F4154" si="310">E4149+F4125</f>
        <v>9</v>
      </c>
    </row>
    <row r="4150" spans="1:6" x14ac:dyDescent="0.25">
      <c r="A4150" s="5" t="s">
        <v>23</v>
      </c>
      <c r="B4150" s="19">
        <v>44065</v>
      </c>
      <c r="C4150" s="4">
        <v>294</v>
      </c>
      <c r="D4150" s="21">
        <f t="shared" si="309"/>
        <v>4609</v>
      </c>
      <c r="E4150" s="4">
        <f>2+2</f>
        <v>4</v>
      </c>
      <c r="F4150" s="57">
        <f t="shared" si="310"/>
        <v>49</v>
      </c>
    </row>
    <row r="4151" spans="1:6" x14ac:dyDescent="0.25">
      <c r="A4151" s="5" t="s">
        <v>39</v>
      </c>
      <c r="B4151" s="19">
        <v>44065</v>
      </c>
      <c r="C4151" s="4">
        <v>34</v>
      </c>
      <c r="D4151" s="21">
        <f t="shared" si="309"/>
        <v>489</v>
      </c>
      <c r="F4151" s="57">
        <f t="shared" si="310"/>
        <v>2</v>
      </c>
    </row>
    <row r="4152" spans="1:6" x14ac:dyDescent="0.25">
      <c r="A4152" s="5" t="s">
        <v>40</v>
      </c>
      <c r="B4152" s="19">
        <v>44065</v>
      </c>
      <c r="C4152" s="4">
        <v>34</v>
      </c>
      <c r="D4152" s="21">
        <f t="shared" si="309"/>
        <v>1670</v>
      </c>
      <c r="F4152" s="57">
        <f t="shared" si="310"/>
        <v>19</v>
      </c>
    </row>
    <row r="4153" spans="1:6" x14ac:dyDescent="0.25">
      <c r="A4153" s="5" t="s">
        <v>41</v>
      </c>
      <c r="B4153" s="19">
        <v>44065</v>
      </c>
      <c r="C4153" s="4">
        <v>72</v>
      </c>
      <c r="D4153" s="21">
        <f t="shared" si="309"/>
        <v>976</v>
      </c>
      <c r="F4153" s="57">
        <f t="shared" si="310"/>
        <v>6</v>
      </c>
    </row>
    <row r="4154" spans="1:6" x14ac:dyDescent="0.25">
      <c r="A4154" s="42" t="s">
        <v>17</v>
      </c>
      <c r="B4154" s="19">
        <v>44066</v>
      </c>
      <c r="C4154" s="4">
        <v>2829</v>
      </c>
      <c r="D4154" s="21">
        <f>C4154+D4130</f>
        <v>212736</v>
      </c>
      <c r="E4154" s="4">
        <v>100</v>
      </c>
      <c r="F4154" s="57">
        <f t="shared" si="310"/>
        <v>4092</v>
      </c>
    </row>
    <row r="4155" spans="1:6" x14ac:dyDescent="0.25">
      <c r="A4155" s="5" t="s">
        <v>44</v>
      </c>
      <c r="B4155" s="19">
        <v>44066</v>
      </c>
      <c r="C4155" s="4">
        <v>1020</v>
      </c>
      <c r="D4155" s="21">
        <f t="shared" ref="D4155:D4167" si="311">C4155+D4131</f>
        <v>84925</v>
      </c>
      <c r="E4155" s="4">
        <f>5+3</f>
        <v>8</v>
      </c>
      <c r="F4155" s="57">
        <f t="shared" si="308"/>
        <v>1947</v>
      </c>
    </row>
    <row r="4156" spans="1:6" x14ac:dyDescent="0.25">
      <c r="A4156" s="5" t="s">
        <v>29</v>
      </c>
      <c r="B4156" s="19">
        <v>44066</v>
      </c>
      <c r="C4156" s="4">
        <v>-1</v>
      </c>
      <c r="D4156" s="21">
        <f t="shared" si="311"/>
        <v>63</v>
      </c>
      <c r="F4156" s="57">
        <f t="shared" si="308"/>
        <v>0</v>
      </c>
    </row>
    <row r="4157" spans="1:6" x14ac:dyDescent="0.25">
      <c r="A4157" s="5" t="s">
        <v>16</v>
      </c>
      <c r="B4157" s="19">
        <v>44066</v>
      </c>
      <c r="C4157" s="4">
        <v>27</v>
      </c>
      <c r="D4157" s="21">
        <f t="shared" si="311"/>
        <v>4861</v>
      </c>
      <c r="F4157" s="57">
        <f t="shared" si="308"/>
        <v>192</v>
      </c>
    </row>
    <row r="4158" spans="1:6" x14ac:dyDescent="0.25">
      <c r="A4158" s="5" t="s">
        <v>30</v>
      </c>
      <c r="B4158" s="19">
        <v>44066</v>
      </c>
      <c r="C4158" s="4">
        <v>24</v>
      </c>
      <c r="D4158" s="21">
        <f t="shared" si="311"/>
        <v>534</v>
      </c>
      <c r="F4158" s="57">
        <f t="shared" si="308"/>
        <v>7</v>
      </c>
    </row>
    <row r="4159" spans="1:6" x14ac:dyDescent="0.25">
      <c r="A4159" s="5" t="s">
        <v>21</v>
      </c>
      <c r="B4159" s="19">
        <v>44066</v>
      </c>
      <c r="C4159" s="4">
        <v>233</v>
      </c>
      <c r="D4159" s="21">
        <f t="shared" si="311"/>
        <v>5906</v>
      </c>
      <c r="E4159" s="4">
        <f>2</f>
        <v>2</v>
      </c>
      <c r="F4159" s="57">
        <f t="shared" si="308"/>
        <v>97</v>
      </c>
    </row>
    <row r="4160" spans="1:6" x14ac:dyDescent="0.25">
      <c r="A4160" s="5" t="s">
        <v>31</v>
      </c>
      <c r="B4160" s="19">
        <v>44066</v>
      </c>
      <c r="C4160" s="4">
        <v>5</v>
      </c>
      <c r="D4160" s="21">
        <f t="shared" si="311"/>
        <v>252</v>
      </c>
      <c r="E4160" s="4">
        <f>1</f>
        <v>1</v>
      </c>
      <c r="F4160" s="57">
        <f>E4160+F4136</f>
        <v>4</v>
      </c>
    </row>
    <row r="4161" spans="1:6" x14ac:dyDescent="0.25">
      <c r="A4161" s="5" t="s">
        <v>32</v>
      </c>
      <c r="B4161" s="19">
        <v>44066</v>
      </c>
      <c r="C4161" s="4">
        <v>126</v>
      </c>
      <c r="D4161" s="21">
        <f t="shared" si="311"/>
        <v>2258</v>
      </c>
      <c r="F4161" s="57">
        <f t="shared" si="308"/>
        <v>29</v>
      </c>
    </row>
    <row r="4162" spans="1:6" x14ac:dyDescent="0.25">
      <c r="A4162" s="5" t="s">
        <v>42</v>
      </c>
      <c r="B4162" s="19">
        <v>44066</v>
      </c>
      <c r="C4162" s="4">
        <v>2</v>
      </c>
      <c r="D4162" s="21">
        <f t="shared" si="311"/>
        <v>82</v>
      </c>
      <c r="F4162" s="57">
        <f>E4162+F4138</f>
        <v>1</v>
      </c>
    </row>
    <row r="4163" spans="1:6" x14ac:dyDescent="0.25">
      <c r="A4163" s="5" t="s">
        <v>33</v>
      </c>
      <c r="B4163" s="19">
        <v>44066</v>
      </c>
      <c r="C4163" s="4">
        <v>185</v>
      </c>
      <c r="D4163" s="21">
        <f t="shared" si="311"/>
        <v>6271</v>
      </c>
      <c r="F4163" s="57">
        <f t="shared" si="308"/>
        <v>141</v>
      </c>
    </row>
    <row r="4164" spans="1:6" x14ac:dyDescent="0.25">
      <c r="A4164" s="5" t="s">
        <v>34</v>
      </c>
      <c r="B4164" s="19">
        <v>44066</v>
      </c>
      <c r="C4164" s="4">
        <v>4</v>
      </c>
      <c r="D4164" s="21">
        <f t="shared" si="311"/>
        <v>195</v>
      </c>
      <c r="F4164" s="57">
        <f t="shared" si="308"/>
        <v>1</v>
      </c>
    </row>
    <row r="4165" spans="1:6" x14ac:dyDescent="0.25">
      <c r="A4165" s="5" t="s">
        <v>22</v>
      </c>
      <c r="B4165" s="19">
        <v>44066</v>
      </c>
      <c r="C4165" s="4">
        <v>34</v>
      </c>
      <c r="D4165" s="21">
        <f t="shared" si="311"/>
        <v>1040</v>
      </c>
      <c r="E4165" s="4">
        <f>9+1</f>
        <v>10</v>
      </c>
      <c r="F4165" s="57">
        <f t="shared" si="308"/>
        <v>11</v>
      </c>
    </row>
    <row r="4166" spans="1:6" x14ac:dyDescent="0.25">
      <c r="A4166" s="5" t="s">
        <v>18</v>
      </c>
      <c r="B4166" s="19">
        <v>44066</v>
      </c>
      <c r="C4166" s="4">
        <v>140</v>
      </c>
      <c r="D4166" s="21">
        <f t="shared" si="311"/>
        <v>4637</v>
      </c>
      <c r="E4166" s="4">
        <f>1+2</f>
        <v>3</v>
      </c>
      <c r="F4166" s="57">
        <f t="shared" si="308"/>
        <v>55</v>
      </c>
    </row>
    <row r="4167" spans="1:6" x14ac:dyDescent="0.25">
      <c r="A4167" s="5" t="s">
        <v>24</v>
      </c>
      <c r="B4167" s="19">
        <v>44066</v>
      </c>
      <c r="C4167" s="4">
        <v>-3</v>
      </c>
      <c r="D4167" s="21">
        <f t="shared" si="311"/>
        <v>56</v>
      </c>
      <c r="F4167" s="57">
        <f t="shared" si="308"/>
        <v>2</v>
      </c>
    </row>
    <row r="4168" spans="1:6" x14ac:dyDescent="0.25">
      <c r="A4168" s="5" t="s">
        <v>20</v>
      </c>
      <c r="B4168" s="19">
        <v>44066</v>
      </c>
      <c r="C4168" s="11">
        <v>108</v>
      </c>
      <c r="D4168" s="21">
        <f>C4168+D4144</f>
        <v>2278</v>
      </c>
      <c r="F4168" s="57">
        <f t="shared" si="308"/>
        <v>11</v>
      </c>
    </row>
    <row r="4169" spans="1:6" x14ac:dyDescent="0.25">
      <c r="A4169" s="5" t="s">
        <v>19</v>
      </c>
      <c r="B4169" s="19">
        <v>44066</v>
      </c>
      <c r="C4169" s="4">
        <v>119</v>
      </c>
      <c r="D4169" s="21">
        <f>C4169+D4145</f>
        <v>4703</v>
      </c>
      <c r="E4169" s="4">
        <f>4</f>
        <v>4</v>
      </c>
      <c r="F4169" s="57">
        <f t="shared" si="308"/>
        <v>48</v>
      </c>
    </row>
    <row r="4170" spans="1:6" x14ac:dyDescent="0.25">
      <c r="A4170" s="5" t="s">
        <v>35</v>
      </c>
      <c r="B4170" s="19">
        <v>44066</v>
      </c>
      <c r="C4170" s="4">
        <v>97</v>
      </c>
      <c r="D4170" s="21">
        <f>C4170+D4146</f>
        <v>1837</v>
      </c>
      <c r="E4170" s="4">
        <f>1</f>
        <v>1</v>
      </c>
      <c r="F4170" s="57">
        <f>E4170+F4146</f>
        <v>29</v>
      </c>
    </row>
    <row r="4171" spans="1:6" x14ac:dyDescent="0.25">
      <c r="A4171" s="5" t="s">
        <v>36</v>
      </c>
      <c r="B4171" s="19">
        <v>44066</v>
      </c>
      <c r="C4171" s="4">
        <v>19</v>
      </c>
      <c r="D4171" s="21">
        <f t="shared" ref="D4171:D4177" si="312">C4171+D4147</f>
        <v>58</v>
      </c>
      <c r="F4171" s="57">
        <f>E4171+F4147</f>
        <v>0</v>
      </c>
    </row>
    <row r="4172" spans="1:6" x14ac:dyDescent="0.25">
      <c r="A4172" s="5" t="s">
        <v>37</v>
      </c>
      <c r="B4172" s="19">
        <v>44066</v>
      </c>
      <c r="C4172" s="4">
        <v>2</v>
      </c>
      <c r="D4172" s="21">
        <f t="shared" si="312"/>
        <v>43</v>
      </c>
      <c r="F4172" s="57">
        <f>E4172+F4148</f>
        <v>0</v>
      </c>
    </row>
    <row r="4173" spans="1:6" x14ac:dyDescent="0.25">
      <c r="A4173" s="5" t="s">
        <v>38</v>
      </c>
      <c r="B4173" s="19">
        <v>44066</v>
      </c>
      <c r="C4173" s="4">
        <v>41</v>
      </c>
      <c r="D4173" s="21">
        <f t="shared" si="312"/>
        <v>1334</v>
      </c>
      <c r="F4173" s="57">
        <f t="shared" ref="F4173:F4178" si="313">E4173+F4149</f>
        <v>9</v>
      </c>
    </row>
    <row r="4174" spans="1:6" x14ac:dyDescent="0.25">
      <c r="A4174" s="5" t="s">
        <v>23</v>
      </c>
      <c r="B4174" s="19">
        <v>44066</v>
      </c>
      <c r="C4174" s="4">
        <v>208</v>
      </c>
      <c r="D4174" s="21">
        <f t="shared" si="312"/>
        <v>4817</v>
      </c>
      <c r="E4174" s="4">
        <f>2+1</f>
        <v>3</v>
      </c>
      <c r="F4174" s="57">
        <f t="shared" si="313"/>
        <v>52</v>
      </c>
    </row>
    <row r="4175" spans="1:6" x14ac:dyDescent="0.25">
      <c r="A4175" s="5" t="s">
        <v>39</v>
      </c>
      <c r="B4175" s="19">
        <v>44066</v>
      </c>
      <c r="C4175" s="4">
        <v>28</v>
      </c>
      <c r="D4175" s="21">
        <f t="shared" si="312"/>
        <v>517</v>
      </c>
      <c r="F4175" s="57">
        <f t="shared" si="313"/>
        <v>2</v>
      </c>
    </row>
    <row r="4176" spans="1:6" x14ac:dyDescent="0.25">
      <c r="A4176" s="5" t="s">
        <v>40</v>
      </c>
      <c r="B4176" s="19">
        <v>44066</v>
      </c>
      <c r="C4176" s="4">
        <v>28</v>
      </c>
      <c r="D4176" s="21">
        <f t="shared" si="312"/>
        <v>1698</v>
      </c>
      <c r="E4176" s="4">
        <f>1</f>
        <v>1</v>
      </c>
      <c r="F4176" s="57">
        <f t="shared" si="313"/>
        <v>20</v>
      </c>
    </row>
    <row r="4177" spans="1:6" x14ac:dyDescent="0.25">
      <c r="A4177" s="5" t="s">
        <v>41</v>
      </c>
      <c r="B4177" s="19">
        <v>44066</v>
      </c>
      <c r="C4177" s="4">
        <v>77</v>
      </c>
      <c r="D4177" s="21">
        <f t="shared" si="312"/>
        <v>1053</v>
      </c>
      <c r="F4177" s="57">
        <f t="shared" si="313"/>
        <v>6</v>
      </c>
    </row>
    <row r="4178" spans="1:6" x14ac:dyDescent="0.25">
      <c r="A4178" s="42" t="s">
        <v>17</v>
      </c>
      <c r="B4178" s="19">
        <v>44067</v>
      </c>
      <c r="C4178" s="4">
        <v>5656</v>
      </c>
      <c r="D4178" s="21">
        <f>C4178+D4154</f>
        <v>218392</v>
      </c>
      <c r="E4178" s="4">
        <v>270</v>
      </c>
      <c r="F4178" s="57">
        <f t="shared" si="313"/>
        <v>4362</v>
      </c>
    </row>
    <row r="4179" spans="1:6" x14ac:dyDescent="0.25">
      <c r="A4179" s="5" t="s">
        <v>44</v>
      </c>
      <c r="B4179" s="19">
        <v>44067</v>
      </c>
      <c r="C4179" s="4">
        <v>1333</v>
      </c>
      <c r="D4179" s="21">
        <f t="shared" ref="D4179:D4191" si="314">C4179+D4155</f>
        <v>86258</v>
      </c>
      <c r="E4179" s="4">
        <f>3+5+22+22</f>
        <v>52</v>
      </c>
      <c r="F4179" s="57">
        <f t="shared" ref="F4179:F4217" si="315">E4179+F4155</f>
        <v>1999</v>
      </c>
    </row>
    <row r="4180" spans="1:6" x14ac:dyDescent="0.25">
      <c r="A4180" s="5" t="s">
        <v>29</v>
      </c>
      <c r="B4180" s="19">
        <v>44067</v>
      </c>
      <c r="C4180" s="4">
        <v>1</v>
      </c>
      <c r="D4180" s="21">
        <f t="shared" si="314"/>
        <v>64</v>
      </c>
      <c r="F4180" s="57">
        <f t="shared" si="315"/>
        <v>0</v>
      </c>
    </row>
    <row r="4181" spans="1:6" x14ac:dyDescent="0.25">
      <c r="A4181" s="5" t="s">
        <v>16</v>
      </c>
      <c r="B4181" s="19">
        <v>44067</v>
      </c>
      <c r="C4181" s="4">
        <v>53</v>
      </c>
      <c r="D4181" s="21">
        <f t="shared" si="314"/>
        <v>4914</v>
      </c>
      <c r="E4181" s="4">
        <f>1+2+1</f>
        <v>4</v>
      </c>
      <c r="F4181" s="57">
        <f t="shared" si="315"/>
        <v>196</v>
      </c>
    </row>
    <row r="4182" spans="1:6" x14ac:dyDescent="0.25">
      <c r="A4182" s="5" t="s">
        <v>30</v>
      </c>
      <c r="B4182" s="19">
        <v>44067</v>
      </c>
      <c r="C4182" s="4">
        <v>12</v>
      </c>
      <c r="D4182" s="21">
        <f t="shared" si="314"/>
        <v>546</v>
      </c>
      <c r="F4182" s="57">
        <f t="shared" si="315"/>
        <v>7</v>
      </c>
    </row>
    <row r="4183" spans="1:6" x14ac:dyDescent="0.25">
      <c r="A4183" s="5" t="s">
        <v>21</v>
      </c>
      <c r="B4183" s="19">
        <v>44067</v>
      </c>
      <c r="C4183" s="4">
        <v>208</v>
      </c>
      <c r="D4183" s="21">
        <f t="shared" si="314"/>
        <v>6114</v>
      </c>
      <c r="E4183" s="4">
        <f>3+1</f>
        <v>4</v>
      </c>
      <c r="F4183" s="57">
        <f t="shared" si="315"/>
        <v>101</v>
      </c>
    </row>
    <row r="4184" spans="1:6" x14ac:dyDescent="0.25">
      <c r="A4184" s="5" t="s">
        <v>31</v>
      </c>
      <c r="B4184" s="19">
        <v>44067</v>
      </c>
      <c r="C4184" s="4">
        <v>7</v>
      </c>
      <c r="D4184" s="21">
        <f t="shared" si="314"/>
        <v>259</v>
      </c>
      <c r="E4184" s="4">
        <f>1</f>
        <v>1</v>
      </c>
      <c r="F4184" s="57">
        <f t="shared" si="315"/>
        <v>5</v>
      </c>
    </row>
    <row r="4185" spans="1:6" x14ac:dyDescent="0.25">
      <c r="A4185" s="5" t="s">
        <v>32</v>
      </c>
      <c r="B4185" s="19">
        <v>44067</v>
      </c>
      <c r="C4185" s="4">
        <v>124</v>
      </c>
      <c r="D4185" s="21">
        <f t="shared" si="314"/>
        <v>2382</v>
      </c>
      <c r="F4185" s="57">
        <f t="shared" si="315"/>
        <v>29</v>
      </c>
    </row>
    <row r="4186" spans="1:6" x14ac:dyDescent="0.25">
      <c r="A4186" s="5" t="s">
        <v>42</v>
      </c>
      <c r="B4186" s="19">
        <v>44067</v>
      </c>
      <c r="C4186" s="4">
        <v>2</v>
      </c>
      <c r="D4186" s="21">
        <f t="shared" si="314"/>
        <v>84</v>
      </c>
      <c r="F4186" s="57">
        <f>E4186+F4162</f>
        <v>1</v>
      </c>
    </row>
    <row r="4187" spans="1:6" x14ac:dyDescent="0.25">
      <c r="A4187" s="5" t="s">
        <v>33</v>
      </c>
      <c r="B4187" s="19">
        <v>44067</v>
      </c>
      <c r="C4187" s="4">
        <v>352</v>
      </c>
      <c r="D4187" s="21">
        <f t="shared" si="314"/>
        <v>6623</v>
      </c>
      <c r="E4187" s="4">
        <f>1+2+4+5</f>
        <v>12</v>
      </c>
      <c r="F4187" s="57">
        <f t="shared" si="315"/>
        <v>153</v>
      </c>
    </row>
    <row r="4188" spans="1:6" x14ac:dyDescent="0.25">
      <c r="A4188" s="5" t="s">
        <v>34</v>
      </c>
      <c r="B4188" s="19">
        <v>44067</v>
      </c>
      <c r="C4188" s="4">
        <v>-2</v>
      </c>
      <c r="D4188" s="21">
        <f t="shared" si="314"/>
        <v>193</v>
      </c>
      <c r="F4188" s="57">
        <f t="shared" si="315"/>
        <v>1</v>
      </c>
    </row>
    <row r="4189" spans="1:6" x14ac:dyDescent="0.25">
      <c r="A4189" s="5" t="s">
        <v>22</v>
      </c>
      <c r="B4189" s="19">
        <v>44067</v>
      </c>
      <c r="C4189" s="4">
        <v>98</v>
      </c>
      <c r="D4189" s="21">
        <f t="shared" si="314"/>
        <v>1138</v>
      </c>
      <c r="E4189" s="4">
        <f>6+4</f>
        <v>10</v>
      </c>
      <c r="F4189" s="57">
        <f t="shared" si="315"/>
        <v>21</v>
      </c>
    </row>
    <row r="4190" spans="1:6" x14ac:dyDescent="0.25">
      <c r="A4190" s="5" t="s">
        <v>18</v>
      </c>
      <c r="B4190" s="19">
        <v>44067</v>
      </c>
      <c r="C4190" s="4">
        <v>172</v>
      </c>
      <c r="D4190" s="21">
        <f t="shared" si="314"/>
        <v>4809</v>
      </c>
      <c r="E4190" s="4">
        <f>1+1+1</f>
        <v>3</v>
      </c>
      <c r="F4190" s="57">
        <f t="shared" si="315"/>
        <v>58</v>
      </c>
    </row>
    <row r="4191" spans="1:6" x14ac:dyDescent="0.25">
      <c r="A4191" s="5" t="s">
        <v>24</v>
      </c>
      <c r="B4191" s="19">
        <v>44067</v>
      </c>
      <c r="C4191" s="4">
        <v>2</v>
      </c>
      <c r="D4191" s="21">
        <f t="shared" si="314"/>
        <v>58</v>
      </c>
      <c r="F4191" s="57">
        <f t="shared" si="315"/>
        <v>2</v>
      </c>
    </row>
    <row r="4192" spans="1:6" x14ac:dyDescent="0.25">
      <c r="A4192" s="5" t="s">
        <v>20</v>
      </c>
      <c r="B4192" s="19">
        <v>44067</v>
      </c>
      <c r="C4192" s="4">
        <v>15</v>
      </c>
      <c r="D4192" s="21">
        <f>C4192+D4168</f>
        <v>2293</v>
      </c>
      <c r="E4192" s="4">
        <f>2</f>
        <v>2</v>
      </c>
      <c r="F4192" s="57">
        <f t="shared" si="315"/>
        <v>13</v>
      </c>
    </row>
    <row r="4193" spans="1:6" x14ac:dyDescent="0.25">
      <c r="A4193" s="5" t="s">
        <v>19</v>
      </c>
      <c r="B4193" s="19">
        <v>44067</v>
      </c>
      <c r="C4193" s="4">
        <v>61</v>
      </c>
      <c r="D4193" s="21">
        <f>C4193+D4169</f>
        <v>4764</v>
      </c>
      <c r="E4193" s="4">
        <f>3+1</f>
        <v>4</v>
      </c>
      <c r="F4193" s="57">
        <f t="shared" si="315"/>
        <v>52</v>
      </c>
    </row>
    <row r="4194" spans="1:6" x14ac:dyDescent="0.25">
      <c r="A4194" s="5" t="s">
        <v>35</v>
      </c>
      <c r="B4194" s="19">
        <v>44067</v>
      </c>
      <c r="C4194" s="4">
        <v>95</v>
      </c>
      <c r="D4194" s="21">
        <f>C4194+D4170</f>
        <v>1932</v>
      </c>
      <c r="E4194" s="4">
        <f>1</f>
        <v>1</v>
      </c>
      <c r="F4194" s="57">
        <f>E4194+F4170</f>
        <v>30</v>
      </c>
    </row>
    <row r="4195" spans="1:6" x14ac:dyDescent="0.25">
      <c r="A4195" s="5" t="s">
        <v>36</v>
      </c>
      <c r="B4195" s="19">
        <v>44067</v>
      </c>
      <c r="C4195" s="4">
        <v>38</v>
      </c>
      <c r="D4195" s="21">
        <f t="shared" ref="D4195:D4201" si="316">C4195+D4171</f>
        <v>96</v>
      </c>
      <c r="F4195" s="57">
        <f>E4195+F4171</f>
        <v>0</v>
      </c>
    </row>
    <row r="4196" spans="1:6" x14ac:dyDescent="0.25">
      <c r="A4196" s="5" t="s">
        <v>37</v>
      </c>
      <c r="B4196" s="19">
        <v>44067</v>
      </c>
      <c r="C4196" s="4">
        <v>-2</v>
      </c>
      <c r="D4196" s="21">
        <f t="shared" si="316"/>
        <v>41</v>
      </c>
      <c r="F4196" s="57">
        <f t="shared" si="315"/>
        <v>0</v>
      </c>
    </row>
    <row r="4197" spans="1:6" x14ac:dyDescent="0.25">
      <c r="A4197" s="5" t="s">
        <v>38</v>
      </c>
      <c r="B4197" s="19">
        <v>44067</v>
      </c>
      <c r="C4197" s="4">
        <v>44</v>
      </c>
      <c r="D4197" s="21">
        <f t="shared" si="316"/>
        <v>1378</v>
      </c>
      <c r="E4197" s="4">
        <f>2</f>
        <v>2</v>
      </c>
      <c r="F4197" s="57">
        <f t="shared" ref="F4197:F4203" si="317">E4197+F4173</f>
        <v>11</v>
      </c>
    </row>
    <row r="4198" spans="1:6" x14ac:dyDescent="0.25">
      <c r="A4198" s="5" t="s">
        <v>23</v>
      </c>
      <c r="B4198" s="19">
        <v>44067</v>
      </c>
      <c r="C4198" s="4">
        <v>209</v>
      </c>
      <c r="D4198" s="21">
        <f t="shared" si="316"/>
        <v>5026</v>
      </c>
      <c r="E4198" s="4">
        <f>5+2</f>
        <v>7</v>
      </c>
      <c r="F4198" s="57">
        <f t="shared" si="317"/>
        <v>59</v>
      </c>
    </row>
    <row r="4199" spans="1:6" x14ac:dyDescent="0.25">
      <c r="A4199" s="5" t="s">
        <v>39</v>
      </c>
      <c r="B4199" s="19">
        <v>44067</v>
      </c>
      <c r="C4199" s="4">
        <v>66</v>
      </c>
      <c r="D4199" s="21">
        <f t="shared" si="316"/>
        <v>583</v>
      </c>
      <c r="E4199" s="4">
        <f>2</f>
        <v>2</v>
      </c>
      <c r="F4199" s="57">
        <f t="shared" si="317"/>
        <v>4</v>
      </c>
    </row>
    <row r="4200" spans="1:6" x14ac:dyDescent="0.25">
      <c r="A4200" s="5" t="s">
        <v>40</v>
      </c>
      <c r="B4200" s="19">
        <v>44067</v>
      </c>
      <c r="C4200" s="4">
        <v>54</v>
      </c>
      <c r="D4200" s="21">
        <f t="shared" si="316"/>
        <v>1752</v>
      </c>
      <c r="E4200" s="4">
        <f>1</f>
        <v>1</v>
      </c>
      <c r="F4200" s="57">
        <f t="shared" si="317"/>
        <v>21</v>
      </c>
    </row>
    <row r="4201" spans="1:6" x14ac:dyDescent="0.25">
      <c r="A4201" s="5" t="s">
        <v>41</v>
      </c>
      <c r="B4201" s="19">
        <v>44067</v>
      </c>
      <c r="C4201" s="4">
        <v>115</v>
      </c>
      <c r="D4201" s="21">
        <f t="shared" si="316"/>
        <v>1168</v>
      </c>
      <c r="F4201" s="57">
        <f t="shared" si="317"/>
        <v>6</v>
      </c>
    </row>
    <row r="4202" spans="1:6" x14ac:dyDescent="0.25">
      <c r="A4202" s="42" t="s">
        <v>17</v>
      </c>
      <c r="B4202" s="19">
        <v>44068</v>
      </c>
      <c r="C4202" s="4">
        <v>5312</v>
      </c>
      <c r="D4202" s="21">
        <f>C4202+D4178</f>
        <v>223704</v>
      </c>
      <c r="E4202" s="4">
        <f>14+11+55+41</f>
        <v>121</v>
      </c>
      <c r="F4202" s="57">
        <f t="shared" si="317"/>
        <v>4483</v>
      </c>
    </row>
    <row r="4203" spans="1:6" x14ac:dyDescent="0.25">
      <c r="A4203" s="5" t="s">
        <v>44</v>
      </c>
      <c r="B4203" s="19">
        <v>44068</v>
      </c>
      <c r="C4203" s="4">
        <v>1311</v>
      </c>
      <c r="D4203" s="21">
        <f t="shared" ref="D4203:D4215" si="318">C4203+D4179</f>
        <v>87569</v>
      </c>
      <c r="E4203" s="4">
        <f>3+14+16</f>
        <v>33</v>
      </c>
      <c r="F4203" s="57">
        <f t="shared" si="317"/>
        <v>2032</v>
      </c>
    </row>
    <row r="4204" spans="1:6" x14ac:dyDescent="0.25">
      <c r="A4204" s="5" t="s">
        <v>29</v>
      </c>
      <c r="B4204" s="19">
        <v>44068</v>
      </c>
      <c r="C4204" s="4">
        <v>0</v>
      </c>
      <c r="D4204" s="21">
        <f t="shared" si="318"/>
        <v>64</v>
      </c>
      <c r="F4204" s="57">
        <f t="shared" si="315"/>
        <v>0</v>
      </c>
    </row>
    <row r="4205" spans="1:6" x14ac:dyDescent="0.25">
      <c r="A4205" s="5" t="s">
        <v>16</v>
      </c>
      <c r="B4205" s="19">
        <v>44068</v>
      </c>
      <c r="C4205" s="4">
        <v>53</v>
      </c>
      <c r="D4205" s="21">
        <f t="shared" si="318"/>
        <v>4967</v>
      </c>
      <c r="E4205" s="4">
        <v>2</v>
      </c>
      <c r="F4205" s="57">
        <f t="shared" si="315"/>
        <v>198</v>
      </c>
    </row>
    <row r="4206" spans="1:6" x14ac:dyDescent="0.25">
      <c r="A4206" s="5" t="s">
        <v>30</v>
      </c>
      <c r="B4206" s="19">
        <v>44068</v>
      </c>
      <c r="C4206" s="4">
        <v>35</v>
      </c>
      <c r="D4206" s="21">
        <f t="shared" si="318"/>
        <v>581</v>
      </c>
      <c r="F4206" s="57">
        <f t="shared" si="315"/>
        <v>7</v>
      </c>
    </row>
    <row r="4207" spans="1:6" x14ac:dyDescent="0.25">
      <c r="A4207" s="5" t="s">
        <v>21</v>
      </c>
      <c r="B4207" s="19">
        <v>44068</v>
      </c>
      <c r="C4207" s="4">
        <v>298</v>
      </c>
      <c r="D4207" s="21">
        <f t="shared" si="318"/>
        <v>6412</v>
      </c>
      <c r="E4207" s="4">
        <v>3</v>
      </c>
      <c r="F4207" s="57">
        <f t="shared" si="315"/>
        <v>104</v>
      </c>
    </row>
    <row r="4208" spans="1:6" x14ac:dyDescent="0.25">
      <c r="A4208" s="5" t="s">
        <v>31</v>
      </c>
      <c r="B4208" s="19">
        <v>44068</v>
      </c>
      <c r="C4208" s="4">
        <v>1</v>
      </c>
      <c r="D4208" s="21">
        <f t="shared" si="318"/>
        <v>260</v>
      </c>
      <c r="F4208" s="57">
        <f t="shared" si="315"/>
        <v>5</v>
      </c>
    </row>
    <row r="4209" spans="1:6" x14ac:dyDescent="0.25">
      <c r="A4209" s="5" t="s">
        <v>32</v>
      </c>
      <c r="B4209" s="19">
        <v>44068</v>
      </c>
      <c r="C4209" s="4">
        <v>127</v>
      </c>
      <c r="D4209" s="21">
        <f t="shared" si="318"/>
        <v>2509</v>
      </c>
      <c r="E4209" s="4">
        <v>3</v>
      </c>
      <c r="F4209" s="57">
        <f t="shared" si="315"/>
        <v>32</v>
      </c>
    </row>
    <row r="4210" spans="1:6" x14ac:dyDescent="0.25">
      <c r="A4210" s="5" t="s">
        <v>42</v>
      </c>
      <c r="B4210" s="19">
        <v>44068</v>
      </c>
      <c r="C4210" s="4">
        <v>-1</v>
      </c>
      <c r="D4210" s="21">
        <f t="shared" si="318"/>
        <v>83</v>
      </c>
      <c r="F4210" s="57">
        <f>E4210+F4186</f>
        <v>1</v>
      </c>
    </row>
    <row r="4211" spans="1:6" x14ac:dyDescent="0.25">
      <c r="A4211" s="5" t="s">
        <v>33</v>
      </c>
      <c r="B4211" s="19">
        <v>44068</v>
      </c>
      <c r="C4211" s="4">
        <v>215</v>
      </c>
      <c r="D4211" s="21">
        <f t="shared" si="318"/>
        <v>6838</v>
      </c>
      <c r="E4211" s="4">
        <v>10</v>
      </c>
      <c r="F4211" s="57">
        <f t="shared" si="315"/>
        <v>163</v>
      </c>
    </row>
    <row r="4212" spans="1:6" x14ac:dyDescent="0.25">
      <c r="A4212" s="5" t="s">
        <v>34</v>
      </c>
      <c r="B4212" s="19">
        <v>44068</v>
      </c>
      <c r="C4212" s="4">
        <v>1</v>
      </c>
      <c r="D4212" s="21">
        <f t="shared" si="318"/>
        <v>194</v>
      </c>
      <c r="E4212" s="4">
        <v>1</v>
      </c>
      <c r="F4212" s="57">
        <f t="shared" si="315"/>
        <v>2</v>
      </c>
    </row>
    <row r="4213" spans="1:6" x14ac:dyDescent="0.25">
      <c r="A4213" s="5" t="s">
        <v>22</v>
      </c>
      <c r="B4213" s="19">
        <v>44068</v>
      </c>
      <c r="C4213" s="4">
        <v>39</v>
      </c>
      <c r="D4213" s="21">
        <f t="shared" si="318"/>
        <v>1177</v>
      </c>
      <c r="E4213" s="4">
        <v>6</v>
      </c>
      <c r="F4213" s="57">
        <f t="shared" si="315"/>
        <v>27</v>
      </c>
    </row>
    <row r="4214" spans="1:6" x14ac:dyDescent="0.25">
      <c r="A4214" s="5" t="s">
        <v>18</v>
      </c>
      <c r="B4214" s="19">
        <v>44068</v>
      </c>
      <c r="C4214" s="4">
        <v>264</v>
      </c>
      <c r="D4214" s="21">
        <f t="shared" si="318"/>
        <v>5073</v>
      </c>
      <c r="E4214" s="4">
        <f>3+1</f>
        <v>4</v>
      </c>
      <c r="F4214" s="57">
        <f t="shared" si="315"/>
        <v>62</v>
      </c>
    </row>
    <row r="4215" spans="1:6" x14ac:dyDescent="0.25">
      <c r="A4215" s="5" t="s">
        <v>24</v>
      </c>
      <c r="B4215" s="19">
        <v>44068</v>
      </c>
      <c r="C4215" s="4">
        <v>1</v>
      </c>
      <c r="D4215" s="21">
        <f t="shared" si="318"/>
        <v>59</v>
      </c>
      <c r="F4215" s="57">
        <f t="shared" si="315"/>
        <v>2</v>
      </c>
    </row>
    <row r="4216" spans="1:6" x14ac:dyDescent="0.25">
      <c r="A4216" s="5" t="s">
        <v>20</v>
      </c>
      <c r="B4216" s="19">
        <v>44068</v>
      </c>
      <c r="C4216" s="4">
        <v>122</v>
      </c>
      <c r="D4216" s="21">
        <f>C4216+D4192</f>
        <v>2415</v>
      </c>
      <c r="E4216" s="4">
        <f>1</f>
        <v>1</v>
      </c>
      <c r="F4216" s="57">
        <f t="shared" si="315"/>
        <v>14</v>
      </c>
    </row>
    <row r="4217" spans="1:6" x14ac:dyDescent="0.25">
      <c r="A4217" s="5" t="s">
        <v>19</v>
      </c>
      <c r="B4217" s="19">
        <v>44068</v>
      </c>
      <c r="C4217" s="4">
        <v>174</v>
      </c>
      <c r="D4217" s="21">
        <f>C4217+D4193</f>
        <v>4938</v>
      </c>
      <c r="E4217" s="4">
        <f>1+2+1</f>
        <v>4</v>
      </c>
      <c r="F4217" s="57">
        <f t="shared" si="315"/>
        <v>56</v>
      </c>
    </row>
    <row r="4218" spans="1:6" x14ac:dyDescent="0.25">
      <c r="A4218" s="5" t="s">
        <v>35</v>
      </c>
      <c r="B4218" s="19">
        <v>44068</v>
      </c>
      <c r="C4218" s="4">
        <v>177</v>
      </c>
      <c r="D4218" s="21">
        <f>C4218+D4194</f>
        <v>2109</v>
      </c>
      <c r="E4218" s="4">
        <f>2</f>
        <v>2</v>
      </c>
      <c r="F4218" s="57">
        <f>E4218+F4194</f>
        <v>32</v>
      </c>
    </row>
    <row r="4219" spans="1:6" x14ac:dyDescent="0.25">
      <c r="A4219" s="5" t="s">
        <v>36</v>
      </c>
      <c r="B4219" s="19">
        <v>44068</v>
      </c>
      <c r="C4219" s="4">
        <v>14</v>
      </c>
      <c r="D4219" s="21">
        <f t="shared" ref="D4219:D4225" si="319">C4219+D4195</f>
        <v>110</v>
      </c>
      <c r="F4219" s="57">
        <f>E4219+F4195</f>
        <v>0</v>
      </c>
    </row>
    <row r="4220" spans="1:6" x14ac:dyDescent="0.25">
      <c r="A4220" s="5" t="s">
        <v>37</v>
      </c>
      <c r="B4220" s="19">
        <v>44068</v>
      </c>
      <c r="C4220" s="4">
        <v>-1</v>
      </c>
      <c r="D4220" s="21">
        <f t="shared" si="319"/>
        <v>40</v>
      </c>
      <c r="F4220" s="57">
        <f>E4220+F4196</f>
        <v>0</v>
      </c>
    </row>
    <row r="4221" spans="1:6" x14ac:dyDescent="0.25">
      <c r="A4221" s="5" t="s">
        <v>38</v>
      </c>
      <c r="B4221" s="19">
        <v>44068</v>
      </c>
      <c r="C4221" s="4">
        <v>38</v>
      </c>
      <c r="D4221" s="21">
        <f t="shared" si="319"/>
        <v>1416</v>
      </c>
      <c r="F4221" s="57">
        <f t="shared" ref="F4221:F4226" si="320">E4221+F4197</f>
        <v>11</v>
      </c>
    </row>
    <row r="4222" spans="1:6" x14ac:dyDescent="0.25">
      <c r="A4222" s="5" t="s">
        <v>23</v>
      </c>
      <c r="B4222" s="19">
        <v>44068</v>
      </c>
      <c r="C4222" s="4">
        <v>356</v>
      </c>
      <c r="D4222" s="21">
        <f t="shared" si="319"/>
        <v>5382</v>
      </c>
      <c r="E4222" s="4">
        <f>2+3</f>
        <v>5</v>
      </c>
      <c r="F4222" s="57">
        <f t="shared" si="320"/>
        <v>64</v>
      </c>
    </row>
    <row r="4223" spans="1:6" x14ac:dyDescent="0.25">
      <c r="A4223" s="5" t="s">
        <v>39</v>
      </c>
      <c r="B4223" s="19">
        <v>44068</v>
      </c>
      <c r="C4223" s="4">
        <v>71</v>
      </c>
      <c r="D4223" s="21">
        <f t="shared" si="319"/>
        <v>654</v>
      </c>
      <c r="E4223" s="4">
        <f>1+1</f>
        <v>2</v>
      </c>
      <c r="F4223" s="57">
        <f t="shared" si="320"/>
        <v>6</v>
      </c>
    </row>
    <row r="4224" spans="1:6" x14ac:dyDescent="0.25">
      <c r="A4224" s="5" t="s">
        <v>40</v>
      </c>
      <c r="B4224" s="19">
        <v>44068</v>
      </c>
      <c r="C4224" s="4">
        <v>51</v>
      </c>
      <c r="D4224" s="21">
        <f t="shared" si="319"/>
        <v>1803</v>
      </c>
      <c r="E4224" s="4">
        <f>1</f>
        <v>1</v>
      </c>
      <c r="F4224" s="57">
        <f t="shared" si="320"/>
        <v>22</v>
      </c>
    </row>
    <row r="4225" spans="1:6" x14ac:dyDescent="0.25">
      <c r="A4225" s="5" t="s">
        <v>41</v>
      </c>
      <c r="B4225" s="19">
        <v>44068</v>
      </c>
      <c r="C4225" s="4">
        <v>113</v>
      </c>
      <c r="D4225" s="21">
        <f t="shared" si="319"/>
        <v>1281</v>
      </c>
      <c r="E4225" s="4">
        <f>1</f>
        <v>1</v>
      </c>
      <c r="F4225" s="57">
        <f t="shared" si="320"/>
        <v>7</v>
      </c>
    </row>
    <row r="4226" spans="1:6" x14ac:dyDescent="0.25">
      <c r="A4226" s="42" t="s">
        <v>17</v>
      </c>
      <c r="B4226" s="19">
        <v>44069</v>
      </c>
      <c r="C4226" s="4">
        <v>6628</v>
      </c>
      <c r="D4226" s="21">
        <f>C4226+D4202</f>
        <v>230332</v>
      </c>
      <c r="E4226" s="4">
        <f>41+27+77+42</f>
        <v>187</v>
      </c>
      <c r="F4226" s="57">
        <f t="shared" si="320"/>
        <v>4670</v>
      </c>
    </row>
    <row r="4227" spans="1:6" x14ac:dyDescent="0.25">
      <c r="A4227" s="5" t="s">
        <v>44</v>
      </c>
      <c r="B4227" s="19">
        <v>44069</v>
      </c>
      <c r="C4227" s="4">
        <v>1568</v>
      </c>
      <c r="D4227" s="21">
        <f t="shared" ref="D4227:D4239" si="321">C4227+D4203</f>
        <v>89137</v>
      </c>
      <c r="E4227" s="4">
        <f>1+6+15+18</f>
        <v>40</v>
      </c>
      <c r="F4227" s="57">
        <f t="shared" ref="F4227:F4265" si="322">E4227+F4203</f>
        <v>2072</v>
      </c>
    </row>
    <row r="4228" spans="1:6" x14ac:dyDescent="0.25">
      <c r="A4228" s="5" t="s">
        <v>29</v>
      </c>
      <c r="B4228" s="19">
        <v>44069</v>
      </c>
      <c r="C4228" s="4">
        <v>-1</v>
      </c>
      <c r="D4228" s="21">
        <f t="shared" si="321"/>
        <v>63</v>
      </c>
      <c r="F4228" s="57">
        <f t="shared" si="322"/>
        <v>0</v>
      </c>
    </row>
    <row r="4229" spans="1:6" x14ac:dyDescent="0.25">
      <c r="A4229" s="5" t="s">
        <v>16</v>
      </c>
      <c r="B4229" s="19">
        <v>44069</v>
      </c>
      <c r="C4229" s="4">
        <v>74</v>
      </c>
      <c r="D4229" s="21">
        <f t="shared" si="321"/>
        <v>5041</v>
      </c>
      <c r="E4229" s="4">
        <f>1+2+1</f>
        <v>4</v>
      </c>
      <c r="F4229" s="57">
        <f t="shared" si="322"/>
        <v>202</v>
      </c>
    </row>
    <row r="4230" spans="1:6" x14ac:dyDescent="0.25">
      <c r="A4230" s="5" t="s">
        <v>30</v>
      </c>
      <c r="B4230" s="19">
        <v>44069</v>
      </c>
      <c r="C4230" s="4">
        <v>69</v>
      </c>
      <c r="D4230" s="21">
        <f t="shared" si="321"/>
        <v>650</v>
      </c>
      <c r="F4230" s="57">
        <f t="shared" si="322"/>
        <v>7</v>
      </c>
    </row>
    <row r="4231" spans="1:6" x14ac:dyDescent="0.25">
      <c r="A4231" s="5" t="s">
        <v>21</v>
      </c>
      <c r="B4231" s="19">
        <v>44069</v>
      </c>
      <c r="C4231" s="4">
        <v>355</v>
      </c>
      <c r="D4231" s="21">
        <f t="shared" si="321"/>
        <v>6767</v>
      </c>
      <c r="E4231" s="4">
        <f>4</f>
        <v>4</v>
      </c>
      <c r="F4231" s="57">
        <f t="shared" si="322"/>
        <v>108</v>
      </c>
    </row>
    <row r="4232" spans="1:6" x14ac:dyDescent="0.25">
      <c r="A4232" s="5" t="s">
        <v>31</v>
      </c>
      <c r="B4232" s="19">
        <v>44069</v>
      </c>
      <c r="C4232" s="4">
        <v>12</v>
      </c>
      <c r="D4232" s="21">
        <f t="shared" si="321"/>
        <v>272</v>
      </c>
      <c r="F4232" s="57">
        <f t="shared" si="322"/>
        <v>5</v>
      </c>
    </row>
    <row r="4233" spans="1:6" x14ac:dyDescent="0.25">
      <c r="A4233" s="5" t="s">
        <v>32</v>
      </c>
      <c r="B4233" s="19">
        <v>44069</v>
      </c>
      <c r="C4233" s="4">
        <v>112</v>
      </c>
      <c r="D4233" s="21">
        <f t="shared" si="321"/>
        <v>2621</v>
      </c>
      <c r="E4233" s="4">
        <f>1</f>
        <v>1</v>
      </c>
      <c r="F4233" s="57">
        <f t="shared" si="322"/>
        <v>33</v>
      </c>
    </row>
    <row r="4234" spans="1:6" x14ac:dyDescent="0.25">
      <c r="A4234" s="5" t="s">
        <v>42</v>
      </c>
      <c r="B4234" s="19">
        <v>44069</v>
      </c>
      <c r="C4234" s="4">
        <v>-1</v>
      </c>
      <c r="D4234" s="21">
        <f t="shared" si="321"/>
        <v>82</v>
      </c>
      <c r="F4234" s="57">
        <f>E4234+F4210</f>
        <v>1</v>
      </c>
    </row>
    <row r="4235" spans="1:6" x14ac:dyDescent="0.25">
      <c r="A4235" s="5" t="s">
        <v>33</v>
      </c>
      <c r="B4235" s="19">
        <v>44069</v>
      </c>
      <c r="C4235" s="4">
        <v>236</v>
      </c>
      <c r="D4235" s="21">
        <f t="shared" si="321"/>
        <v>7074</v>
      </c>
      <c r="E4235" s="4">
        <f>9+4</f>
        <v>13</v>
      </c>
      <c r="F4235" s="57">
        <f t="shared" si="322"/>
        <v>176</v>
      </c>
    </row>
    <row r="4236" spans="1:6" x14ac:dyDescent="0.25">
      <c r="A4236" s="5" t="s">
        <v>34</v>
      </c>
      <c r="B4236" s="19">
        <v>44069</v>
      </c>
      <c r="C4236" s="4">
        <v>1</v>
      </c>
      <c r="D4236" s="21">
        <f t="shared" si="321"/>
        <v>195</v>
      </c>
      <c r="F4236" s="57">
        <f t="shared" si="322"/>
        <v>2</v>
      </c>
    </row>
    <row r="4237" spans="1:6" x14ac:dyDescent="0.25">
      <c r="A4237" s="5" t="s">
        <v>22</v>
      </c>
      <c r="B4237" s="19">
        <v>44069</v>
      </c>
      <c r="C4237" s="4">
        <v>37</v>
      </c>
      <c r="D4237" s="21">
        <f t="shared" si="321"/>
        <v>1214</v>
      </c>
      <c r="E4237" s="4">
        <f>1</f>
        <v>1</v>
      </c>
      <c r="F4237" s="57">
        <f t="shared" si="322"/>
        <v>28</v>
      </c>
    </row>
    <row r="4238" spans="1:6" x14ac:dyDescent="0.25">
      <c r="A4238" s="5" t="s">
        <v>18</v>
      </c>
      <c r="B4238" s="19">
        <v>44069</v>
      </c>
      <c r="C4238" s="4">
        <v>276</v>
      </c>
      <c r="D4238" s="21">
        <f t="shared" si="321"/>
        <v>5349</v>
      </c>
      <c r="E4238" s="4">
        <f>3+1</f>
        <v>4</v>
      </c>
      <c r="F4238" s="57">
        <f t="shared" si="322"/>
        <v>66</v>
      </c>
    </row>
    <row r="4239" spans="1:6" x14ac:dyDescent="0.25">
      <c r="A4239" s="5" t="s">
        <v>24</v>
      </c>
      <c r="B4239" s="19">
        <v>44069</v>
      </c>
      <c r="C4239" s="4">
        <v>0</v>
      </c>
      <c r="D4239" s="21">
        <f t="shared" si="321"/>
        <v>59</v>
      </c>
      <c r="F4239" s="57">
        <f t="shared" si="322"/>
        <v>2</v>
      </c>
    </row>
    <row r="4240" spans="1:6" x14ac:dyDescent="0.25">
      <c r="A4240" s="5" t="s">
        <v>20</v>
      </c>
      <c r="B4240" s="19">
        <v>44069</v>
      </c>
      <c r="C4240" s="4">
        <v>132</v>
      </c>
      <c r="D4240" s="21">
        <f>C4240+D4216</f>
        <v>2547</v>
      </c>
      <c r="F4240" s="57">
        <f t="shared" si="322"/>
        <v>14</v>
      </c>
    </row>
    <row r="4241" spans="1:6" x14ac:dyDescent="0.25">
      <c r="A4241" s="5" t="s">
        <v>19</v>
      </c>
      <c r="B4241" s="19">
        <v>44069</v>
      </c>
      <c r="C4241" s="4">
        <v>235</v>
      </c>
      <c r="D4241" s="21">
        <f>C4241+D4217</f>
        <v>5173</v>
      </c>
      <c r="E4241" s="4">
        <f>3+1+2+5</f>
        <v>11</v>
      </c>
      <c r="F4241" s="57">
        <f t="shared" si="322"/>
        <v>67</v>
      </c>
    </row>
    <row r="4242" spans="1:6" x14ac:dyDescent="0.25">
      <c r="A4242" s="5" t="s">
        <v>35</v>
      </c>
      <c r="B4242" s="19">
        <v>44069</v>
      </c>
      <c r="C4242" s="4">
        <v>176</v>
      </c>
      <c r="D4242" s="21">
        <f>C4242+D4218</f>
        <v>2285</v>
      </c>
      <c r="E4242" s="4">
        <f>4+1</f>
        <v>5</v>
      </c>
      <c r="F4242" s="57">
        <f>E4242+F4218</f>
        <v>37</v>
      </c>
    </row>
    <row r="4243" spans="1:6" x14ac:dyDescent="0.25">
      <c r="A4243" s="5" t="s">
        <v>36</v>
      </c>
      <c r="B4243" s="19">
        <v>44069</v>
      </c>
      <c r="C4243" s="4">
        <v>36</v>
      </c>
      <c r="D4243" s="21">
        <f t="shared" ref="D4243:D4249" si="323">C4243+D4219</f>
        <v>146</v>
      </c>
      <c r="F4243" s="57">
        <f>E4243+F4219</f>
        <v>0</v>
      </c>
    </row>
    <row r="4244" spans="1:6" x14ac:dyDescent="0.25">
      <c r="A4244" s="5" t="s">
        <v>37</v>
      </c>
      <c r="B4244" s="19">
        <v>44069</v>
      </c>
      <c r="C4244" s="4">
        <v>4</v>
      </c>
      <c r="D4244" s="21">
        <f t="shared" si="323"/>
        <v>44</v>
      </c>
      <c r="F4244" s="57">
        <f t="shared" si="322"/>
        <v>0</v>
      </c>
    </row>
    <row r="4245" spans="1:6" x14ac:dyDescent="0.25">
      <c r="A4245" s="5" t="s">
        <v>38</v>
      </c>
      <c r="B4245" s="19">
        <v>44069</v>
      </c>
      <c r="C4245" s="4">
        <v>63</v>
      </c>
      <c r="D4245" s="21">
        <f t="shared" si="323"/>
        <v>1479</v>
      </c>
      <c r="F4245" s="57">
        <f t="shared" ref="F4245:F4250" si="324">E4245+F4221</f>
        <v>11</v>
      </c>
    </row>
    <row r="4246" spans="1:6" x14ac:dyDescent="0.25">
      <c r="A4246" s="5" t="s">
        <v>23</v>
      </c>
      <c r="B4246" s="19">
        <v>44069</v>
      </c>
      <c r="C4246" s="4">
        <v>381</v>
      </c>
      <c r="D4246" s="21">
        <f t="shared" si="323"/>
        <v>5763</v>
      </c>
      <c r="E4246" s="4">
        <f>2+2</f>
        <v>4</v>
      </c>
      <c r="F4246" s="57">
        <f t="shared" si="324"/>
        <v>68</v>
      </c>
    </row>
    <row r="4247" spans="1:6" x14ac:dyDescent="0.25">
      <c r="A4247" s="5" t="s">
        <v>39</v>
      </c>
      <c r="B4247" s="19">
        <v>44069</v>
      </c>
      <c r="C4247" s="4">
        <v>38</v>
      </c>
      <c r="D4247" s="21">
        <f t="shared" si="323"/>
        <v>692</v>
      </c>
      <c r="F4247" s="57">
        <f t="shared" si="324"/>
        <v>6</v>
      </c>
    </row>
    <row r="4248" spans="1:6" x14ac:dyDescent="0.25">
      <c r="A4248" s="5" t="s">
        <v>40</v>
      </c>
      <c r="B4248" s="19">
        <v>44069</v>
      </c>
      <c r="C4248" s="4">
        <v>51</v>
      </c>
      <c r="D4248" s="21">
        <f t="shared" si="323"/>
        <v>1854</v>
      </c>
      <c r="E4248" s="4">
        <f>1+1</f>
        <v>2</v>
      </c>
      <c r="F4248" s="57">
        <f t="shared" si="324"/>
        <v>24</v>
      </c>
    </row>
    <row r="4249" spans="1:6" x14ac:dyDescent="0.25">
      <c r="A4249" s="5" t="s">
        <v>41</v>
      </c>
      <c r="B4249" s="19">
        <v>44069</v>
      </c>
      <c r="C4249" s="4">
        <v>68</v>
      </c>
      <c r="D4249" s="21">
        <f t="shared" si="323"/>
        <v>1349</v>
      </c>
      <c r="F4249" s="57">
        <f t="shared" si="324"/>
        <v>7</v>
      </c>
    </row>
    <row r="4250" spans="1:6" x14ac:dyDescent="0.25">
      <c r="A4250" s="42" t="s">
        <v>17</v>
      </c>
      <c r="B4250" s="19">
        <v>44070</v>
      </c>
      <c r="C4250" s="4">
        <v>6402</v>
      </c>
      <c r="D4250" s="21">
        <f>C4250+D4226</f>
        <v>236734</v>
      </c>
      <c r="E4250" s="4">
        <v>141</v>
      </c>
      <c r="F4250" s="57">
        <f t="shared" si="324"/>
        <v>4811</v>
      </c>
    </row>
    <row r="4251" spans="1:6" x14ac:dyDescent="0.25">
      <c r="A4251" s="5" t="s">
        <v>44</v>
      </c>
      <c r="B4251" s="19">
        <v>44070</v>
      </c>
      <c r="C4251" s="4">
        <v>1220</v>
      </c>
      <c r="D4251" s="21">
        <f t="shared" ref="D4251:D4263" si="325">C4251+D4227</f>
        <v>90357</v>
      </c>
      <c r="E4251" s="4">
        <v>35</v>
      </c>
      <c r="F4251" s="57">
        <f t="shared" si="322"/>
        <v>2107</v>
      </c>
    </row>
    <row r="4252" spans="1:6" x14ac:dyDescent="0.25">
      <c r="A4252" s="5" t="s">
        <v>29</v>
      </c>
      <c r="B4252" s="19">
        <v>44070</v>
      </c>
      <c r="C4252" s="4">
        <v>1</v>
      </c>
      <c r="D4252" s="21">
        <f t="shared" si="325"/>
        <v>64</v>
      </c>
      <c r="F4252" s="57">
        <f t="shared" si="322"/>
        <v>0</v>
      </c>
    </row>
    <row r="4253" spans="1:6" x14ac:dyDescent="0.25">
      <c r="A4253" s="5" t="s">
        <v>16</v>
      </c>
      <c r="B4253" s="19">
        <v>44070</v>
      </c>
      <c r="C4253" s="4">
        <v>63</v>
      </c>
      <c r="D4253" s="21">
        <f t="shared" si="325"/>
        <v>5104</v>
      </c>
      <c r="E4253" s="4">
        <f>1</f>
        <v>1</v>
      </c>
      <c r="F4253" s="57">
        <f t="shared" si="322"/>
        <v>203</v>
      </c>
    </row>
    <row r="4254" spans="1:6" x14ac:dyDescent="0.25">
      <c r="A4254" s="5" t="s">
        <v>30</v>
      </c>
      <c r="B4254" s="19">
        <v>44070</v>
      </c>
      <c r="C4254" s="4">
        <v>49</v>
      </c>
      <c r="D4254" s="21">
        <f t="shared" si="325"/>
        <v>699</v>
      </c>
      <c r="F4254" s="57">
        <f t="shared" si="322"/>
        <v>7</v>
      </c>
    </row>
    <row r="4255" spans="1:6" x14ac:dyDescent="0.25">
      <c r="A4255" s="5" t="s">
        <v>21</v>
      </c>
      <c r="B4255" s="19">
        <v>44070</v>
      </c>
      <c r="C4255" s="4">
        <v>363</v>
      </c>
      <c r="D4255" s="21">
        <f t="shared" si="325"/>
        <v>7130</v>
      </c>
      <c r="E4255" s="4">
        <v>1</v>
      </c>
      <c r="F4255" s="57">
        <f t="shared" si="322"/>
        <v>109</v>
      </c>
    </row>
    <row r="4256" spans="1:6" x14ac:dyDescent="0.25">
      <c r="A4256" s="5" t="s">
        <v>31</v>
      </c>
      <c r="B4256" s="19">
        <v>44070</v>
      </c>
      <c r="C4256" s="4">
        <v>6</v>
      </c>
      <c r="D4256" s="21">
        <f t="shared" si="325"/>
        <v>278</v>
      </c>
      <c r="F4256" s="57">
        <f t="shared" si="322"/>
        <v>5</v>
      </c>
    </row>
    <row r="4257" spans="1:6" x14ac:dyDescent="0.25">
      <c r="A4257" s="5" t="s">
        <v>32</v>
      </c>
      <c r="B4257" s="19">
        <v>44070</v>
      </c>
      <c r="C4257" s="4">
        <v>160</v>
      </c>
      <c r="D4257" s="21">
        <f t="shared" si="325"/>
        <v>2781</v>
      </c>
      <c r="E4257" s="4">
        <f>1</f>
        <v>1</v>
      </c>
      <c r="F4257" s="57">
        <f t="shared" si="322"/>
        <v>34</v>
      </c>
    </row>
    <row r="4258" spans="1:6" x14ac:dyDescent="0.25">
      <c r="A4258" s="5" t="s">
        <v>42</v>
      </c>
      <c r="B4258" s="19">
        <v>44070</v>
      </c>
      <c r="C4258" s="4">
        <v>0</v>
      </c>
      <c r="D4258" s="21">
        <f t="shared" si="325"/>
        <v>82</v>
      </c>
      <c r="F4258" s="57">
        <f>E4258+F4234</f>
        <v>1</v>
      </c>
    </row>
    <row r="4259" spans="1:6" x14ac:dyDescent="0.25">
      <c r="A4259" s="5" t="s">
        <v>33</v>
      </c>
      <c r="B4259" s="19">
        <v>44070</v>
      </c>
      <c r="C4259" s="4">
        <v>200</v>
      </c>
      <c r="D4259" s="21">
        <f t="shared" si="325"/>
        <v>7274</v>
      </c>
      <c r="E4259" s="4">
        <f>4+2+3</f>
        <v>9</v>
      </c>
      <c r="F4259" s="57">
        <f t="shared" si="322"/>
        <v>185</v>
      </c>
    </row>
    <row r="4260" spans="1:6" x14ac:dyDescent="0.25">
      <c r="A4260" s="5" t="s">
        <v>34</v>
      </c>
      <c r="B4260" s="19">
        <v>44070</v>
      </c>
      <c r="C4260" s="4">
        <v>-1</v>
      </c>
      <c r="D4260" s="21">
        <f t="shared" si="325"/>
        <v>194</v>
      </c>
      <c r="F4260" s="57">
        <f t="shared" si="322"/>
        <v>2</v>
      </c>
    </row>
    <row r="4261" spans="1:6" x14ac:dyDescent="0.25">
      <c r="A4261" s="5" t="s">
        <v>22</v>
      </c>
      <c r="B4261" s="19">
        <v>44070</v>
      </c>
      <c r="C4261" s="4">
        <v>58</v>
      </c>
      <c r="D4261" s="21">
        <f t="shared" si="325"/>
        <v>1272</v>
      </c>
      <c r="E4261" s="4">
        <v>3</v>
      </c>
      <c r="F4261" s="57">
        <f t="shared" si="322"/>
        <v>31</v>
      </c>
    </row>
    <row r="4262" spans="1:6" x14ac:dyDescent="0.25">
      <c r="A4262" s="5" t="s">
        <v>18</v>
      </c>
      <c r="B4262" s="19">
        <v>44070</v>
      </c>
      <c r="C4262" s="4">
        <v>252</v>
      </c>
      <c r="D4262" s="21">
        <f t="shared" si="325"/>
        <v>5601</v>
      </c>
      <c r="E4262" s="4">
        <f>2</f>
        <v>2</v>
      </c>
      <c r="F4262" s="57">
        <f t="shared" si="322"/>
        <v>68</v>
      </c>
    </row>
    <row r="4263" spans="1:6" x14ac:dyDescent="0.25">
      <c r="A4263" s="5" t="s">
        <v>24</v>
      </c>
      <c r="B4263" s="19">
        <v>44070</v>
      </c>
      <c r="C4263" s="4">
        <v>-1</v>
      </c>
      <c r="D4263" s="21">
        <f t="shared" si="325"/>
        <v>58</v>
      </c>
      <c r="F4263" s="57">
        <f t="shared" si="322"/>
        <v>2</v>
      </c>
    </row>
    <row r="4264" spans="1:6" x14ac:dyDescent="0.25">
      <c r="A4264" s="5" t="s">
        <v>20</v>
      </c>
      <c r="B4264" s="19">
        <v>44070</v>
      </c>
      <c r="C4264" s="4">
        <v>122</v>
      </c>
      <c r="D4264" s="21">
        <f>C4264+D4240</f>
        <v>2669</v>
      </c>
      <c r="E4264" s="4">
        <f>1+2</f>
        <v>3</v>
      </c>
      <c r="F4264" s="57">
        <f t="shared" si="322"/>
        <v>17</v>
      </c>
    </row>
    <row r="4265" spans="1:6" x14ac:dyDescent="0.25">
      <c r="A4265" s="5" t="s">
        <v>19</v>
      </c>
      <c r="B4265" s="19">
        <v>44070</v>
      </c>
      <c r="C4265" s="4">
        <v>268</v>
      </c>
      <c r="D4265" s="21">
        <f>C4265+D4241</f>
        <v>5441</v>
      </c>
      <c r="E4265" s="4">
        <f>1+1+2+4</f>
        <v>8</v>
      </c>
      <c r="F4265" s="57">
        <f t="shared" si="322"/>
        <v>75</v>
      </c>
    </row>
    <row r="4266" spans="1:6" x14ac:dyDescent="0.25">
      <c r="A4266" s="5" t="s">
        <v>35</v>
      </c>
      <c r="B4266" s="19">
        <v>44070</v>
      </c>
      <c r="C4266" s="4">
        <v>179</v>
      </c>
      <c r="D4266" s="21">
        <f>C4266+D4242</f>
        <v>2464</v>
      </c>
      <c r="E4266" s="4">
        <f>1</f>
        <v>1</v>
      </c>
      <c r="F4266" s="57">
        <f>E4266+F4242</f>
        <v>38</v>
      </c>
    </row>
    <row r="4267" spans="1:6" x14ac:dyDescent="0.25">
      <c r="A4267" s="5" t="s">
        <v>36</v>
      </c>
      <c r="B4267" s="19">
        <v>44070</v>
      </c>
      <c r="C4267" s="4">
        <v>36</v>
      </c>
      <c r="D4267" s="21">
        <f t="shared" ref="D4267:D4273" si="326">C4267+D4243</f>
        <v>182</v>
      </c>
      <c r="F4267" s="57">
        <f>E4267+F4243</f>
        <v>0</v>
      </c>
    </row>
    <row r="4268" spans="1:6" x14ac:dyDescent="0.25">
      <c r="A4268" s="5" t="s">
        <v>37</v>
      </c>
      <c r="B4268" s="19">
        <v>44070</v>
      </c>
      <c r="C4268" s="4">
        <v>7</v>
      </c>
      <c r="D4268" s="21">
        <f t="shared" si="326"/>
        <v>51</v>
      </c>
      <c r="F4268" s="57">
        <f>E4268+F4244</f>
        <v>0</v>
      </c>
    </row>
    <row r="4269" spans="1:6" x14ac:dyDescent="0.25">
      <c r="A4269" s="5" t="s">
        <v>38</v>
      </c>
      <c r="B4269" s="19">
        <v>44070</v>
      </c>
      <c r="C4269" s="4">
        <v>51</v>
      </c>
      <c r="D4269" s="21">
        <f t="shared" si="326"/>
        <v>1530</v>
      </c>
      <c r="F4269" s="57">
        <f t="shared" ref="F4269:F4274" si="327">E4269+F4245</f>
        <v>11</v>
      </c>
    </row>
    <row r="4270" spans="1:6" x14ac:dyDescent="0.25">
      <c r="A4270" s="5" t="s">
        <v>23</v>
      </c>
      <c r="B4270" s="19">
        <v>44070</v>
      </c>
      <c r="C4270" s="4">
        <v>471</v>
      </c>
      <c r="D4270" s="21">
        <f t="shared" si="326"/>
        <v>6234</v>
      </c>
      <c r="E4270" s="4">
        <f>3+1</f>
        <v>4</v>
      </c>
      <c r="F4270" s="57">
        <f t="shared" si="327"/>
        <v>72</v>
      </c>
    </row>
    <row r="4271" spans="1:6" x14ac:dyDescent="0.25">
      <c r="A4271" s="5" t="s">
        <v>39</v>
      </c>
      <c r="B4271" s="19">
        <v>44070</v>
      </c>
      <c r="C4271" s="4">
        <v>53</v>
      </c>
      <c r="D4271" s="21">
        <f t="shared" si="326"/>
        <v>745</v>
      </c>
      <c r="F4271" s="57">
        <f t="shared" si="327"/>
        <v>6</v>
      </c>
    </row>
    <row r="4272" spans="1:6" x14ac:dyDescent="0.25">
      <c r="A4272" s="5" t="s">
        <v>40</v>
      </c>
      <c r="B4272" s="19">
        <v>44070</v>
      </c>
      <c r="C4272" s="4">
        <v>25</v>
      </c>
      <c r="D4272" s="21">
        <f t="shared" si="326"/>
        <v>1879</v>
      </c>
      <c r="F4272" s="57">
        <f t="shared" si="327"/>
        <v>24</v>
      </c>
    </row>
    <row r="4273" spans="1:6" x14ac:dyDescent="0.25">
      <c r="A4273" s="5" t="s">
        <v>41</v>
      </c>
      <c r="B4273" s="19">
        <v>44070</v>
      </c>
      <c r="C4273" s="4">
        <v>120</v>
      </c>
      <c r="D4273" s="21">
        <f t="shared" si="326"/>
        <v>1469</v>
      </c>
      <c r="E4273" s="4">
        <f>1</f>
        <v>1</v>
      </c>
      <c r="F4273" s="57">
        <f t="shared" si="327"/>
        <v>8</v>
      </c>
    </row>
    <row r="4274" spans="1:6" x14ac:dyDescent="0.25">
      <c r="A4274" s="42" t="s">
        <v>17</v>
      </c>
      <c r="B4274" s="19">
        <v>44071</v>
      </c>
      <c r="C4274" s="4">
        <v>7486</v>
      </c>
      <c r="D4274" s="21">
        <f>C4274+D4250</f>
        <v>244220</v>
      </c>
      <c r="E4274" s="4">
        <f>26+24+54+39+1</f>
        <v>144</v>
      </c>
      <c r="F4274" s="57">
        <f t="shared" si="327"/>
        <v>4955</v>
      </c>
    </row>
    <row r="4275" spans="1:6" x14ac:dyDescent="0.25">
      <c r="A4275" s="5" t="s">
        <v>44</v>
      </c>
      <c r="B4275" s="19">
        <v>44071</v>
      </c>
      <c r="C4275" s="4">
        <v>1430</v>
      </c>
      <c r="D4275" s="21">
        <f t="shared" ref="D4275:D4287" si="328">C4275+D4251</f>
        <v>91787</v>
      </c>
      <c r="E4275" s="4">
        <f>8+5+14+7+1</f>
        <v>35</v>
      </c>
      <c r="F4275" s="57">
        <f t="shared" ref="F4275:F4313" si="329">E4275+F4251</f>
        <v>2142</v>
      </c>
    </row>
    <row r="4276" spans="1:6" x14ac:dyDescent="0.25">
      <c r="A4276" s="5" t="s">
        <v>29</v>
      </c>
      <c r="B4276" s="19">
        <v>44071</v>
      </c>
      <c r="C4276" s="4">
        <v>1</v>
      </c>
      <c r="D4276" s="21">
        <f t="shared" si="328"/>
        <v>65</v>
      </c>
      <c r="F4276" s="57">
        <f t="shared" si="329"/>
        <v>0</v>
      </c>
    </row>
    <row r="4277" spans="1:6" x14ac:dyDescent="0.25">
      <c r="A4277" s="5" t="s">
        <v>16</v>
      </c>
      <c r="B4277" s="19">
        <v>44071</v>
      </c>
      <c r="C4277" s="4">
        <v>79</v>
      </c>
      <c r="D4277" s="21">
        <f t="shared" si="328"/>
        <v>5183</v>
      </c>
      <c r="E4277" s="4">
        <f>2</f>
        <v>2</v>
      </c>
      <c r="F4277" s="57">
        <f t="shared" si="329"/>
        <v>205</v>
      </c>
    </row>
    <row r="4278" spans="1:6" x14ac:dyDescent="0.25">
      <c r="A4278" s="5" t="s">
        <v>30</v>
      </c>
      <c r="B4278" s="19">
        <v>44071</v>
      </c>
      <c r="C4278" s="4">
        <v>66</v>
      </c>
      <c r="D4278" s="21">
        <f t="shared" si="328"/>
        <v>765</v>
      </c>
      <c r="F4278" s="57">
        <f t="shared" si="329"/>
        <v>7</v>
      </c>
    </row>
    <row r="4279" spans="1:6" x14ac:dyDescent="0.25">
      <c r="A4279" s="5" t="s">
        <v>21</v>
      </c>
      <c r="B4279" s="19">
        <v>44071</v>
      </c>
      <c r="C4279" s="4">
        <v>375</v>
      </c>
      <c r="D4279" s="21">
        <f t="shared" si="328"/>
        <v>7505</v>
      </c>
      <c r="E4279" s="4">
        <f>2</f>
        <v>2</v>
      </c>
      <c r="F4279" s="57">
        <f t="shared" si="329"/>
        <v>111</v>
      </c>
    </row>
    <row r="4280" spans="1:6" x14ac:dyDescent="0.25">
      <c r="A4280" s="5" t="s">
        <v>31</v>
      </c>
      <c r="B4280" s="19">
        <v>44071</v>
      </c>
      <c r="C4280" s="4">
        <v>35</v>
      </c>
      <c r="D4280" s="21">
        <f t="shared" si="328"/>
        <v>313</v>
      </c>
      <c r="F4280" s="57">
        <f t="shared" si="329"/>
        <v>5</v>
      </c>
    </row>
    <row r="4281" spans="1:6" x14ac:dyDescent="0.25">
      <c r="A4281" s="5" t="s">
        <v>32</v>
      </c>
      <c r="B4281" s="19">
        <v>44071</v>
      </c>
      <c r="C4281" s="4">
        <v>155</v>
      </c>
      <c r="D4281" s="21">
        <f t="shared" si="328"/>
        <v>2936</v>
      </c>
      <c r="E4281" s="4">
        <f>1+3</f>
        <v>4</v>
      </c>
      <c r="F4281" s="57">
        <f t="shared" si="329"/>
        <v>38</v>
      </c>
    </row>
    <row r="4282" spans="1:6" x14ac:dyDescent="0.25">
      <c r="A4282" s="5" t="s">
        <v>42</v>
      </c>
      <c r="B4282" s="19">
        <v>44071</v>
      </c>
      <c r="C4282" s="4">
        <v>2</v>
      </c>
      <c r="D4282" s="21">
        <f t="shared" si="328"/>
        <v>84</v>
      </c>
      <c r="F4282" s="57">
        <f>E4282+F4258</f>
        <v>1</v>
      </c>
    </row>
    <row r="4283" spans="1:6" x14ac:dyDescent="0.25">
      <c r="A4283" s="5" t="s">
        <v>33</v>
      </c>
      <c r="B4283" s="19">
        <v>44071</v>
      </c>
      <c r="C4283" s="4">
        <v>347</v>
      </c>
      <c r="D4283" s="21">
        <f t="shared" si="328"/>
        <v>7621</v>
      </c>
      <c r="E4283" s="4">
        <f>3+3+2+3</f>
        <v>11</v>
      </c>
      <c r="F4283" s="57">
        <f t="shared" si="329"/>
        <v>196</v>
      </c>
    </row>
    <row r="4284" spans="1:6" x14ac:dyDescent="0.25">
      <c r="A4284" s="5" t="s">
        <v>34</v>
      </c>
      <c r="B4284" s="19">
        <v>44071</v>
      </c>
      <c r="C4284" s="4">
        <v>0</v>
      </c>
      <c r="D4284" s="21">
        <f t="shared" si="328"/>
        <v>194</v>
      </c>
      <c r="F4284" s="57">
        <f t="shared" si="329"/>
        <v>2</v>
      </c>
    </row>
    <row r="4285" spans="1:6" x14ac:dyDescent="0.25">
      <c r="A4285" s="5" t="s">
        <v>22</v>
      </c>
      <c r="B4285" s="19">
        <v>44071</v>
      </c>
      <c r="C4285" s="4">
        <v>60</v>
      </c>
      <c r="D4285" s="21">
        <f t="shared" si="328"/>
        <v>1332</v>
      </c>
      <c r="F4285" s="57">
        <f t="shared" si="329"/>
        <v>31</v>
      </c>
    </row>
    <row r="4286" spans="1:6" x14ac:dyDescent="0.25">
      <c r="A4286" s="5" t="s">
        <v>18</v>
      </c>
      <c r="B4286" s="19">
        <v>44071</v>
      </c>
      <c r="C4286" s="4">
        <v>342</v>
      </c>
      <c r="D4286" s="21">
        <f t="shared" si="328"/>
        <v>5943</v>
      </c>
      <c r="E4286" s="4">
        <f>2+1</f>
        <v>3</v>
      </c>
      <c r="F4286" s="57">
        <f t="shared" si="329"/>
        <v>71</v>
      </c>
    </row>
    <row r="4287" spans="1:6" x14ac:dyDescent="0.25">
      <c r="A4287" s="5" t="s">
        <v>24</v>
      </c>
      <c r="B4287" s="19">
        <v>44071</v>
      </c>
      <c r="C4287" s="4">
        <v>1</v>
      </c>
      <c r="D4287" s="21">
        <f t="shared" si="328"/>
        <v>59</v>
      </c>
      <c r="F4287" s="57">
        <f t="shared" si="329"/>
        <v>2</v>
      </c>
    </row>
    <row r="4288" spans="1:6" x14ac:dyDescent="0.25">
      <c r="A4288" s="5" t="s">
        <v>20</v>
      </c>
      <c r="B4288" s="19">
        <v>44071</v>
      </c>
      <c r="C4288" s="4">
        <v>99</v>
      </c>
      <c r="D4288" s="21">
        <f>C4288+D4264</f>
        <v>2768</v>
      </c>
      <c r="E4288" s="4">
        <f>3</f>
        <v>3</v>
      </c>
      <c r="F4288" s="57">
        <f t="shared" si="329"/>
        <v>20</v>
      </c>
    </row>
    <row r="4289" spans="1:6" x14ac:dyDescent="0.25">
      <c r="A4289" s="5" t="s">
        <v>19</v>
      </c>
      <c r="B4289" s="19">
        <v>44071</v>
      </c>
      <c r="C4289" s="4">
        <v>150</v>
      </c>
      <c r="D4289" s="21">
        <f>C4289+D4265</f>
        <v>5591</v>
      </c>
      <c r="E4289" s="4">
        <f>1+2+1</f>
        <v>4</v>
      </c>
      <c r="F4289" s="57">
        <f t="shared" si="329"/>
        <v>79</v>
      </c>
    </row>
    <row r="4290" spans="1:6" x14ac:dyDescent="0.25">
      <c r="A4290" s="5" t="s">
        <v>35</v>
      </c>
      <c r="B4290" s="19">
        <v>44071</v>
      </c>
      <c r="C4290" s="4">
        <v>265</v>
      </c>
      <c r="D4290" s="21">
        <f>C4290+D4266</f>
        <v>2729</v>
      </c>
      <c r="E4290" s="4">
        <f>1</f>
        <v>1</v>
      </c>
      <c r="F4290" s="57">
        <f>E4290+F4266</f>
        <v>39</v>
      </c>
    </row>
    <row r="4291" spans="1:6" x14ac:dyDescent="0.25">
      <c r="A4291" s="5" t="s">
        <v>36</v>
      </c>
      <c r="B4291" s="19">
        <v>44071</v>
      </c>
      <c r="C4291" s="4">
        <v>11</v>
      </c>
      <c r="D4291" s="21">
        <f t="shared" ref="D4291:D4297" si="330">C4291+D4267</f>
        <v>193</v>
      </c>
      <c r="F4291" s="57">
        <f>E4291+F4267</f>
        <v>0</v>
      </c>
    </row>
    <row r="4292" spans="1:6" x14ac:dyDescent="0.25">
      <c r="A4292" s="5" t="s">
        <v>37</v>
      </c>
      <c r="B4292" s="19">
        <v>44071</v>
      </c>
      <c r="C4292" s="4">
        <v>10</v>
      </c>
      <c r="D4292" s="21">
        <f t="shared" si="330"/>
        <v>61</v>
      </c>
      <c r="F4292" s="57">
        <f t="shared" si="329"/>
        <v>0</v>
      </c>
    </row>
    <row r="4293" spans="1:6" x14ac:dyDescent="0.25">
      <c r="A4293" s="5" t="s">
        <v>38</v>
      </c>
      <c r="B4293" s="19">
        <v>44071</v>
      </c>
      <c r="C4293" s="4">
        <v>88</v>
      </c>
      <c r="D4293" s="21">
        <f t="shared" si="330"/>
        <v>1618</v>
      </c>
      <c r="E4293" s="4">
        <f>2</f>
        <v>2</v>
      </c>
      <c r="F4293" s="57">
        <f t="shared" ref="F4293:F4298" si="331">E4293+F4269</f>
        <v>13</v>
      </c>
    </row>
    <row r="4294" spans="1:6" x14ac:dyDescent="0.25">
      <c r="A4294" s="5" t="s">
        <v>23</v>
      </c>
      <c r="B4294" s="19">
        <v>44071</v>
      </c>
      <c r="C4294" s="4">
        <v>507</v>
      </c>
      <c r="D4294" s="21">
        <f t="shared" si="330"/>
        <v>6741</v>
      </c>
      <c r="E4294" s="4">
        <f>2+2</f>
        <v>4</v>
      </c>
      <c r="F4294" s="57">
        <f t="shared" si="331"/>
        <v>76</v>
      </c>
    </row>
    <row r="4295" spans="1:6" x14ac:dyDescent="0.25">
      <c r="A4295" s="5" t="s">
        <v>39</v>
      </c>
      <c r="B4295" s="19">
        <v>44071</v>
      </c>
      <c r="C4295" s="4">
        <v>44</v>
      </c>
      <c r="D4295" s="21">
        <f t="shared" si="330"/>
        <v>789</v>
      </c>
      <c r="F4295" s="57">
        <f t="shared" si="331"/>
        <v>6</v>
      </c>
    </row>
    <row r="4296" spans="1:6" x14ac:dyDescent="0.25">
      <c r="A4296" s="5" t="s">
        <v>40</v>
      </c>
      <c r="B4296" s="19">
        <v>44071</v>
      </c>
      <c r="C4296" s="4">
        <v>29</v>
      </c>
      <c r="D4296" s="21">
        <f t="shared" si="330"/>
        <v>1908</v>
      </c>
      <c r="E4296" s="4">
        <f>1+1</f>
        <v>2</v>
      </c>
      <c r="F4296" s="57">
        <f t="shared" si="331"/>
        <v>26</v>
      </c>
    </row>
    <row r="4297" spans="1:6" x14ac:dyDescent="0.25">
      <c r="A4297" s="5" t="s">
        <v>41</v>
      </c>
      <c r="B4297" s="19">
        <v>44071</v>
      </c>
      <c r="C4297" s="4">
        <v>135</v>
      </c>
      <c r="D4297" s="21">
        <f t="shared" si="330"/>
        <v>1604</v>
      </c>
      <c r="E4297" s="4">
        <f>4+1</f>
        <v>5</v>
      </c>
      <c r="F4297" s="57">
        <f t="shared" si="331"/>
        <v>13</v>
      </c>
    </row>
    <row r="4298" spans="1:6" x14ac:dyDescent="0.25">
      <c r="A4298" s="42" t="s">
        <v>17</v>
      </c>
      <c r="B4298" s="19">
        <v>44072</v>
      </c>
      <c r="C4298" s="4">
        <v>5545</v>
      </c>
      <c r="D4298" s="21">
        <f>C4298+D4274</f>
        <v>249765</v>
      </c>
      <c r="E4298" s="4">
        <v>41</v>
      </c>
      <c r="F4298" s="57">
        <f t="shared" si="331"/>
        <v>4996</v>
      </c>
    </row>
    <row r="4299" spans="1:6" x14ac:dyDescent="0.25">
      <c r="A4299" s="5" t="s">
        <v>44</v>
      </c>
      <c r="B4299" s="19">
        <v>44072</v>
      </c>
      <c r="C4299" s="4">
        <v>1195</v>
      </c>
      <c r="D4299" s="21">
        <f t="shared" ref="D4299:D4311" si="332">C4299+D4275</f>
        <v>92982</v>
      </c>
      <c r="E4299" s="4">
        <f>7+5+10+3</f>
        <v>25</v>
      </c>
      <c r="F4299" s="57">
        <f t="shared" si="329"/>
        <v>2167</v>
      </c>
    </row>
    <row r="4300" spans="1:6" x14ac:dyDescent="0.25">
      <c r="A4300" s="5" t="s">
        <v>29</v>
      </c>
      <c r="B4300" s="19">
        <v>44072</v>
      </c>
      <c r="C4300" s="4">
        <v>0</v>
      </c>
      <c r="D4300" s="21">
        <f t="shared" si="332"/>
        <v>65</v>
      </c>
      <c r="F4300" s="57">
        <f t="shared" si="329"/>
        <v>0</v>
      </c>
    </row>
    <row r="4301" spans="1:6" x14ac:dyDescent="0.25">
      <c r="A4301" s="5" t="s">
        <v>16</v>
      </c>
      <c r="B4301" s="19">
        <v>44072</v>
      </c>
      <c r="C4301" s="4">
        <v>98</v>
      </c>
      <c r="D4301" s="21">
        <f t="shared" si="332"/>
        <v>5281</v>
      </c>
      <c r="E4301" s="4">
        <f>1+1</f>
        <v>2</v>
      </c>
      <c r="F4301" s="57">
        <f t="shared" si="329"/>
        <v>207</v>
      </c>
    </row>
    <row r="4302" spans="1:6" x14ac:dyDescent="0.25">
      <c r="A4302" s="5" t="s">
        <v>30</v>
      </c>
      <c r="B4302" s="19">
        <v>44072</v>
      </c>
      <c r="C4302" s="4">
        <v>43</v>
      </c>
      <c r="D4302" s="21">
        <f t="shared" si="332"/>
        <v>808</v>
      </c>
      <c r="F4302" s="57">
        <f t="shared" si="329"/>
        <v>7</v>
      </c>
    </row>
    <row r="4303" spans="1:6" x14ac:dyDescent="0.25">
      <c r="A4303" s="5" t="s">
        <v>21</v>
      </c>
      <c r="B4303" s="19">
        <v>44072</v>
      </c>
      <c r="C4303" s="4">
        <v>337</v>
      </c>
      <c r="D4303" s="21">
        <f t="shared" si="332"/>
        <v>7842</v>
      </c>
      <c r="E4303" s="4">
        <f>4+2</f>
        <v>6</v>
      </c>
      <c r="F4303" s="57">
        <f t="shared" si="329"/>
        <v>117</v>
      </c>
    </row>
    <row r="4304" spans="1:6" x14ac:dyDescent="0.25">
      <c r="A4304" s="5" t="s">
        <v>31</v>
      </c>
      <c r="B4304" s="19">
        <v>44072</v>
      </c>
      <c r="C4304" s="4">
        <v>8</v>
      </c>
      <c r="D4304" s="21">
        <f t="shared" si="332"/>
        <v>321</v>
      </c>
      <c r="F4304" s="57">
        <f t="shared" si="329"/>
        <v>5</v>
      </c>
    </row>
    <row r="4305" spans="1:6" x14ac:dyDescent="0.25">
      <c r="A4305" s="5" t="s">
        <v>32</v>
      </c>
      <c r="B4305" s="19">
        <v>44072</v>
      </c>
      <c r="C4305" s="4">
        <v>125</v>
      </c>
      <c r="D4305" s="21">
        <f t="shared" si="332"/>
        <v>3061</v>
      </c>
      <c r="F4305" s="57">
        <f t="shared" si="329"/>
        <v>38</v>
      </c>
    </row>
    <row r="4306" spans="1:6" x14ac:dyDescent="0.25">
      <c r="A4306" s="5" t="s">
        <v>42</v>
      </c>
      <c r="B4306" s="19">
        <v>44072</v>
      </c>
      <c r="C4306" s="4">
        <v>0</v>
      </c>
      <c r="D4306" s="21">
        <f t="shared" si="332"/>
        <v>84</v>
      </c>
      <c r="F4306" s="57">
        <f>E4306+F4282</f>
        <v>1</v>
      </c>
    </row>
    <row r="4307" spans="1:6" x14ac:dyDescent="0.25">
      <c r="A4307" s="5" t="s">
        <v>33</v>
      </c>
      <c r="B4307" s="19">
        <v>44072</v>
      </c>
      <c r="C4307" s="4">
        <v>321</v>
      </c>
      <c r="D4307" s="21">
        <f t="shared" si="332"/>
        <v>7942</v>
      </c>
      <c r="F4307" s="57">
        <f t="shared" si="329"/>
        <v>196</v>
      </c>
    </row>
    <row r="4308" spans="1:6" x14ac:dyDescent="0.25">
      <c r="A4308" s="5" t="s">
        <v>34</v>
      </c>
      <c r="B4308" s="19">
        <v>44072</v>
      </c>
      <c r="C4308" s="4">
        <v>6</v>
      </c>
      <c r="D4308" s="21">
        <f t="shared" si="332"/>
        <v>200</v>
      </c>
      <c r="F4308" s="57">
        <f t="shared" si="329"/>
        <v>2</v>
      </c>
    </row>
    <row r="4309" spans="1:6" x14ac:dyDescent="0.25">
      <c r="A4309" s="5" t="s">
        <v>22</v>
      </c>
      <c r="B4309" s="19">
        <v>44072</v>
      </c>
      <c r="C4309" s="4">
        <v>28</v>
      </c>
      <c r="D4309" s="21">
        <f t="shared" si="332"/>
        <v>1360</v>
      </c>
      <c r="F4309" s="57">
        <f t="shared" si="329"/>
        <v>31</v>
      </c>
    </row>
    <row r="4310" spans="1:6" x14ac:dyDescent="0.25">
      <c r="A4310" s="5" t="s">
        <v>18</v>
      </c>
      <c r="B4310" s="19">
        <v>44072</v>
      </c>
      <c r="C4310" s="4">
        <v>290</v>
      </c>
      <c r="D4310" s="21">
        <f t="shared" si="332"/>
        <v>6233</v>
      </c>
      <c r="F4310" s="57">
        <f t="shared" si="329"/>
        <v>71</v>
      </c>
    </row>
    <row r="4311" spans="1:6" x14ac:dyDescent="0.25">
      <c r="A4311" s="5" t="s">
        <v>24</v>
      </c>
      <c r="B4311" s="19">
        <v>44072</v>
      </c>
      <c r="C4311" s="4">
        <v>1</v>
      </c>
      <c r="D4311" s="21">
        <f t="shared" si="332"/>
        <v>60</v>
      </c>
      <c r="F4311" s="57">
        <f t="shared" si="329"/>
        <v>2</v>
      </c>
    </row>
    <row r="4312" spans="1:6" x14ac:dyDescent="0.25">
      <c r="A4312" s="5" t="s">
        <v>20</v>
      </c>
      <c r="B4312" s="19">
        <v>44072</v>
      </c>
      <c r="C4312" s="4">
        <v>77</v>
      </c>
      <c r="D4312" s="21">
        <f>C4312+D4288</f>
        <v>2845</v>
      </c>
      <c r="F4312" s="57">
        <f t="shared" si="329"/>
        <v>20</v>
      </c>
    </row>
    <row r="4313" spans="1:6" x14ac:dyDescent="0.25">
      <c r="A4313" s="5" t="s">
        <v>19</v>
      </c>
      <c r="B4313" s="19">
        <v>44072</v>
      </c>
      <c r="C4313" s="4">
        <v>188</v>
      </c>
      <c r="D4313" s="21">
        <f>C4313+D4289</f>
        <v>5779</v>
      </c>
      <c r="E4313" s="4">
        <f>2</f>
        <v>2</v>
      </c>
      <c r="F4313" s="57">
        <f t="shared" si="329"/>
        <v>81</v>
      </c>
    </row>
    <row r="4314" spans="1:6" x14ac:dyDescent="0.25">
      <c r="A4314" s="5" t="s">
        <v>35</v>
      </c>
      <c r="B4314" s="19">
        <v>44072</v>
      </c>
      <c r="C4314" s="4">
        <v>182</v>
      </c>
      <c r="D4314" s="21">
        <f>C4314+D4290</f>
        <v>2911</v>
      </c>
      <c r="F4314" s="57">
        <f>E4314+F4290</f>
        <v>39</v>
      </c>
    </row>
    <row r="4315" spans="1:6" x14ac:dyDescent="0.25">
      <c r="A4315" s="5" t="s">
        <v>36</v>
      </c>
      <c r="B4315" s="19">
        <v>44072</v>
      </c>
      <c r="C4315" s="4">
        <v>13</v>
      </c>
      <c r="D4315" s="21">
        <f t="shared" ref="D4315:D4321" si="333">C4315+D4291</f>
        <v>206</v>
      </c>
      <c r="F4315" s="57">
        <f>E4315+F4291</f>
        <v>0</v>
      </c>
    </row>
    <row r="4316" spans="1:6" x14ac:dyDescent="0.25">
      <c r="A4316" s="5" t="s">
        <v>37</v>
      </c>
      <c r="B4316" s="19">
        <v>44072</v>
      </c>
      <c r="C4316" s="4">
        <v>25</v>
      </c>
      <c r="D4316" s="21">
        <f t="shared" si="333"/>
        <v>86</v>
      </c>
      <c r="F4316" s="57">
        <f>E4316+F4292</f>
        <v>0</v>
      </c>
    </row>
    <row r="4317" spans="1:6" x14ac:dyDescent="0.25">
      <c r="A4317" s="5" t="s">
        <v>38</v>
      </c>
      <c r="B4317" s="19">
        <v>44072</v>
      </c>
      <c r="C4317" s="4">
        <v>32</v>
      </c>
      <c r="D4317" s="21">
        <f t="shared" si="333"/>
        <v>1650</v>
      </c>
      <c r="F4317" s="57">
        <f t="shared" ref="F4317:F4322" si="334">E4317+F4293</f>
        <v>13</v>
      </c>
    </row>
    <row r="4318" spans="1:6" x14ac:dyDescent="0.25">
      <c r="A4318" s="5" t="s">
        <v>23</v>
      </c>
      <c r="B4318" s="19">
        <v>44072</v>
      </c>
      <c r="C4318" s="4">
        <v>406</v>
      </c>
      <c r="D4318" s="21">
        <f t="shared" si="333"/>
        <v>7147</v>
      </c>
      <c r="E4318" s="4">
        <f>1</f>
        <v>1</v>
      </c>
      <c r="F4318" s="57">
        <f t="shared" si="334"/>
        <v>77</v>
      </c>
    </row>
    <row r="4319" spans="1:6" x14ac:dyDescent="0.25">
      <c r="A4319" s="5" t="s">
        <v>39</v>
      </c>
      <c r="B4319" s="19">
        <v>44072</v>
      </c>
      <c r="C4319" s="4">
        <v>52</v>
      </c>
      <c r="D4319" s="21">
        <f t="shared" si="333"/>
        <v>841</v>
      </c>
      <c r="E4319" s="4">
        <f>1+2</f>
        <v>3</v>
      </c>
      <c r="F4319" s="57">
        <f t="shared" si="334"/>
        <v>9</v>
      </c>
    </row>
    <row r="4320" spans="1:6" x14ac:dyDescent="0.25">
      <c r="A4320" s="5" t="s">
        <v>40</v>
      </c>
      <c r="B4320" s="19">
        <v>44072</v>
      </c>
      <c r="C4320" s="4">
        <v>35</v>
      </c>
      <c r="D4320" s="21">
        <f t="shared" si="333"/>
        <v>1943</v>
      </c>
      <c r="E4320" s="4">
        <f>2</f>
        <v>2</v>
      </c>
      <c r="F4320" s="57">
        <f t="shared" si="334"/>
        <v>28</v>
      </c>
    </row>
    <row r="4321" spans="1:6" x14ac:dyDescent="0.25">
      <c r="A4321" s="5" t="s">
        <v>41</v>
      </c>
      <c r="B4321" s="19">
        <v>44072</v>
      </c>
      <c r="C4321" s="4">
        <v>223</v>
      </c>
      <c r="D4321" s="21">
        <f t="shared" si="333"/>
        <v>1827</v>
      </c>
      <c r="F4321" s="57">
        <f t="shared" si="334"/>
        <v>13</v>
      </c>
    </row>
    <row r="4322" spans="1:6" x14ac:dyDescent="0.25">
      <c r="A4322" s="42" t="s">
        <v>17</v>
      </c>
      <c r="B4322" s="19">
        <v>44073</v>
      </c>
      <c r="C4322" s="4">
        <v>3887</v>
      </c>
      <c r="D4322" s="21">
        <f>C4322+D4298</f>
        <v>253652</v>
      </c>
      <c r="E4322" s="4">
        <v>37</v>
      </c>
      <c r="F4322" s="57">
        <f t="shared" si="334"/>
        <v>5033</v>
      </c>
    </row>
    <row r="4323" spans="1:6" x14ac:dyDescent="0.25">
      <c r="A4323" s="5" t="s">
        <v>44</v>
      </c>
      <c r="B4323" s="19">
        <v>44073</v>
      </c>
      <c r="C4323" s="4">
        <v>1235</v>
      </c>
      <c r="D4323" s="21">
        <f t="shared" ref="D4323:D4335" si="335">C4323+D4299</f>
        <v>94217</v>
      </c>
      <c r="E4323" s="4">
        <v>27</v>
      </c>
      <c r="F4323" s="57">
        <f t="shared" ref="F4323:F4361" si="336">E4323+F4299</f>
        <v>2194</v>
      </c>
    </row>
    <row r="4324" spans="1:6" x14ac:dyDescent="0.25">
      <c r="A4324" s="5" t="s">
        <v>29</v>
      </c>
      <c r="B4324" s="19">
        <v>44073</v>
      </c>
      <c r="C4324" s="4">
        <v>0</v>
      </c>
      <c r="D4324" s="21">
        <f t="shared" si="335"/>
        <v>65</v>
      </c>
      <c r="F4324" s="57">
        <f t="shared" si="336"/>
        <v>0</v>
      </c>
    </row>
    <row r="4325" spans="1:6" x14ac:dyDescent="0.25">
      <c r="A4325" s="5" t="s">
        <v>16</v>
      </c>
      <c r="B4325" s="19">
        <v>44073</v>
      </c>
      <c r="C4325" s="4">
        <v>61</v>
      </c>
      <c r="D4325" s="21">
        <f t="shared" si="335"/>
        <v>5342</v>
      </c>
      <c r="E4325" s="4">
        <f>1+2</f>
        <v>3</v>
      </c>
      <c r="F4325" s="57">
        <f t="shared" si="336"/>
        <v>210</v>
      </c>
    </row>
    <row r="4326" spans="1:6" x14ac:dyDescent="0.25">
      <c r="A4326" s="5" t="s">
        <v>30</v>
      </c>
      <c r="B4326" s="19">
        <v>44073</v>
      </c>
      <c r="C4326" s="4">
        <v>12</v>
      </c>
      <c r="D4326" s="21">
        <f t="shared" si="335"/>
        <v>820</v>
      </c>
      <c r="F4326" s="57">
        <f t="shared" si="336"/>
        <v>7</v>
      </c>
    </row>
    <row r="4327" spans="1:6" x14ac:dyDescent="0.25">
      <c r="A4327" s="5" t="s">
        <v>21</v>
      </c>
      <c r="B4327" s="19">
        <v>44073</v>
      </c>
      <c r="C4327" s="4">
        <v>292</v>
      </c>
      <c r="D4327" s="21">
        <f t="shared" si="335"/>
        <v>8134</v>
      </c>
      <c r="E4327" s="4">
        <f>1+3+2</f>
        <v>6</v>
      </c>
      <c r="F4327" s="57">
        <f t="shared" si="336"/>
        <v>123</v>
      </c>
    </row>
    <row r="4328" spans="1:6" x14ac:dyDescent="0.25">
      <c r="A4328" s="5" t="s">
        <v>31</v>
      </c>
      <c r="B4328" s="19">
        <v>44073</v>
      </c>
      <c r="C4328" s="4">
        <v>-4</v>
      </c>
      <c r="D4328" s="21">
        <f t="shared" si="335"/>
        <v>317</v>
      </c>
      <c r="F4328" s="57">
        <f t="shared" si="336"/>
        <v>5</v>
      </c>
    </row>
    <row r="4329" spans="1:6" x14ac:dyDescent="0.25">
      <c r="A4329" s="5" t="s">
        <v>32</v>
      </c>
      <c r="B4329" s="19">
        <v>44073</v>
      </c>
      <c r="C4329" s="4">
        <v>110</v>
      </c>
      <c r="D4329" s="21">
        <f t="shared" si="335"/>
        <v>3171</v>
      </c>
      <c r="E4329" s="4">
        <f>1+5+1</f>
        <v>7</v>
      </c>
      <c r="F4329" s="57">
        <f t="shared" si="336"/>
        <v>45</v>
      </c>
    </row>
    <row r="4330" spans="1:6" x14ac:dyDescent="0.25">
      <c r="A4330" s="5" t="s">
        <v>42</v>
      </c>
      <c r="B4330" s="19">
        <v>44073</v>
      </c>
      <c r="C4330" s="4">
        <v>-1</v>
      </c>
      <c r="D4330" s="21">
        <f t="shared" si="335"/>
        <v>83</v>
      </c>
      <c r="F4330" s="57">
        <f>E4330+F4306</f>
        <v>1</v>
      </c>
    </row>
    <row r="4331" spans="1:6" x14ac:dyDescent="0.25">
      <c r="A4331" s="5" t="s">
        <v>33</v>
      </c>
      <c r="B4331" s="19">
        <v>44073</v>
      </c>
      <c r="C4331" s="4">
        <v>149</v>
      </c>
      <c r="D4331" s="21">
        <f t="shared" si="335"/>
        <v>8091</v>
      </c>
      <c r="F4331" s="57">
        <f t="shared" si="336"/>
        <v>196</v>
      </c>
    </row>
    <row r="4332" spans="1:6" x14ac:dyDescent="0.25">
      <c r="A4332" s="5" t="s">
        <v>34</v>
      </c>
      <c r="B4332" s="19">
        <v>44073</v>
      </c>
      <c r="C4332" s="4">
        <v>0</v>
      </c>
      <c r="D4332" s="21">
        <f t="shared" si="335"/>
        <v>200</v>
      </c>
      <c r="F4332" s="57">
        <f t="shared" si="336"/>
        <v>2</v>
      </c>
    </row>
    <row r="4333" spans="1:6" x14ac:dyDescent="0.25">
      <c r="A4333" s="5" t="s">
        <v>22</v>
      </c>
      <c r="B4333" s="19">
        <v>44073</v>
      </c>
      <c r="C4333" s="4">
        <v>57</v>
      </c>
      <c r="D4333" s="21">
        <f t="shared" si="335"/>
        <v>1417</v>
      </c>
      <c r="F4333" s="57">
        <f t="shared" si="336"/>
        <v>31</v>
      </c>
    </row>
    <row r="4334" spans="1:6" x14ac:dyDescent="0.25">
      <c r="A4334" s="5" t="s">
        <v>18</v>
      </c>
      <c r="B4334" s="19">
        <v>44073</v>
      </c>
      <c r="C4334" s="4">
        <v>316</v>
      </c>
      <c r="D4334" s="21">
        <f t="shared" si="335"/>
        <v>6549</v>
      </c>
      <c r="E4334" s="4">
        <f>1+3</f>
        <v>4</v>
      </c>
      <c r="F4334" s="57">
        <f t="shared" si="336"/>
        <v>75</v>
      </c>
    </row>
    <row r="4335" spans="1:6" x14ac:dyDescent="0.25">
      <c r="A4335" s="5" t="s">
        <v>24</v>
      </c>
      <c r="B4335" s="19">
        <v>44073</v>
      </c>
      <c r="C4335" s="4">
        <v>2</v>
      </c>
      <c r="D4335" s="21">
        <f t="shared" si="335"/>
        <v>62</v>
      </c>
      <c r="F4335" s="57">
        <f t="shared" si="336"/>
        <v>2</v>
      </c>
    </row>
    <row r="4336" spans="1:6" x14ac:dyDescent="0.25">
      <c r="A4336" s="5" t="s">
        <v>20</v>
      </c>
      <c r="B4336" s="19">
        <v>44073</v>
      </c>
      <c r="C4336" s="4">
        <v>87</v>
      </c>
      <c r="D4336" s="21">
        <f>C4336+D4312</f>
        <v>2932</v>
      </c>
      <c r="E4336" s="4">
        <f>1</f>
        <v>1</v>
      </c>
      <c r="F4336" s="57">
        <f t="shared" si="336"/>
        <v>21</v>
      </c>
    </row>
    <row r="4337" spans="1:6" x14ac:dyDescent="0.25">
      <c r="A4337" s="5" t="s">
        <v>19</v>
      </c>
      <c r="B4337" s="19">
        <v>44073</v>
      </c>
      <c r="C4337" s="4">
        <v>91</v>
      </c>
      <c r="D4337" s="21">
        <f>C4337+D4313</f>
        <v>5870</v>
      </c>
      <c r="E4337" s="4">
        <f>2+4+4+2</f>
        <v>12</v>
      </c>
      <c r="F4337" s="57">
        <f t="shared" si="336"/>
        <v>93</v>
      </c>
    </row>
    <row r="4338" spans="1:6" x14ac:dyDescent="0.25">
      <c r="A4338" s="5" t="s">
        <v>35</v>
      </c>
      <c r="B4338" s="19">
        <v>44073</v>
      </c>
      <c r="C4338" s="4">
        <v>250</v>
      </c>
      <c r="D4338" s="21">
        <f>C4338+D4314</f>
        <v>3161</v>
      </c>
      <c r="E4338" s="4">
        <f>2</f>
        <v>2</v>
      </c>
      <c r="F4338" s="57">
        <f>E4338+F4314</f>
        <v>41</v>
      </c>
    </row>
    <row r="4339" spans="1:6" x14ac:dyDescent="0.25">
      <c r="A4339" s="5" t="s">
        <v>36</v>
      </c>
      <c r="B4339" s="19">
        <v>44073</v>
      </c>
      <c r="C4339" s="4">
        <v>15</v>
      </c>
      <c r="D4339" s="21">
        <f t="shared" ref="D4339:D4345" si="337">C4339+D4315</f>
        <v>221</v>
      </c>
      <c r="F4339" s="57">
        <f>E4339+F4315</f>
        <v>0</v>
      </c>
    </row>
    <row r="4340" spans="1:6" x14ac:dyDescent="0.25">
      <c r="A4340" s="5" t="s">
        <v>37</v>
      </c>
      <c r="B4340" s="19">
        <v>44073</v>
      </c>
      <c r="C4340" s="4">
        <v>-1</v>
      </c>
      <c r="D4340" s="21">
        <f t="shared" si="337"/>
        <v>85</v>
      </c>
      <c r="F4340" s="57">
        <f t="shared" si="336"/>
        <v>0</v>
      </c>
    </row>
    <row r="4341" spans="1:6" x14ac:dyDescent="0.25">
      <c r="A4341" s="5" t="s">
        <v>38</v>
      </c>
      <c r="B4341" s="19">
        <v>44073</v>
      </c>
      <c r="C4341" s="4">
        <v>84</v>
      </c>
      <c r="D4341" s="21">
        <f t="shared" si="337"/>
        <v>1734</v>
      </c>
      <c r="F4341" s="57">
        <f t="shared" ref="F4341:F4346" si="338">E4341+F4317</f>
        <v>13</v>
      </c>
    </row>
    <row r="4342" spans="1:6" x14ac:dyDescent="0.25">
      <c r="A4342" s="5" t="s">
        <v>23</v>
      </c>
      <c r="B4342" s="19">
        <v>44073</v>
      </c>
      <c r="C4342" s="4">
        <v>283</v>
      </c>
      <c r="D4342" s="21">
        <f t="shared" si="337"/>
        <v>7430</v>
      </c>
      <c r="E4342" s="4">
        <f>1+2</f>
        <v>3</v>
      </c>
      <c r="F4342" s="57">
        <f t="shared" si="338"/>
        <v>80</v>
      </c>
    </row>
    <row r="4343" spans="1:6" x14ac:dyDescent="0.25">
      <c r="A4343" s="5" t="s">
        <v>39</v>
      </c>
      <c r="B4343" s="19">
        <v>44073</v>
      </c>
      <c r="C4343" s="4">
        <v>57</v>
      </c>
      <c r="D4343" s="21">
        <f t="shared" si="337"/>
        <v>898</v>
      </c>
      <c r="E4343" s="4">
        <f>1</f>
        <v>1</v>
      </c>
      <c r="F4343" s="57">
        <f t="shared" si="338"/>
        <v>10</v>
      </c>
    </row>
    <row r="4344" spans="1:6" x14ac:dyDescent="0.25">
      <c r="A4344" s="5" t="s">
        <v>40</v>
      </c>
      <c r="B4344" s="19">
        <v>44073</v>
      </c>
      <c r="C4344" s="4">
        <v>39</v>
      </c>
      <c r="D4344" s="21">
        <f t="shared" si="337"/>
        <v>1982</v>
      </c>
      <c r="F4344" s="57">
        <f t="shared" si="338"/>
        <v>28</v>
      </c>
    </row>
    <row r="4345" spans="1:6" x14ac:dyDescent="0.25">
      <c r="A4345" s="5" t="s">
        <v>41</v>
      </c>
      <c r="B4345" s="19">
        <v>44073</v>
      </c>
      <c r="C4345" s="4">
        <v>166</v>
      </c>
      <c r="D4345" s="21">
        <f t="shared" si="337"/>
        <v>1993</v>
      </c>
      <c r="F4345" s="57">
        <f t="shared" si="338"/>
        <v>13</v>
      </c>
    </row>
    <row r="4346" spans="1:6" x14ac:dyDescent="0.25">
      <c r="A4346" s="42" t="s">
        <v>17</v>
      </c>
      <c r="B4346" s="19">
        <v>44074</v>
      </c>
      <c r="C4346" s="4">
        <v>5141</v>
      </c>
      <c r="D4346" s="21">
        <f>C4346+D4322</f>
        <v>258793</v>
      </c>
      <c r="E4346" s="4">
        <f>14+12+1+55+40+2</f>
        <v>124</v>
      </c>
      <c r="F4346" s="57">
        <f t="shared" si="338"/>
        <v>5157</v>
      </c>
    </row>
    <row r="4347" spans="1:6" x14ac:dyDescent="0.25">
      <c r="A4347" s="5" t="s">
        <v>44</v>
      </c>
      <c r="B4347" s="19">
        <v>44074</v>
      </c>
      <c r="C4347" s="4">
        <v>1387</v>
      </c>
      <c r="D4347" s="21">
        <f t="shared" ref="D4347:D4359" si="339">C4347+D4323</f>
        <v>95604</v>
      </c>
      <c r="E4347" s="4">
        <f>2+2+1+18+21+1</f>
        <v>45</v>
      </c>
      <c r="F4347" s="57">
        <f t="shared" si="336"/>
        <v>2239</v>
      </c>
    </row>
    <row r="4348" spans="1:6" x14ac:dyDescent="0.25">
      <c r="A4348" s="5" t="s">
        <v>29</v>
      </c>
      <c r="B4348" s="19">
        <v>44074</v>
      </c>
      <c r="C4348" s="4">
        <v>1</v>
      </c>
      <c r="D4348" s="21">
        <f t="shared" si="339"/>
        <v>66</v>
      </c>
      <c r="F4348" s="57">
        <f t="shared" si="336"/>
        <v>0</v>
      </c>
    </row>
    <row r="4349" spans="1:6" x14ac:dyDescent="0.25">
      <c r="A4349" s="5" t="s">
        <v>16</v>
      </c>
      <c r="B4349" s="19">
        <v>44074</v>
      </c>
      <c r="C4349" s="4">
        <v>75</v>
      </c>
      <c r="D4349" s="21">
        <f t="shared" si="339"/>
        <v>5417</v>
      </c>
      <c r="E4349" s="4">
        <f>2+1+2+1</f>
        <v>6</v>
      </c>
      <c r="F4349" s="57">
        <f t="shared" si="336"/>
        <v>216</v>
      </c>
    </row>
    <row r="4350" spans="1:6" x14ac:dyDescent="0.25">
      <c r="A4350" s="5" t="s">
        <v>30</v>
      </c>
      <c r="B4350" s="19">
        <v>44074</v>
      </c>
      <c r="C4350" s="4">
        <v>79</v>
      </c>
      <c r="D4350" s="21">
        <f t="shared" si="339"/>
        <v>899</v>
      </c>
      <c r="F4350" s="57">
        <f t="shared" si="336"/>
        <v>7</v>
      </c>
    </row>
    <row r="4351" spans="1:6" x14ac:dyDescent="0.25">
      <c r="A4351" s="5" t="s">
        <v>21</v>
      </c>
      <c r="B4351" s="19">
        <v>44074</v>
      </c>
      <c r="C4351" s="4">
        <v>388</v>
      </c>
      <c r="D4351" s="21">
        <f t="shared" si="339"/>
        <v>8522</v>
      </c>
      <c r="E4351" s="4">
        <f>1+1</f>
        <v>2</v>
      </c>
      <c r="F4351" s="57">
        <f>E4351+F4327</f>
        <v>125</v>
      </c>
    </row>
    <row r="4352" spans="1:6" x14ac:dyDescent="0.25">
      <c r="A4352" s="5" t="s">
        <v>31</v>
      </c>
      <c r="B4352" s="19">
        <v>44074</v>
      </c>
      <c r="C4352" s="4">
        <v>-6</v>
      </c>
      <c r="D4352" s="21">
        <f t="shared" si="339"/>
        <v>311</v>
      </c>
      <c r="F4352" s="57">
        <f t="shared" si="336"/>
        <v>5</v>
      </c>
    </row>
    <row r="4353" spans="1:6" x14ac:dyDescent="0.25">
      <c r="A4353" s="5" t="s">
        <v>32</v>
      </c>
      <c r="B4353" s="19">
        <v>44074</v>
      </c>
      <c r="C4353" s="4">
        <v>167</v>
      </c>
      <c r="D4353" s="21">
        <f t="shared" si="339"/>
        <v>3338</v>
      </c>
      <c r="E4353" s="4">
        <f>1+1</f>
        <v>2</v>
      </c>
      <c r="F4353" s="57">
        <f t="shared" si="336"/>
        <v>47</v>
      </c>
    </row>
    <row r="4354" spans="1:6" x14ac:dyDescent="0.25">
      <c r="A4354" s="5" t="s">
        <v>42</v>
      </c>
      <c r="B4354" s="19">
        <v>44074</v>
      </c>
      <c r="C4354" s="4">
        <v>1</v>
      </c>
      <c r="D4354" s="21">
        <f t="shared" si="339"/>
        <v>84</v>
      </c>
      <c r="F4354" s="57">
        <f>E4354+F4330</f>
        <v>1</v>
      </c>
    </row>
    <row r="4355" spans="1:6" x14ac:dyDescent="0.25">
      <c r="A4355" s="5" t="s">
        <v>33</v>
      </c>
      <c r="B4355" s="19">
        <v>44074</v>
      </c>
      <c r="C4355" s="4">
        <v>327</v>
      </c>
      <c r="D4355" s="21">
        <f t="shared" si="339"/>
        <v>8418</v>
      </c>
      <c r="F4355" s="57">
        <f t="shared" si="336"/>
        <v>196</v>
      </c>
    </row>
    <row r="4356" spans="1:6" x14ac:dyDescent="0.25">
      <c r="A4356" s="5" t="s">
        <v>34</v>
      </c>
      <c r="B4356" s="19">
        <v>44074</v>
      </c>
      <c r="C4356" s="4">
        <v>4</v>
      </c>
      <c r="D4356" s="21">
        <f t="shared" si="339"/>
        <v>204</v>
      </c>
      <c r="F4356" s="57">
        <f t="shared" si="336"/>
        <v>2</v>
      </c>
    </row>
    <row r="4357" spans="1:6" x14ac:dyDescent="0.25">
      <c r="A4357" s="5" t="s">
        <v>22</v>
      </c>
      <c r="B4357" s="19">
        <v>44074</v>
      </c>
      <c r="C4357" s="4">
        <v>171</v>
      </c>
      <c r="D4357" s="21">
        <f t="shared" si="339"/>
        <v>1588</v>
      </c>
      <c r="F4357" s="57">
        <f t="shared" si="336"/>
        <v>31</v>
      </c>
    </row>
    <row r="4358" spans="1:6" x14ac:dyDescent="0.25">
      <c r="A4358" s="5" t="s">
        <v>18</v>
      </c>
      <c r="B4358" s="19">
        <v>44074</v>
      </c>
      <c r="C4358" s="4">
        <v>281</v>
      </c>
      <c r="D4358" s="21">
        <f t="shared" si="339"/>
        <v>6830</v>
      </c>
      <c r="E4358" s="4">
        <f>1+1+1</f>
        <v>3</v>
      </c>
      <c r="F4358" s="57">
        <f t="shared" si="336"/>
        <v>78</v>
      </c>
    </row>
    <row r="4359" spans="1:6" x14ac:dyDescent="0.25">
      <c r="A4359" s="5" t="s">
        <v>24</v>
      </c>
      <c r="B4359" s="19">
        <v>44074</v>
      </c>
      <c r="C4359" s="4">
        <v>0</v>
      </c>
      <c r="D4359" s="21">
        <f t="shared" si="339"/>
        <v>62</v>
      </c>
      <c r="F4359" s="57">
        <f t="shared" si="336"/>
        <v>2</v>
      </c>
    </row>
    <row r="4360" spans="1:6" x14ac:dyDescent="0.25">
      <c r="A4360" s="5" t="s">
        <v>20</v>
      </c>
      <c r="B4360" s="19">
        <v>44074</v>
      </c>
      <c r="C4360" s="4">
        <v>104</v>
      </c>
      <c r="D4360" s="21">
        <f>C4360+D4336</f>
        <v>3036</v>
      </c>
      <c r="E4360" s="4">
        <f>2</f>
        <v>2</v>
      </c>
      <c r="F4360" s="57">
        <f t="shared" si="336"/>
        <v>23</v>
      </c>
    </row>
    <row r="4361" spans="1:6" x14ac:dyDescent="0.25">
      <c r="A4361" s="5" t="s">
        <v>19</v>
      </c>
      <c r="B4361" s="19">
        <v>44074</v>
      </c>
      <c r="C4361" s="4">
        <v>126</v>
      </c>
      <c r="D4361" s="21">
        <f>C4361+D4337</f>
        <v>5996</v>
      </c>
      <c r="E4361" s="4">
        <f>2</f>
        <v>2</v>
      </c>
      <c r="F4361" s="57">
        <f t="shared" si="336"/>
        <v>95</v>
      </c>
    </row>
    <row r="4362" spans="1:6" x14ac:dyDescent="0.25">
      <c r="A4362" s="5" t="s">
        <v>35</v>
      </c>
      <c r="B4362" s="19">
        <v>44074</v>
      </c>
      <c r="C4362" s="4">
        <v>159</v>
      </c>
      <c r="D4362" s="21">
        <f>C4362+D4338</f>
        <v>3320</v>
      </c>
      <c r="E4362" s="4">
        <f>1+2+1</f>
        <v>4</v>
      </c>
      <c r="F4362" s="57">
        <f>E4362+F4338</f>
        <v>45</v>
      </c>
    </row>
    <row r="4363" spans="1:6" x14ac:dyDescent="0.25">
      <c r="A4363" s="5" t="s">
        <v>36</v>
      </c>
      <c r="B4363" s="19">
        <v>44074</v>
      </c>
      <c r="C4363" s="4">
        <v>2</v>
      </c>
      <c r="D4363" s="21">
        <f t="shared" ref="D4363:D4369" si="340">C4363+D4339</f>
        <v>223</v>
      </c>
      <c r="F4363" s="57">
        <f>E4363+F4339</f>
        <v>0</v>
      </c>
    </row>
    <row r="4364" spans="1:6" x14ac:dyDescent="0.25">
      <c r="A4364" s="5" t="s">
        <v>37</v>
      </c>
      <c r="B4364" s="19">
        <v>44074</v>
      </c>
      <c r="C4364" s="4">
        <v>62</v>
      </c>
      <c r="D4364" s="21">
        <f t="shared" si="340"/>
        <v>147</v>
      </c>
      <c r="F4364" s="57">
        <f>E4364+F4340</f>
        <v>0</v>
      </c>
    </row>
    <row r="4365" spans="1:6" x14ac:dyDescent="0.25">
      <c r="A4365" s="5" t="s">
        <v>38</v>
      </c>
      <c r="B4365" s="19">
        <v>44074</v>
      </c>
      <c r="C4365" s="4">
        <v>37</v>
      </c>
      <c r="D4365" s="21">
        <f t="shared" si="340"/>
        <v>1771</v>
      </c>
      <c r="F4365" s="57">
        <f t="shared" ref="F4365:F4370" si="341">E4365+F4341</f>
        <v>13</v>
      </c>
    </row>
    <row r="4366" spans="1:6" x14ac:dyDescent="0.25">
      <c r="A4366" s="5" t="s">
        <v>23</v>
      </c>
      <c r="B4366" s="19">
        <v>44074</v>
      </c>
      <c r="C4366" s="4">
        <v>475</v>
      </c>
      <c r="D4366" s="21">
        <f t="shared" si="340"/>
        <v>7905</v>
      </c>
      <c r="E4366" s="4">
        <f>1+6+3</f>
        <v>10</v>
      </c>
      <c r="F4366" s="57">
        <f t="shared" si="341"/>
        <v>90</v>
      </c>
    </row>
    <row r="4367" spans="1:6" x14ac:dyDescent="0.25">
      <c r="A4367" s="5" t="s">
        <v>39</v>
      </c>
      <c r="B4367" s="19">
        <v>44074</v>
      </c>
      <c r="C4367" s="4">
        <v>40</v>
      </c>
      <c r="D4367" s="21">
        <f t="shared" si="340"/>
        <v>938</v>
      </c>
      <c r="E4367" s="4">
        <f>1</f>
        <v>1</v>
      </c>
      <c r="F4367" s="57">
        <f t="shared" si="341"/>
        <v>11</v>
      </c>
    </row>
    <row r="4368" spans="1:6" x14ac:dyDescent="0.25">
      <c r="A4368" s="5" t="s">
        <v>40</v>
      </c>
      <c r="B4368" s="19">
        <v>44074</v>
      </c>
      <c r="C4368" s="4">
        <v>38</v>
      </c>
      <c r="D4368" s="21">
        <f t="shared" si="340"/>
        <v>2020</v>
      </c>
      <c r="E4368" s="4">
        <f>1</f>
        <v>1</v>
      </c>
      <c r="F4368" s="57">
        <f t="shared" si="341"/>
        <v>29</v>
      </c>
    </row>
    <row r="4369" spans="1:6" x14ac:dyDescent="0.25">
      <c r="A4369" s="5" t="s">
        <v>41</v>
      </c>
      <c r="B4369" s="19">
        <v>44074</v>
      </c>
      <c r="C4369" s="4">
        <v>250</v>
      </c>
      <c r="D4369" s="21">
        <f t="shared" si="340"/>
        <v>2243</v>
      </c>
      <c r="E4369" s="4">
        <f>1</f>
        <v>1</v>
      </c>
      <c r="F4369" s="57">
        <f t="shared" si="341"/>
        <v>14</v>
      </c>
    </row>
    <row r="4370" spans="1:6" x14ac:dyDescent="0.25">
      <c r="A4370" s="42" t="s">
        <v>17</v>
      </c>
      <c r="B4370" s="19">
        <v>44075</v>
      </c>
      <c r="C4370" s="4">
        <v>6157</v>
      </c>
      <c r="D4370" s="21">
        <f>C4370+D4346</f>
        <v>264950</v>
      </c>
      <c r="E4370" s="4">
        <v>176</v>
      </c>
      <c r="F4370" s="57">
        <f t="shared" si="341"/>
        <v>5333</v>
      </c>
    </row>
    <row r="4371" spans="1:6" x14ac:dyDescent="0.25">
      <c r="A4371" s="5" t="s">
        <v>44</v>
      </c>
      <c r="B4371" s="19">
        <v>44075</v>
      </c>
      <c r="C4371" s="4">
        <v>1395</v>
      </c>
      <c r="D4371" s="21">
        <f t="shared" ref="D4371:D4383" si="342">C4371+D4347</f>
        <v>96999</v>
      </c>
      <c r="E4371" s="4">
        <v>53</v>
      </c>
      <c r="F4371" s="57">
        <f t="shared" ref="F4371:F4409" si="343">E4371+F4347</f>
        <v>2292</v>
      </c>
    </row>
    <row r="4372" spans="1:6" x14ac:dyDescent="0.25">
      <c r="A4372" s="5" t="s">
        <v>29</v>
      </c>
      <c r="B4372" s="19">
        <v>44075</v>
      </c>
      <c r="C4372" s="4">
        <v>1</v>
      </c>
      <c r="D4372" s="21">
        <f t="shared" si="342"/>
        <v>67</v>
      </c>
      <c r="F4372" s="57">
        <f t="shared" si="343"/>
        <v>0</v>
      </c>
    </row>
    <row r="4373" spans="1:6" x14ac:dyDescent="0.25">
      <c r="A4373" s="5" t="s">
        <v>16</v>
      </c>
      <c r="B4373" s="19">
        <v>44075</v>
      </c>
      <c r="C4373" s="4">
        <v>75</v>
      </c>
      <c r="D4373" s="21">
        <f t="shared" si="342"/>
        <v>5492</v>
      </c>
      <c r="F4373" s="57">
        <f t="shared" si="343"/>
        <v>216</v>
      </c>
    </row>
    <row r="4374" spans="1:6" x14ac:dyDescent="0.25">
      <c r="A4374" s="5" t="s">
        <v>30</v>
      </c>
      <c r="B4374" s="19">
        <v>44075</v>
      </c>
      <c r="C4374" s="4">
        <v>56</v>
      </c>
      <c r="D4374" s="21">
        <f t="shared" si="342"/>
        <v>955</v>
      </c>
      <c r="F4374" s="57">
        <f t="shared" si="343"/>
        <v>7</v>
      </c>
    </row>
    <row r="4375" spans="1:6" x14ac:dyDescent="0.25">
      <c r="A4375" s="5" t="s">
        <v>21</v>
      </c>
      <c r="B4375" s="19">
        <v>44075</v>
      </c>
      <c r="C4375" s="4">
        <v>392</v>
      </c>
      <c r="D4375" s="21">
        <f t="shared" si="342"/>
        <v>8914</v>
      </c>
      <c r="E4375" s="4">
        <f>1+1</f>
        <v>2</v>
      </c>
      <c r="F4375" s="57">
        <f t="shared" si="343"/>
        <v>127</v>
      </c>
    </row>
    <row r="4376" spans="1:6" x14ac:dyDescent="0.25">
      <c r="A4376" s="5" t="s">
        <v>31</v>
      </c>
      <c r="B4376" s="19">
        <v>44075</v>
      </c>
      <c r="C4376" s="4">
        <v>3</v>
      </c>
      <c r="D4376" s="21">
        <f t="shared" si="342"/>
        <v>314</v>
      </c>
      <c r="F4376" s="57">
        <f t="shared" si="343"/>
        <v>5</v>
      </c>
    </row>
    <row r="4377" spans="1:6" x14ac:dyDescent="0.25">
      <c r="A4377" s="5" t="s">
        <v>32</v>
      </c>
      <c r="B4377" s="19">
        <v>44075</v>
      </c>
      <c r="C4377" s="4">
        <v>312</v>
      </c>
      <c r="D4377" s="21">
        <f t="shared" si="342"/>
        <v>3650</v>
      </c>
      <c r="E4377" s="4">
        <f>1+1</f>
        <v>2</v>
      </c>
      <c r="F4377" s="57">
        <f t="shared" si="343"/>
        <v>49</v>
      </c>
    </row>
    <row r="4378" spans="1:6" x14ac:dyDescent="0.25">
      <c r="A4378" s="5" t="s">
        <v>42</v>
      </c>
      <c r="B4378" s="19">
        <v>44075</v>
      </c>
      <c r="C4378" s="4">
        <v>-1</v>
      </c>
      <c r="D4378" s="21">
        <f t="shared" si="342"/>
        <v>83</v>
      </c>
      <c r="F4378" s="57">
        <f>E4378+F4354</f>
        <v>1</v>
      </c>
    </row>
    <row r="4379" spans="1:6" x14ac:dyDescent="0.25">
      <c r="A4379" s="5" t="s">
        <v>33</v>
      </c>
      <c r="B4379" s="19">
        <v>44075</v>
      </c>
      <c r="C4379" s="4">
        <v>124</v>
      </c>
      <c r="D4379" s="21">
        <f t="shared" si="342"/>
        <v>8542</v>
      </c>
      <c r="F4379" s="57">
        <f t="shared" si="343"/>
        <v>196</v>
      </c>
    </row>
    <row r="4380" spans="1:6" x14ac:dyDescent="0.25">
      <c r="A4380" s="5" t="s">
        <v>34</v>
      </c>
      <c r="B4380" s="19">
        <v>44075</v>
      </c>
      <c r="C4380" s="4">
        <v>8</v>
      </c>
      <c r="D4380" s="21">
        <f t="shared" si="342"/>
        <v>212</v>
      </c>
      <c r="E4380" s="4">
        <f>1</f>
        <v>1</v>
      </c>
      <c r="F4380" s="57">
        <f t="shared" si="343"/>
        <v>3</v>
      </c>
    </row>
    <row r="4381" spans="1:6" x14ac:dyDescent="0.25">
      <c r="A4381" s="5" t="s">
        <v>22</v>
      </c>
      <c r="B4381" s="19">
        <v>44075</v>
      </c>
      <c r="C4381" s="4">
        <v>40</v>
      </c>
      <c r="D4381" s="21">
        <f t="shared" si="342"/>
        <v>1628</v>
      </c>
      <c r="E4381" s="4">
        <f>2+6</f>
        <v>8</v>
      </c>
      <c r="F4381" s="57">
        <f t="shared" si="343"/>
        <v>39</v>
      </c>
    </row>
    <row r="4382" spans="1:6" x14ac:dyDescent="0.25">
      <c r="A4382" s="5" t="s">
        <v>18</v>
      </c>
      <c r="B4382" s="19">
        <v>44075</v>
      </c>
      <c r="C4382" s="4">
        <v>361</v>
      </c>
      <c r="D4382" s="21">
        <f t="shared" si="342"/>
        <v>7191</v>
      </c>
      <c r="E4382" s="4">
        <f>2+1</f>
        <v>3</v>
      </c>
      <c r="F4382" s="57">
        <f t="shared" si="343"/>
        <v>81</v>
      </c>
    </row>
    <row r="4383" spans="1:6" x14ac:dyDescent="0.25">
      <c r="A4383" s="5" t="s">
        <v>24</v>
      </c>
      <c r="B4383" s="19">
        <v>44075</v>
      </c>
      <c r="C4383" s="4">
        <v>4</v>
      </c>
      <c r="D4383" s="21">
        <f t="shared" si="342"/>
        <v>66</v>
      </c>
      <c r="F4383" s="57">
        <f t="shared" si="343"/>
        <v>2</v>
      </c>
    </row>
    <row r="4384" spans="1:6" x14ac:dyDescent="0.25">
      <c r="A4384" s="5" t="s">
        <v>20</v>
      </c>
      <c r="B4384" s="19">
        <v>44075</v>
      </c>
      <c r="C4384" s="4">
        <v>136</v>
      </c>
      <c r="D4384" s="21">
        <f>C4384+D4360</f>
        <v>3172</v>
      </c>
      <c r="E4384" s="4">
        <f>1+1+1</f>
        <v>3</v>
      </c>
      <c r="F4384" s="57">
        <f t="shared" si="343"/>
        <v>26</v>
      </c>
    </row>
    <row r="4385" spans="1:6" x14ac:dyDescent="0.25">
      <c r="A4385" s="5" t="s">
        <v>19</v>
      </c>
      <c r="B4385" s="19">
        <v>44075</v>
      </c>
      <c r="C4385" s="4">
        <v>179</v>
      </c>
      <c r="D4385" s="21">
        <f>C4385+D4361</f>
        <v>6175</v>
      </c>
      <c r="E4385" s="4">
        <f>2+1</f>
        <v>3</v>
      </c>
      <c r="F4385" s="57">
        <f t="shared" si="343"/>
        <v>98</v>
      </c>
    </row>
    <row r="4386" spans="1:6" x14ac:dyDescent="0.25">
      <c r="A4386" s="5" t="s">
        <v>35</v>
      </c>
      <c r="B4386" s="19">
        <v>44075</v>
      </c>
      <c r="C4386" s="4">
        <v>183</v>
      </c>
      <c r="D4386" s="21">
        <f>C4386+D4362</f>
        <v>3503</v>
      </c>
      <c r="F4386" s="57">
        <f>E4386+F4362</f>
        <v>45</v>
      </c>
    </row>
    <row r="4387" spans="1:6" x14ac:dyDescent="0.25">
      <c r="A4387" s="5" t="s">
        <v>36</v>
      </c>
      <c r="B4387" s="19">
        <v>44075</v>
      </c>
      <c r="C4387" s="4">
        <v>0</v>
      </c>
      <c r="D4387" s="21">
        <f t="shared" ref="D4387:D4393" si="344">C4387+D4363</f>
        <v>223</v>
      </c>
      <c r="F4387" s="57">
        <f>E4387+F4363</f>
        <v>0</v>
      </c>
    </row>
    <row r="4388" spans="1:6" x14ac:dyDescent="0.25">
      <c r="A4388" s="5" t="s">
        <v>37</v>
      </c>
      <c r="B4388" s="19">
        <v>44075</v>
      </c>
      <c r="C4388" s="4">
        <v>9</v>
      </c>
      <c r="D4388" s="21">
        <f t="shared" si="344"/>
        <v>156</v>
      </c>
      <c r="F4388" s="57">
        <f t="shared" si="343"/>
        <v>0</v>
      </c>
    </row>
    <row r="4389" spans="1:6" x14ac:dyDescent="0.25">
      <c r="A4389" s="5" t="s">
        <v>38</v>
      </c>
      <c r="B4389" s="19">
        <v>44075</v>
      </c>
      <c r="C4389" s="4">
        <v>37</v>
      </c>
      <c r="D4389" s="21">
        <f t="shared" si="344"/>
        <v>1808</v>
      </c>
      <c r="E4389" s="4">
        <f>1</f>
        <v>1</v>
      </c>
      <c r="F4389" s="57">
        <f t="shared" ref="F4389:F4395" si="345">E4389+F4365</f>
        <v>14</v>
      </c>
    </row>
    <row r="4390" spans="1:6" x14ac:dyDescent="0.25">
      <c r="A4390" s="5" t="s">
        <v>23</v>
      </c>
      <c r="B4390" s="19">
        <v>44075</v>
      </c>
      <c r="C4390" s="4">
        <v>677</v>
      </c>
      <c r="D4390" s="21">
        <f t="shared" si="344"/>
        <v>8582</v>
      </c>
      <c r="E4390" s="4">
        <f>1+1+1+2</f>
        <v>5</v>
      </c>
      <c r="F4390" s="57">
        <f t="shared" si="345"/>
        <v>95</v>
      </c>
    </row>
    <row r="4391" spans="1:6" x14ac:dyDescent="0.25">
      <c r="A4391" s="5" t="s">
        <v>39</v>
      </c>
      <c r="B4391" s="19">
        <v>44075</v>
      </c>
      <c r="C4391" s="4">
        <v>38</v>
      </c>
      <c r="D4391" s="21">
        <f t="shared" si="344"/>
        <v>976</v>
      </c>
      <c r="E4391" s="4">
        <f>1+1</f>
        <v>2</v>
      </c>
      <c r="F4391" s="57">
        <f t="shared" si="345"/>
        <v>13</v>
      </c>
    </row>
    <row r="4392" spans="1:6" x14ac:dyDescent="0.25">
      <c r="A4392" s="5" t="s">
        <v>40</v>
      </c>
      <c r="B4392" s="19">
        <v>44075</v>
      </c>
      <c r="C4392" s="4">
        <v>82</v>
      </c>
      <c r="D4392" s="21">
        <f t="shared" si="344"/>
        <v>2102</v>
      </c>
      <c r="F4392" s="57">
        <f t="shared" si="345"/>
        <v>29</v>
      </c>
    </row>
    <row r="4393" spans="1:6" x14ac:dyDescent="0.25">
      <c r="A4393" s="5" t="s">
        <v>41</v>
      </c>
      <c r="B4393" s="19">
        <v>44075</v>
      </c>
      <c r="C4393" s="4">
        <v>236</v>
      </c>
      <c r="D4393" s="21">
        <f t="shared" si="344"/>
        <v>2479</v>
      </c>
      <c r="F4393" s="57">
        <f t="shared" si="345"/>
        <v>14</v>
      </c>
    </row>
    <row r="4394" spans="1:6" x14ac:dyDescent="0.25">
      <c r="A4394" s="42" t="s">
        <v>17</v>
      </c>
      <c r="B4394" s="19">
        <v>44076</v>
      </c>
      <c r="C4394" s="4">
        <v>6235</v>
      </c>
      <c r="D4394" s="21">
        <f>C4394+D4370</f>
        <v>271185</v>
      </c>
      <c r="E4394" s="4">
        <f>22+12+45+30</f>
        <v>109</v>
      </c>
      <c r="F4394" s="57">
        <f t="shared" si="345"/>
        <v>5442</v>
      </c>
    </row>
    <row r="4395" spans="1:6" x14ac:dyDescent="0.25">
      <c r="A4395" s="5" t="s">
        <v>44</v>
      </c>
      <c r="B4395" s="19">
        <v>44076</v>
      </c>
      <c r="C4395" s="4">
        <v>1346</v>
      </c>
      <c r="D4395" s="21">
        <f t="shared" ref="D4395:D4407" si="346">C4395+D4371</f>
        <v>98345</v>
      </c>
      <c r="E4395" s="4">
        <v>47</v>
      </c>
      <c r="F4395" s="57">
        <f t="shared" si="345"/>
        <v>2339</v>
      </c>
    </row>
    <row r="4396" spans="1:6" x14ac:dyDescent="0.25">
      <c r="A4396" s="5" t="s">
        <v>29</v>
      </c>
      <c r="B4396" s="19">
        <v>44076</v>
      </c>
      <c r="C4396" s="4">
        <v>0</v>
      </c>
      <c r="D4396" s="21">
        <f t="shared" si="346"/>
        <v>67</v>
      </c>
      <c r="F4396" s="57">
        <f t="shared" si="343"/>
        <v>0</v>
      </c>
    </row>
    <row r="4397" spans="1:6" x14ac:dyDescent="0.25">
      <c r="A4397" s="5" t="s">
        <v>16</v>
      </c>
      <c r="B4397" s="19">
        <v>44076</v>
      </c>
      <c r="C4397" s="4">
        <v>84</v>
      </c>
      <c r="D4397" s="21">
        <f t="shared" si="346"/>
        <v>5576</v>
      </c>
      <c r="F4397" s="57">
        <f t="shared" si="343"/>
        <v>216</v>
      </c>
    </row>
    <row r="4398" spans="1:6" x14ac:dyDescent="0.25">
      <c r="A4398" s="5" t="s">
        <v>30</v>
      </c>
      <c r="B4398" s="19">
        <v>44076</v>
      </c>
      <c r="C4398" s="4">
        <v>28</v>
      </c>
      <c r="D4398" s="21">
        <f t="shared" si="346"/>
        <v>983</v>
      </c>
      <c r="F4398" s="57">
        <f t="shared" si="343"/>
        <v>7</v>
      </c>
    </row>
    <row r="4399" spans="1:6" x14ac:dyDescent="0.25">
      <c r="A4399" s="5" t="s">
        <v>21</v>
      </c>
      <c r="B4399" s="19">
        <v>44076</v>
      </c>
      <c r="C4399" s="4">
        <v>480</v>
      </c>
      <c r="D4399" s="21">
        <f t="shared" si="346"/>
        <v>9394</v>
      </c>
      <c r="E4399" s="4">
        <f>1+1+3</f>
        <v>5</v>
      </c>
      <c r="F4399" s="57">
        <f t="shared" si="343"/>
        <v>132</v>
      </c>
    </row>
    <row r="4400" spans="1:6" x14ac:dyDescent="0.25">
      <c r="A4400" s="5" t="s">
        <v>31</v>
      </c>
      <c r="B4400" s="19">
        <v>44076</v>
      </c>
      <c r="C4400" s="4">
        <v>7</v>
      </c>
      <c r="D4400" s="21">
        <f t="shared" si="346"/>
        <v>321</v>
      </c>
      <c r="F4400" s="57">
        <f t="shared" si="343"/>
        <v>5</v>
      </c>
    </row>
    <row r="4401" spans="1:6" x14ac:dyDescent="0.25">
      <c r="A4401" s="5" t="s">
        <v>32</v>
      </c>
      <c r="B4401" s="19">
        <v>44076</v>
      </c>
      <c r="C4401" s="4">
        <v>188</v>
      </c>
      <c r="D4401" s="21">
        <f t="shared" si="346"/>
        <v>3838</v>
      </c>
      <c r="E4401" s="4">
        <f>4+1</f>
        <v>5</v>
      </c>
      <c r="F4401" s="57">
        <f t="shared" si="343"/>
        <v>54</v>
      </c>
    </row>
    <row r="4402" spans="1:6" x14ac:dyDescent="0.25">
      <c r="A4402" s="5" t="s">
        <v>42</v>
      </c>
      <c r="B4402" s="19">
        <v>44076</v>
      </c>
      <c r="C4402" s="4">
        <v>1</v>
      </c>
      <c r="D4402" s="21">
        <f t="shared" si="346"/>
        <v>84</v>
      </c>
      <c r="F4402" s="57">
        <f>E4402+F4378</f>
        <v>1</v>
      </c>
    </row>
    <row r="4403" spans="1:6" x14ac:dyDescent="0.25">
      <c r="A4403" s="5" t="s">
        <v>33</v>
      </c>
      <c r="B4403" s="19">
        <v>44076</v>
      </c>
      <c r="C4403" s="4">
        <v>318</v>
      </c>
      <c r="D4403" s="21">
        <f t="shared" si="346"/>
        <v>8860</v>
      </c>
      <c r="E4403" s="4">
        <f>2+3+6</f>
        <v>11</v>
      </c>
      <c r="F4403" s="57">
        <f t="shared" si="343"/>
        <v>207</v>
      </c>
    </row>
    <row r="4404" spans="1:6" x14ac:dyDescent="0.25">
      <c r="A4404" s="5" t="s">
        <v>34</v>
      </c>
      <c r="B4404" s="19">
        <v>44076</v>
      </c>
      <c r="C4404" s="4">
        <v>1</v>
      </c>
      <c r="D4404" s="21">
        <f t="shared" si="346"/>
        <v>213</v>
      </c>
      <c r="F4404" s="57">
        <f t="shared" si="343"/>
        <v>3</v>
      </c>
    </row>
    <row r="4405" spans="1:6" x14ac:dyDescent="0.25">
      <c r="A4405" s="5" t="s">
        <v>22</v>
      </c>
      <c r="B4405" s="19">
        <v>44076</v>
      </c>
      <c r="C4405" s="4">
        <v>67</v>
      </c>
      <c r="D4405" s="21">
        <f t="shared" si="346"/>
        <v>1695</v>
      </c>
      <c r="F4405" s="57">
        <f t="shared" si="343"/>
        <v>39</v>
      </c>
    </row>
    <row r="4406" spans="1:6" x14ac:dyDescent="0.25">
      <c r="A4406" s="5" t="s">
        <v>18</v>
      </c>
      <c r="B4406" s="19">
        <v>44076</v>
      </c>
      <c r="C4406" s="4">
        <v>413</v>
      </c>
      <c r="D4406" s="21">
        <f t="shared" si="346"/>
        <v>7604</v>
      </c>
      <c r="E4406" s="4">
        <f>1+2+1</f>
        <v>4</v>
      </c>
      <c r="F4406" s="57">
        <f t="shared" si="343"/>
        <v>85</v>
      </c>
    </row>
    <row r="4407" spans="1:6" x14ac:dyDescent="0.25">
      <c r="A4407" s="5" t="s">
        <v>24</v>
      </c>
      <c r="B4407" s="19">
        <v>44076</v>
      </c>
      <c r="C4407" s="4">
        <v>-2</v>
      </c>
      <c r="D4407" s="21">
        <f t="shared" si="346"/>
        <v>64</v>
      </c>
      <c r="F4407" s="57">
        <f t="shared" si="343"/>
        <v>2</v>
      </c>
    </row>
    <row r="4408" spans="1:6" x14ac:dyDescent="0.25">
      <c r="A4408" s="5" t="s">
        <v>20</v>
      </c>
      <c r="B4408" s="19">
        <v>44076</v>
      </c>
      <c r="C4408" s="4">
        <v>91</v>
      </c>
      <c r="D4408" s="21">
        <f>C4408+D4384</f>
        <v>3263</v>
      </c>
      <c r="F4408" s="57">
        <f t="shared" si="343"/>
        <v>26</v>
      </c>
    </row>
    <row r="4409" spans="1:6" x14ac:dyDescent="0.25">
      <c r="A4409" s="5" t="s">
        <v>19</v>
      </c>
      <c r="B4409" s="19">
        <v>44076</v>
      </c>
      <c r="C4409" s="4">
        <v>173</v>
      </c>
      <c r="D4409" s="21">
        <f>C4409+D4385</f>
        <v>6348</v>
      </c>
      <c r="E4409" s="4">
        <f>1+6</f>
        <v>7</v>
      </c>
      <c r="F4409" s="57">
        <f t="shared" si="343"/>
        <v>105</v>
      </c>
    </row>
    <row r="4410" spans="1:6" x14ac:dyDescent="0.25">
      <c r="A4410" s="5" t="s">
        <v>35</v>
      </c>
      <c r="B4410" s="19">
        <v>44076</v>
      </c>
      <c r="C4410" s="4">
        <v>184</v>
      </c>
      <c r="D4410" s="21">
        <f>C4410+D4386</f>
        <v>3687</v>
      </c>
      <c r="E4410" s="4">
        <f>1</f>
        <v>1</v>
      </c>
      <c r="F4410" s="57">
        <f>E4410+F4386</f>
        <v>46</v>
      </c>
    </row>
    <row r="4411" spans="1:6" x14ac:dyDescent="0.25">
      <c r="A4411" s="5" t="s">
        <v>36</v>
      </c>
      <c r="B4411" s="19">
        <v>44076</v>
      </c>
      <c r="C4411" s="4">
        <v>32</v>
      </c>
      <c r="D4411" s="21">
        <f t="shared" ref="D4411:D4417" si="347">C4411+D4387</f>
        <v>255</v>
      </c>
      <c r="F4411" s="57">
        <f>E4411+F4387</f>
        <v>0</v>
      </c>
    </row>
    <row r="4412" spans="1:6" x14ac:dyDescent="0.25">
      <c r="A4412" s="5" t="s">
        <v>37</v>
      </c>
      <c r="B4412" s="19">
        <v>44076</v>
      </c>
      <c r="C4412" s="4">
        <v>21</v>
      </c>
      <c r="D4412" s="21">
        <f t="shared" si="347"/>
        <v>177</v>
      </c>
      <c r="F4412" s="57">
        <f>E4412+F4388</f>
        <v>0</v>
      </c>
    </row>
    <row r="4413" spans="1:6" x14ac:dyDescent="0.25">
      <c r="A4413" s="5" t="s">
        <v>38</v>
      </c>
      <c r="B4413" s="19">
        <v>44076</v>
      </c>
      <c r="C4413" s="4">
        <v>107</v>
      </c>
      <c r="D4413" s="21">
        <f t="shared" si="347"/>
        <v>1915</v>
      </c>
      <c r="E4413" s="4">
        <f>1</f>
        <v>1</v>
      </c>
      <c r="F4413" s="57">
        <f t="shared" ref="F4413:F4418" si="348">E4413+F4389</f>
        <v>15</v>
      </c>
    </row>
    <row r="4414" spans="1:6" x14ac:dyDescent="0.25">
      <c r="A4414" s="5" t="s">
        <v>23</v>
      </c>
      <c r="B4414" s="19">
        <v>44076</v>
      </c>
      <c r="C4414" s="4">
        <v>747</v>
      </c>
      <c r="D4414" s="21">
        <f t="shared" si="347"/>
        <v>9329</v>
      </c>
      <c r="E4414" s="4">
        <f>1+3+2</f>
        <v>6</v>
      </c>
      <c r="F4414" s="57">
        <f t="shared" si="348"/>
        <v>101</v>
      </c>
    </row>
    <row r="4415" spans="1:6" x14ac:dyDescent="0.25">
      <c r="A4415" s="5" t="s">
        <v>39</v>
      </c>
      <c r="B4415" s="19">
        <v>44076</v>
      </c>
      <c r="C4415" s="4">
        <v>55</v>
      </c>
      <c r="D4415" s="21">
        <f t="shared" si="347"/>
        <v>1031</v>
      </c>
      <c r="F4415" s="57">
        <f t="shared" si="348"/>
        <v>13</v>
      </c>
    </row>
    <row r="4416" spans="1:6" x14ac:dyDescent="0.25">
      <c r="A4416" s="5" t="s">
        <v>40</v>
      </c>
      <c r="B4416" s="19">
        <v>44076</v>
      </c>
      <c r="C4416" s="4">
        <v>33</v>
      </c>
      <c r="D4416" s="21">
        <f t="shared" si="347"/>
        <v>2135</v>
      </c>
      <c r="E4416" s="4">
        <f>2</f>
        <v>2</v>
      </c>
      <c r="F4416" s="57">
        <f t="shared" si="348"/>
        <v>31</v>
      </c>
    </row>
    <row r="4417" spans="1:6" x14ac:dyDescent="0.25">
      <c r="A4417" s="5" t="s">
        <v>41</v>
      </c>
      <c r="B4417" s="19">
        <v>44076</v>
      </c>
      <c r="C4417" s="4">
        <v>324</v>
      </c>
      <c r="D4417" s="21">
        <f t="shared" si="347"/>
        <v>2803</v>
      </c>
      <c r="F4417" s="57">
        <f t="shared" si="348"/>
        <v>14</v>
      </c>
    </row>
    <row r="4418" spans="1:6" x14ac:dyDescent="0.25">
      <c r="A4418" s="42" t="s">
        <v>17</v>
      </c>
      <c r="B4418" s="19">
        <v>44077</v>
      </c>
      <c r="C4418" s="4">
        <v>6990</v>
      </c>
      <c r="D4418" s="21">
        <f>C4418+D4394</f>
        <v>278175</v>
      </c>
      <c r="E4418" s="4">
        <v>182</v>
      </c>
      <c r="F4418" s="57">
        <f t="shared" si="348"/>
        <v>5624</v>
      </c>
    </row>
    <row r="4419" spans="1:6" x14ac:dyDescent="0.25">
      <c r="A4419" s="5" t="s">
        <v>44</v>
      </c>
      <c r="B4419" s="19">
        <v>44077</v>
      </c>
      <c r="C4419" s="4">
        <v>1411</v>
      </c>
      <c r="D4419" s="21">
        <f t="shared" ref="D4419:D4431" si="349">C4419+D4395</f>
        <v>99756</v>
      </c>
      <c r="E4419" s="4">
        <f>4+10+17</f>
        <v>31</v>
      </c>
      <c r="F4419" s="57">
        <f t="shared" ref="F4419:F4457" si="350">E4419+F4395</f>
        <v>2370</v>
      </c>
    </row>
    <row r="4420" spans="1:6" x14ac:dyDescent="0.25">
      <c r="A4420" s="5" t="s">
        <v>29</v>
      </c>
      <c r="B4420" s="19">
        <v>44077</v>
      </c>
      <c r="C4420" s="4">
        <v>3</v>
      </c>
      <c r="D4420" s="21">
        <f t="shared" si="349"/>
        <v>70</v>
      </c>
      <c r="F4420" s="57">
        <f t="shared" si="350"/>
        <v>0</v>
      </c>
    </row>
    <row r="4421" spans="1:6" x14ac:dyDescent="0.25">
      <c r="A4421" s="5" t="s">
        <v>16</v>
      </c>
      <c r="B4421" s="19">
        <v>44077</v>
      </c>
      <c r="C4421" s="4">
        <v>106</v>
      </c>
      <c r="D4421" s="21">
        <f t="shared" si="349"/>
        <v>5682</v>
      </c>
      <c r="E4421" s="4">
        <v>3</v>
      </c>
      <c r="F4421" s="57">
        <f t="shared" si="350"/>
        <v>219</v>
      </c>
    </row>
    <row r="4422" spans="1:6" x14ac:dyDescent="0.25">
      <c r="A4422" s="5" t="s">
        <v>30</v>
      </c>
      <c r="B4422" s="19">
        <v>44077</v>
      </c>
      <c r="C4422" s="4">
        <v>79</v>
      </c>
      <c r="D4422" s="21">
        <f t="shared" si="349"/>
        <v>1062</v>
      </c>
      <c r="F4422" s="57">
        <f t="shared" si="350"/>
        <v>7</v>
      </c>
    </row>
    <row r="4423" spans="1:6" x14ac:dyDescent="0.25">
      <c r="A4423" s="5" t="s">
        <v>21</v>
      </c>
      <c r="B4423" s="19">
        <v>44077</v>
      </c>
      <c r="C4423" s="4">
        <v>449</v>
      </c>
      <c r="D4423" s="21">
        <f t="shared" si="349"/>
        <v>9843</v>
      </c>
      <c r="E4423" s="4">
        <f>1+5+1</f>
        <v>7</v>
      </c>
      <c r="F4423" s="57">
        <f t="shared" si="350"/>
        <v>139</v>
      </c>
    </row>
    <row r="4424" spans="1:6" x14ac:dyDescent="0.25">
      <c r="A4424" s="5" t="s">
        <v>31</v>
      </c>
      <c r="B4424" s="19">
        <v>44077</v>
      </c>
      <c r="C4424" s="4">
        <v>9</v>
      </c>
      <c r="D4424" s="21">
        <f t="shared" si="349"/>
        <v>330</v>
      </c>
      <c r="F4424" s="57">
        <f t="shared" si="350"/>
        <v>5</v>
      </c>
    </row>
    <row r="4425" spans="1:6" x14ac:dyDescent="0.25">
      <c r="A4425" s="5" t="s">
        <v>32</v>
      </c>
      <c r="B4425" s="19">
        <v>44077</v>
      </c>
      <c r="C4425" s="4">
        <v>109</v>
      </c>
      <c r="D4425" s="21">
        <f t="shared" si="349"/>
        <v>3947</v>
      </c>
      <c r="F4425" s="57">
        <f t="shared" si="350"/>
        <v>54</v>
      </c>
    </row>
    <row r="4426" spans="1:6" x14ac:dyDescent="0.25">
      <c r="A4426" s="5" t="s">
        <v>42</v>
      </c>
      <c r="B4426" s="19">
        <v>44077</v>
      </c>
      <c r="C4426" s="4">
        <v>4</v>
      </c>
      <c r="D4426" s="21">
        <f t="shared" si="349"/>
        <v>88</v>
      </c>
      <c r="F4426" s="57">
        <f>E4426+F4402</f>
        <v>1</v>
      </c>
    </row>
    <row r="4427" spans="1:6" x14ac:dyDescent="0.25">
      <c r="A4427" s="5" t="s">
        <v>33</v>
      </c>
      <c r="B4427" s="19">
        <v>44077</v>
      </c>
      <c r="C4427" s="4">
        <v>357</v>
      </c>
      <c r="D4427" s="21">
        <f t="shared" si="349"/>
        <v>9217</v>
      </c>
      <c r="E4427" s="4">
        <f>2+1</f>
        <v>3</v>
      </c>
      <c r="F4427" s="57">
        <f t="shared" si="350"/>
        <v>210</v>
      </c>
    </row>
    <row r="4428" spans="1:6" x14ac:dyDescent="0.25">
      <c r="A4428" s="5" t="s">
        <v>34</v>
      </c>
      <c r="B4428" s="19">
        <v>44077</v>
      </c>
      <c r="C4428" s="4">
        <v>1</v>
      </c>
      <c r="D4428" s="21">
        <f t="shared" si="349"/>
        <v>214</v>
      </c>
      <c r="E4428" s="4">
        <f>1</f>
        <v>1</v>
      </c>
      <c r="F4428" s="57">
        <f t="shared" si="350"/>
        <v>4</v>
      </c>
    </row>
    <row r="4429" spans="1:6" x14ac:dyDescent="0.25">
      <c r="A4429" s="5" t="s">
        <v>22</v>
      </c>
      <c r="B4429" s="19">
        <v>44077</v>
      </c>
      <c r="C4429" s="4">
        <v>93</v>
      </c>
      <c r="D4429" s="21">
        <f t="shared" si="349"/>
        <v>1788</v>
      </c>
      <c r="F4429" s="57">
        <f t="shared" si="350"/>
        <v>39</v>
      </c>
    </row>
    <row r="4430" spans="1:6" x14ac:dyDescent="0.25">
      <c r="A4430" s="5" t="s">
        <v>18</v>
      </c>
      <c r="B4430" s="19">
        <v>44077</v>
      </c>
      <c r="C4430" s="4">
        <v>544</v>
      </c>
      <c r="D4430" s="21">
        <f t="shared" si="349"/>
        <v>8148</v>
      </c>
      <c r="E4430" s="4">
        <f>1</f>
        <v>1</v>
      </c>
      <c r="F4430" s="57">
        <f t="shared" si="350"/>
        <v>86</v>
      </c>
    </row>
    <row r="4431" spans="1:6" x14ac:dyDescent="0.25">
      <c r="A4431" s="5" t="s">
        <v>24</v>
      </c>
      <c r="B4431" s="19">
        <v>44077</v>
      </c>
      <c r="C4431" s="4">
        <v>0</v>
      </c>
      <c r="D4431" s="21">
        <f t="shared" si="349"/>
        <v>64</v>
      </c>
      <c r="F4431" s="57">
        <f t="shared" si="350"/>
        <v>2</v>
      </c>
    </row>
    <row r="4432" spans="1:6" x14ac:dyDescent="0.25">
      <c r="A4432" s="5" t="s">
        <v>20</v>
      </c>
      <c r="B4432" s="19">
        <v>44077</v>
      </c>
      <c r="C4432" s="4">
        <v>135</v>
      </c>
      <c r="D4432" s="21">
        <f>C4432+D4408</f>
        <v>3398</v>
      </c>
      <c r="E4432" s="4">
        <f>1+1+1</f>
        <v>3</v>
      </c>
      <c r="F4432" s="57">
        <f t="shared" si="350"/>
        <v>29</v>
      </c>
    </row>
    <row r="4433" spans="1:6" x14ac:dyDescent="0.25">
      <c r="A4433" s="5" t="s">
        <v>19</v>
      </c>
      <c r="B4433" s="19">
        <v>44077</v>
      </c>
      <c r="C4433" s="4">
        <v>158</v>
      </c>
      <c r="D4433" s="21">
        <f>C4433+D4409</f>
        <v>6506</v>
      </c>
      <c r="E4433" s="4">
        <f>2+4</f>
        <v>6</v>
      </c>
      <c r="F4433" s="57">
        <f t="shared" si="350"/>
        <v>111</v>
      </c>
    </row>
    <row r="4434" spans="1:6" x14ac:dyDescent="0.25">
      <c r="A4434" s="5" t="s">
        <v>35</v>
      </c>
      <c r="B4434" s="19">
        <v>44077</v>
      </c>
      <c r="C4434" s="4">
        <v>241</v>
      </c>
      <c r="D4434" s="21">
        <f>C4434+D4410</f>
        <v>3928</v>
      </c>
      <c r="E4434" s="4">
        <f>1</f>
        <v>1</v>
      </c>
      <c r="F4434" s="57">
        <f>E4434+F4410</f>
        <v>47</v>
      </c>
    </row>
    <row r="4435" spans="1:6" x14ac:dyDescent="0.25">
      <c r="A4435" s="5" t="s">
        <v>36</v>
      </c>
      <c r="B4435" s="19">
        <v>44077</v>
      </c>
      <c r="C4435" s="4">
        <v>74</v>
      </c>
      <c r="D4435" s="21">
        <f t="shared" ref="D4435:D4441" si="351">C4435+D4411</f>
        <v>329</v>
      </c>
      <c r="F4435" s="57">
        <f>E4435+F4411</f>
        <v>0</v>
      </c>
    </row>
    <row r="4436" spans="1:6" x14ac:dyDescent="0.25">
      <c r="A4436" s="5" t="s">
        <v>37</v>
      </c>
      <c r="B4436" s="19">
        <v>44077</v>
      </c>
      <c r="C4436" s="4">
        <v>18</v>
      </c>
      <c r="D4436" s="21">
        <f t="shared" si="351"/>
        <v>195</v>
      </c>
      <c r="F4436" s="57">
        <f t="shared" si="350"/>
        <v>0</v>
      </c>
    </row>
    <row r="4437" spans="1:6" x14ac:dyDescent="0.25">
      <c r="A4437" s="5" t="s">
        <v>38</v>
      </c>
      <c r="B4437" s="19">
        <v>44077</v>
      </c>
      <c r="C4437" s="4">
        <v>47</v>
      </c>
      <c r="D4437" s="21">
        <f t="shared" si="351"/>
        <v>1962</v>
      </c>
      <c r="F4437" s="57">
        <f t="shared" ref="F4437:F4442" si="352">E4437+F4413</f>
        <v>15</v>
      </c>
    </row>
    <row r="4438" spans="1:6" x14ac:dyDescent="0.25">
      <c r="A4438" s="5" t="s">
        <v>23</v>
      </c>
      <c r="B4438" s="19">
        <v>44077</v>
      </c>
      <c r="C4438" s="4">
        <v>764</v>
      </c>
      <c r="D4438" s="21">
        <f t="shared" si="351"/>
        <v>10093</v>
      </c>
      <c r="E4438" s="4">
        <f>3+2</f>
        <v>5</v>
      </c>
      <c r="F4438" s="57">
        <f t="shared" si="352"/>
        <v>106</v>
      </c>
    </row>
    <row r="4439" spans="1:6" x14ac:dyDescent="0.25">
      <c r="A4439" s="5" t="s">
        <v>39</v>
      </c>
      <c r="B4439" s="19">
        <v>44077</v>
      </c>
      <c r="C4439" s="4">
        <v>64</v>
      </c>
      <c r="D4439" s="21">
        <f t="shared" si="351"/>
        <v>1095</v>
      </c>
      <c r="F4439" s="57">
        <f t="shared" si="352"/>
        <v>13</v>
      </c>
    </row>
    <row r="4440" spans="1:6" x14ac:dyDescent="0.25">
      <c r="A4440" s="5" t="s">
        <v>40</v>
      </c>
      <c r="B4440" s="19">
        <v>44077</v>
      </c>
      <c r="C4440" s="4">
        <v>98</v>
      </c>
      <c r="D4440" s="21">
        <f t="shared" si="351"/>
        <v>2233</v>
      </c>
      <c r="E4440" s="4">
        <f>1</f>
        <v>1</v>
      </c>
      <c r="F4440" s="57">
        <f t="shared" si="352"/>
        <v>32</v>
      </c>
    </row>
    <row r="4441" spans="1:6" x14ac:dyDescent="0.25">
      <c r="A4441" s="5" t="s">
        <v>41</v>
      </c>
      <c r="B4441" s="19">
        <v>44077</v>
      </c>
      <c r="C4441" s="4">
        <v>272</v>
      </c>
      <c r="D4441" s="21">
        <f t="shared" si="351"/>
        <v>3075</v>
      </c>
      <c r="F4441" s="57">
        <f t="shared" si="352"/>
        <v>14</v>
      </c>
    </row>
    <row r="4442" spans="1:6" x14ac:dyDescent="0.25">
      <c r="A4442" s="42" t="s">
        <v>17</v>
      </c>
      <c r="B4442" s="19">
        <v>44078</v>
      </c>
      <c r="C4442" s="4">
        <v>5682</v>
      </c>
      <c r="D4442" s="21">
        <f>C4442+D4418</f>
        <v>283857</v>
      </c>
      <c r="E4442" s="4">
        <v>175</v>
      </c>
      <c r="F4442" s="57">
        <f t="shared" si="352"/>
        <v>5799</v>
      </c>
    </row>
    <row r="4443" spans="1:6" x14ac:dyDescent="0.25">
      <c r="A4443" s="5" t="s">
        <v>44</v>
      </c>
      <c r="B4443" s="19">
        <v>44078</v>
      </c>
      <c r="C4443" s="4">
        <v>1278</v>
      </c>
      <c r="D4443" s="21">
        <f t="shared" ref="D4443:D4455" si="353">C4443+D4419</f>
        <v>101034</v>
      </c>
      <c r="E4443" s="4">
        <v>43</v>
      </c>
      <c r="F4443" s="57">
        <f t="shared" si="350"/>
        <v>2413</v>
      </c>
    </row>
    <row r="4444" spans="1:6" x14ac:dyDescent="0.25">
      <c r="A4444" s="5" t="s">
        <v>29</v>
      </c>
      <c r="B4444" s="19">
        <v>44078</v>
      </c>
      <c r="C4444" s="4">
        <v>1</v>
      </c>
      <c r="D4444" s="21">
        <f t="shared" si="353"/>
        <v>71</v>
      </c>
      <c r="F4444" s="57">
        <f t="shared" si="350"/>
        <v>0</v>
      </c>
    </row>
    <row r="4445" spans="1:6" x14ac:dyDescent="0.25">
      <c r="A4445" s="5" t="s">
        <v>16</v>
      </c>
      <c r="B4445" s="19">
        <v>44078</v>
      </c>
      <c r="C4445" s="4">
        <v>89</v>
      </c>
      <c r="D4445" s="21">
        <f t="shared" si="353"/>
        <v>5771</v>
      </c>
      <c r="E4445" s="4">
        <f>1+1</f>
        <v>2</v>
      </c>
      <c r="F4445" s="57">
        <f t="shared" si="350"/>
        <v>221</v>
      </c>
    </row>
    <row r="4446" spans="1:6" x14ac:dyDescent="0.25">
      <c r="A4446" s="5" t="s">
        <v>30</v>
      </c>
      <c r="B4446" s="19">
        <v>44078</v>
      </c>
      <c r="C4446" s="4">
        <v>39</v>
      </c>
      <c r="D4446" s="21">
        <f t="shared" si="353"/>
        <v>1101</v>
      </c>
      <c r="F4446" s="57">
        <f t="shared" si="350"/>
        <v>7</v>
      </c>
    </row>
    <row r="4447" spans="1:6" x14ac:dyDescent="0.25">
      <c r="A4447" s="5" t="s">
        <v>21</v>
      </c>
      <c r="B4447" s="19">
        <v>44078</v>
      </c>
      <c r="C4447" s="4">
        <v>498</v>
      </c>
      <c r="D4447" s="21">
        <f t="shared" si="353"/>
        <v>10341</v>
      </c>
      <c r="E4447" s="4">
        <f>1+4+2</f>
        <v>7</v>
      </c>
      <c r="F4447" s="57">
        <f t="shared" si="350"/>
        <v>146</v>
      </c>
    </row>
    <row r="4448" spans="1:6" x14ac:dyDescent="0.25">
      <c r="A4448" s="5" t="s">
        <v>31</v>
      </c>
      <c r="B4448" s="19">
        <v>44078</v>
      </c>
      <c r="C4448" s="4">
        <v>3</v>
      </c>
      <c r="D4448" s="21">
        <f t="shared" si="353"/>
        <v>333</v>
      </c>
      <c r="F4448" s="57">
        <f t="shared" si="350"/>
        <v>5</v>
      </c>
    </row>
    <row r="4449" spans="1:6" x14ac:dyDescent="0.25">
      <c r="A4449" s="5" t="s">
        <v>32</v>
      </c>
      <c r="B4449" s="19">
        <v>44078</v>
      </c>
      <c r="C4449" s="4">
        <v>166</v>
      </c>
      <c r="D4449" s="21">
        <f t="shared" si="353"/>
        <v>4113</v>
      </c>
      <c r="E4449" s="4">
        <v>1</v>
      </c>
      <c r="F4449" s="57">
        <f t="shared" si="350"/>
        <v>55</v>
      </c>
    </row>
    <row r="4450" spans="1:6" x14ac:dyDescent="0.25">
      <c r="A4450" s="5" t="s">
        <v>42</v>
      </c>
      <c r="B4450" s="19">
        <v>44078</v>
      </c>
      <c r="C4450" s="4">
        <v>2</v>
      </c>
      <c r="D4450" s="21">
        <f t="shared" si="353"/>
        <v>90</v>
      </c>
      <c r="F4450" s="57">
        <f>E4450+F4426</f>
        <v>1</v>
      </c>
    </row>
    <row r="4451" spans="1:6" x14ac:dyDescent="0.25">
      <c r="A4451" s="5" t="s">
        <v>33</v>
      </c>
      <c r="B4451" s="19">
        <v>44078</v>
      </c>
      <c r="C4451" s="4">
        <v>332</v>
      </c>
      <c r="D4451" s="21">
        <f t="shared" si="353"/>
        <v>9549</v>
      </c>
      <c r="E4451" s="4">
        <f>4+1</f>
        <v>5</v>
      </c>
      <c r="F4451" s="57">
        <f t="shared" si="350"/>
        <v>215</v>
      </c>
    </row>
    <row r="4452" spans="1:6" x14ac:dyDescent="0.25">
      <c r="A4452" s="5" t="s">
        <v>34</v>
      </c>
      <c r="B4452" s="19">
        <v>44078</v>
      </c>
      <c r="C4452" s="4">
        <v>7</v>
      </c>
      <c r="D4452" s="21">
        <f t="shared" si="353"/>
        <v>221</v>
      </c>
      <c r="F4452" s="57">
        <f t="shared" si="350"/>
        <v>4</v>
      </c>
    </row>
    <row r="4453" spans="1:6" x14ac:dyDescent="0.25">
      <c r="A4453" s="5" t="s">
        <v>22</v>
      </c>
      <c r="B4453" s="19">
        <v>44078</v>
      </c>
      <c r="C4453" s="4">
        <v>99</v>
      </c>
      <c r="D4453" s="21">
        <f t="shared" si="353"/>
        <v>1887</v>
      </c>
      <c r="F4453" s="57">
        <f t="shared" si="350"/>
        <v>39</v>
      </c>
    </row>
    <row r="4454" spans="1:6" x14ac:dyDescent="0.25">
      <c r="A4454" s="5" t="s">
        <v>18</v>
      </c>
      <c r="B4454" s="19">
        <v>44078</v>
      </c>
      <c r="C4454" s="4">
        <v>653</v>
      </c>
      <c r="D4454" s="21">
        <f t="shared" si="353"/>
        <v>8801</v>
      </c>
      <c r="E4454" s="4">
        <f>1+1</f>
        <v>2</v>
      </c>
      <c r="F4454" s="57">
        <f t="shared" si="350"/>
        <v>88</v>
      </c>
    </row>
    <row r="4455" spans="1:6" x14ac:dyDescent="0.25">
      <c r="A4455" s="5" t="s">
        <v>24</v>
      </c>
      <c r="B4455" s="19">
        <v>44078</v>
      </c>
      <c r="C4455" s="4">
        <v>1</v>
      </c>
      <c r="D4455" s="21">
        <f t="shared" si="353"/>
        <v>65</v>
      </c>
      <c r="F4455" s="57">
        <f t="shared" si="350"/>
        <v>2</v>
      </c>
    </row>
    <row r="4456" spans="1:6" x14ac:dyDescent="0.25">
      <c r="A4456" s="5" t="s">
        <v>20</v>
      </c>
      <c r="B4456" s="19">
        <v>44078</v>
      </c>
      <c r="C4456" s="4">
        <v>73</v>
      </c>
      <c r="D4456" s="21">
        <f>C4456+D4432</f>
        <v>3471</v>
      </c>
      <c r="F4456" s="57">
        <f t="shared" si="350"/>
        <v>29</v>
      </c>
    </row>
    <row r="4457" spans="1:6" x14ac:dyDescent="0.25">
      <c r="A4457" s="5" t="s">
        <v>19</v>
      </c>
      <c r="B4457" s="19">
        <v>44078</v>
      </c>
      <c r="C4457" s="4">
        <v>262</v>
      </c>
      <c r="D4457" s="21">
        <f>C4457+D4433</f>
        <v>6768</v>
      </c>
      <c r="E4457" s="4">
        <f>1+1+3+2</f>
        <v>7</v>
      </c>
      <c r="F4457" s="57">
        <f t="shared" si="350"/>
        <v>118</v>
      </c>
    </row>
    <row r="4458" spans="1:6" x14ac:dyDescent="0.25">
      <c r="A4458" s="5" t="s">
        <v>35</v>
      </c>
      <c r="B4458" s="19">
        <v>44078</v>
      </c>
      <c r="C4458" s="4">
        <v>269</v>
      </c>
      <c r="D4458" s="21">
        <f>C4458+D4434</f>
        <v>4197</v>
      </c>
      <c r="E4458" s="4">
        <f>5+3</f>
        <v>8</v>
      </c>
      <c r="F4458" s="57">
        <f>E4458+F4434</f>
        <v>55</v>
      </c>
    </row>
    <row r="4459" spans="1:6" x14ac:dyDescent="0.25">
      <c r="A4459" s="5" t="s">
        <v>36</v>
      </c>
      <c r="B4459" s="19">
        <v>44078</v>
      </c>
      <c r="C4459" s="4">
        <v>29</v>
      </c>
      <c r="D4459" s="21">
        <f t="shared" ref="D4459:D4465" si="354">C4459+D4435</f>
        <v>358</v>
      </c>
      <c r="F4459" s="57">
        <f>E4459+F4435</f>
        <v>0</v>
      </c>
    </row>
    <row r="4460" spans="1:6" x14ac:dyDescent="0.25">
      <c r="A4460" s="5" t="s">
        <v>37</v>
      </c>
      <c r="B4460" s="19">
        <v>44078</v>
      </c>
      <c r="C4460" s="4">
        <v>15</v>
      </c>
      <c r="D4460" s="21">
        <f t="shared" si="354"/>
        <v>210</v>
      </c>
      <c r="F4460" s="57">
        <f>E4460+F4436</f>
        <v>0</v>
      </c>
    </row>
    <row r="4461" spans="1:6" x14ac:dyDescent="0.25">
      <c r="A4461" s="5" t="s">
        <v>38</v>
      </c>
      <c r="B4461" s="19">
        <v>44078</v>
      </c>
      <c r="C4461" s="4">
        <v>67</v>
      </c>
      <c r="D4461" s="21">
        <f t="shared" si="354"/>
        <v>2029</v>
      </c>
      <c r="E4461" s="4">
        <v>1</v>
      </c>
      <c r="F4461" s="57">
        <f t="shared" ref="F4461:F4466" si="355">E4461+F4437</f>
        <v>16</v>
      </c>
    </row>
    <row r="4462" spans="1:6" x14ac:dyDescent="0.25">
      <c r="A4462" s="5" t="s">
        <v>23</v>
      </c>
      <c r="B4462" s="19">
        <v>44078</v>
      </c>
      <c r="C4462" s="4">
        <v>713</v>
      </c>
      <c r="D4462" s="21">
        <f t="shared" si="354"/>
        <v>10806</v>
      </c>
      <c r="E4462" s="4">
        <f>2+2+2+1</f>
        <v>7</v>
      </c>
      <c r="F4462" s="57">
        <f t="shared" si="355"/>
        <v>113</v>
      </c>
    </row>
    <row r="4463" spans="1:6" x14ac:dyDescent="0.25">
      <c r="A4463" s="5" t="s">
        <v>39</v>
      </c>
      <c r="B4463" s="19">
        <v>44078</v>
      </c>
      <c r="C4463" s="4">
        <v>57</v>
      </c>
      <c r="D4463" s="21">
        <f t="shared" si="354"/>
        <v>1152</v>
      </c>
      <c r="F4463" s="57">
        <f t="shared" si="355"/>
        <v>13</v>
      </c>
    </row>
    <row r="4464" spans="1:6" x14ac:dyDescent="0.25">
      <c r="A4464" s="5" t="s">
        <v>40</v>
      </c>
      <c r="B4464" s="19">
        <v>44078</v>
      </c>
      <c r="C4464" s="4">
        <v>39</v>
      </c>
      <c r="D4464" s="21">
        <f t="shared" si="354"/>
        <v>2272</v>
      </c>
      <c r="E4464" s="4">
        <f>1+1+1</f>
        <v>3</v>
      </c>
      <c r="F4464" s="57">
        <f t="shared" si="355"/>
        <v>35</v>
      </c>
    </row>
    <row r="4465" spans="1:6" x14ac:dyDescent="0.25">
      <c r="A4465" s="5" t="s">
        <v>41</v>
      </c>
      <c r="B4465" s="19">
        <v>44078</v>
      </c>
      <c r="C4465" s="4">
        <v>310</v>
      </c>
      <c r="D4465" s="21">
        <f t="shared" si="354"/>
        <v>3385</v>
      </c>
      <c r="F4465" s="57">
        <f t="shared" si="355"/>
        <v>14</v>
      </c>
    </row>
    <row r="4466" spans="1:6" x14ac:dyDescent="0.25">
      <c r="A4466" s="42" t="s">
        <v>17</v>
      </c>
      <c r="B4466" s="19">
        <v>44079</v>
      </c>
      <c r="C4466" s="4">
        <v>5320</v>
      </c>
      <c r="D4466" s="21">
        <f>C4466+D4442</f>
        <v>289177</v>
      </c>
      <c r="E4466" s="4">
        <f>24+17+1+14+15</f>
        <v>71</v>
      </c>
      <c r="F4466" s="57">
        <f t="shared" si="355"/>
        <v>5870</v>
      </c>
    </row>
    <row r="4467" spans="1:6" x14ac:dyDescent="0.25">
      <c r="A4467" s="5" t="s">
        <v>44</v>
      </c>
      <c r="B4467" s="19">
        <v>44079</v>
      </c>
      <c r="C4467" s="4">
        <v>1084</v>
      </c>
      <c r="D4467" s="21">
        <f t="shared" ref="D4467:D4479" si="356">C4467+D4443</f>
        <v>102118</v>
      </c>
      <c r="E4467" s="4">
        <f>6+4+3</f>
        <v>13</v>
      </c>
      <c r="F4467" s="57">
        <f t="shared" ref="F4467:F4505" si="357">E4467+F4443</f>
        <v>2426</v>
      </c>
    </row>
    <row r="4468" spans="1:6" x14ac:dyDescent="0.25">
      <c r="A4468" s="5" t="s">
        <v>29</v>
      </c>
      <c r="B4468" s="19">
        <v>44079</v>
      </c>
      <c r="C4468" s="4">
        <v>10</v>
      </c>
      <c r="D4468" s="21">
        <f t="shared" si="356"/>
        <v>81</v>
      </c>
      <c r="F4468" s="57">
        <f t="shared" si="357"/>
        <v>0</v>
      </c>
    </row>
    <row r="4469" spans="1:6" x14ac:dyDescent="0.25">
      <c r="A4469" s="5" t="s">
        <v>16</v>
      </c>
      <c r="B4469" s="19">
        <v>44079</v>
      </c>
      <c r="C4469" s="4">
        <v>141</v>
      </c>
      <c r="D4469" s="21">
        <f t="shared" si="356"/>
        <v>5912</v>
      </c>
      <c r="E4469" s="4">
        <f>1</f>
        <v>1</v>
      </c>
      <c r="F4469" s="57">
        <f t="shared" si="357"/>
        <v>222</v>
      </c>
    </row>
    <row r="4470" spans="1:6" x14ac:dyDescent="0.25">
      <c r="A4470" s="5" t="s">
        <v>30</v>
      </c>
      <c r="B4470" s="19">
        <v>44079</v>
      </c>
      <c r="C4470" s="4">
        <v>77</v>
      </c>
      <c r="D4470" s="21">
        <f t="shared" si="356"/>
        <v>1178</v>
      </c>
      <c r="F4470" s="57">
        <f t="shared" si="357"/>
        <v>7</v>
      </c>
    </row>
    <row r="4471" spans="1:6" x14ac:dyDescent="0.25">
      <c r="A4471" s="5" t="s">
        <v>21</v>
      </c>
      <c r="B4471" s="19">
        <v>44079</v>
      </c>
      <c r="C4471" s="4">
        <v>424</v>
      </c>
      <c r="D4471" s="21">
        <f t="shared" si="356"/>
        <v>10765</v>
      </c>
      <c r="E4471" s="4">
        <f>1+4+3</f>
        <v>8</v>
      </c>
      <c r="F4471" s="57">
        <f t="shared" si="357"/>
        <v>154</v>
      </c>
    </row>
    <row r="4472" spans="1:6" x14ac:dyDescent="0.25">
      <c r="A4472" s="5" t="s">
        <v>31</v>
      </c>
      <c r="B4472" s="19">
        <v>44079</v>
      </c>
      <c r="C4472" s="4">
        <v>2</v>
      </c>
      <c r="D4472" s="21">
        <f t="shared" si="356"/>
        <v>335</v>
      </c>
      <c r="F4472" s="57">
        <f t="shared" si="357"/>
        <v>5</v>
      </c>
    </row>
    <row r="4473" spans="1:6" x14ac:dyDescent="0.25">
      <c r="A4473" s="5" t="s">
        <v>32</v>
      </c>
      <c r="B4473" s="19">
        <v>44079</v>
      </c>
      <c r="C4473" s="4">
        <v>88</v>
      </c>
      <c r="D4473" s="21">
        <f t="shared" si="356"/>
        <v>4201</v>
      </c>
      <c r="E4473" s="4">
        <f>2+1+1</f>
        <v>4</v>
      </c>
      <c r="F4473" s="57">
        <f t="shared" si="357"/>
        <v>59</v>
      </c>
    </row>
    <row r="4474" spans="1:6" x14ac:dyDescent="0.25">
      <c r="A4474" s="5" t="s">
        <v>42</v>
      </c>
      <c r="B4474" s="19">
        <v>44079</v>
      </c>
      <c r="C4474" s="4">
        <v>-1</v>
      </c>
      <c r="D4474" s="21">
        <f t="shared" si="356"/>
        <v>89</v>
      </c>
      <c r="F4474" s="57">
        <f>E4474+F4450</f>
        <v>1</v>
      </c>
    </row>
    <row r="4475" spans="1:6" x14ac:dyDescent="0.25">
      <c r="A4475" s="5" t="s">
        <v>33</v>
      </c>
      <c r="B4475" s="19">
        <v>44079</v>
      </c>
      <c r="C4475" s="4">
        <v>326</v>
      </c>
      <c r="D4475" s="21">
        <f t="shared" si="356"/>
        <v>9875</v>
      </c>
      <c r="F4475" s="57">
        <f t="shared" si="357"/>
        <v>215</v>
      </c>
    </row>
    <row r="4476" spans="1:6" x14ac:dyDescent="0.25">
      <c r="A4476" s="5" t="s">
        <v>34</v>
      </c>
      <c r="B4476" s="19">
        <v>44079</v>
      </c>
      <c r="C4476" s="4">
        <v>9</v>
      </c>
      <c r="D4476" s="21">
        <f t="shared" si="356"/>
        <v>230</v>
      </c>
      <c r="F4476" s="57">
        <f t="shared" si="357"/>
        <v>4</v>
      </c>
    </row>
    <row r="4477" spans="1:6" x14ac:dyDescent="0.25">
      <c r="A4477" s="5" t="s">
        <v>22</v>
      </c>
      <c r="B4477" s="19">
        <v>44079</v>
      </c>
      <c r="C4477" s="4">
        <v>58</v>
      </c>
      <c r="D4477" s="21">
        <f t="shared" si="356"/>
        <v>1945</v>
      </c>
      <c r="F4477" s="57">
        <f t="shared" si="357"/>
        <v>39</v>
      </c>
    </row>
    <row r="4478" spans="1:6" x14ac:dyDescent="0.25">
      <c r="A4478" s="5" t="s">
        <v>18</v>
      </c>
      <c r="B4478" s="19">
        <v>44079</v>
      </c>
      <c r="C4478" s="4">
        <v>483</v>
      </c>
      <c r="D4478" s="21">
        <f t="shared" si="356"/>
        <v>9284</v>
      </c>
      <c r="E4478" s="4">
        <f>1</f>
        <v>1</v>
      </c>
      <c r="F4478" s="57">
        <f t="shared" si="357"/>
        <v>89</v>
      </c>
    </row>
    <row r="4479" spans="1:6" x14ac:dyDescent="0.25">
      <c r="A4479" s="5" t="s">
        <v>24</v>
      </c>
      <c r="B4479" s="19">
        <v>44079</v>
      </c>
      <c r="C4479" s="4">
        <v>0</v>
      </c>
      <c r="D4479" s="21">
        <f t="shared" si="356"/>
        <v>65</v>
      </c>
      <c r="F4479" s="57">
        <f t="shared" si="357"/>
        <v>2</v>
      </c>
    </row>
    <row r="4480" spans="1:6" x14ac:dyDescent="0.25">
      <c r="A4480" s="5" t="s">
        <v>20</v>
      </c>
      <c r="B4480" s="19">
        <v>44079</v>
      </c>
      <c r="C4480" s="4">
        <v>171</v>
      </c>
      <c r="D4480" s="21">
        <f>C4480+D4456</f>
        <v>3642</v>
      </c>
      <c r="E4480" s="4">
        <f>1</f>
        <v>1</v>
      </c>
      <c r="F4480" s="57">
        <f t="shared" si="357"/>
        <v>30</v>
      </c>
    </row>
    <row r="4481" spans="1:6" x14ac:dyDescent="0.25">
      <c r="A4481" s="5" t="s">
        <v>19</v>
      </c>
      <c r="B4481" s="19">
        <v>44079</v>
      </c>
      <c r="C4481" s="4">
        <v>169</v>
      </c>
      <c r="D4481" s="21">
        <f>C4481+D4457</f>
        <v>6937</v>
      </c>
      <c r="E4481" s="4">
        <f>2+2+1</f>
        <v>5</v>
      </c>
      <c r="F4481" s="57">
        <f t="shared" si="357"/>
        <v>123</v>
      </c>
    </row>
    <row r="4482" spans="1:6" x14ac:dyDescent="0.25">
      <c r="A4482" s="5" t="s">
        <v>35</v>
      </c>
      <c r="B4482" s="19">
        <v>44079</v>
      </c>
      <c r="C4482" s="4">
        <v>279</v>
      </c>
      <c r="D4482" s="21">
        <f>C4482+D4458</f>
        <v>4476</v>
      </c>
      <c r="E4482" s="4">
        <f>1</f>
        <v>1</v>
      </c>
      <c r="F4482" s="57">
        <f>E4482+F4458</f>
        <v>56</v>
      </c>
    </row>
    <row r="4483" spans="1:6" x14ac:dyDescent="0.25">
      <c r="A4483" s="5" t="s">
        <v>36</v>
      </c>
      <c r="B4483" s="19">
        <v>44079</v>
      </c>
      <c r="C4483" s="4">
        <v>15</v>
      </c>
      <c r="D4483" s="21">
        <f t="shared" ref="D4483:D4489" si="358">C4483+D4459</f>
        <v>373</v>
      </c>
      <c r="F4483" s="57">
        <f>E4483+F4459</f>
        <v>0</v>
      </c>
    </row>
    <row r="4484" spans="1:6" x14ac:dyDescent="0.25">
      <c r="A4484" s="5" t="s">
        <v>37</v>
      </c>
      <c r="B4484" s="19">
        <v>44079</v>
      </c>
      <c r="C4484" s="4">
        <v>35</v>
      </c>
      <c r="D4484" s="21">
        <f t="shared" si="358"/>
        <v>245</v>
      </c>
      <c r="F4484" s="57">
        <f t="shared" si="357"/>
        <v>0</v>
      </c>
    </row>
    <row r="4485" spans="1:6" x14ac:dyDescent="0.25">
      <c r="A4485" s="5" t="s">
        <v>38</v>
      </c>
      <c r="B4485" s="19">
        <v>44079</v>
      </c>
      <c r="C4485" s="4">
        <v>138</v>
      </c>
      <c r="D4485" s="21">
        <f t="shared" si="358"/>
        <v>2167</v>
      </c>
      <c r="F4485" s="57">
        <f t="shared" ref="F4485:F4490" si="359">E4485+F4461</f>
        <v>16</v>
      </c>
    </row>
    <row r="4486" spans="1:6" x14ac:dyDescent="0.25">
      <c r="A4486" s="5" t="s">
        <v>23</v>
      </c>
      <c r="B4486" s="19">
        <v>44079</v>
      </c>
      <c r="C4486" s="4">
        <v>698</v>
      </c>
      <c r="D4486" s="21">
        <f t="shared" si="358"/>
        <v>11504</v>
      </c>
      <c r="E4486" s="4">
        <v>6</v>
      </c>
      <c r="F4486" s="57">
        <f t="shared" si="359"/>
        <v>119</v>
      </c>
    </row>
    <row r="4487" spans="1:6" x14ac:dyDescent="0.25">
      <c r="A4487" s="5" t="s">
        <v>39</v>
      </c>
      <c r="B4487" s="19">
        <v>44079</v>
      </c>
      <c r="C4487" s="4">
        <v>67</v>
      </c>
      <c r="D4487" s="21">
        <f t="shared" si="358"/>
        <v>1219</v>
      </c>
      <c r="E4487" s="4">
        <f>3</f>
        <v>3</v>
      </c>
      <c r="F4487" s="57">
        <f t="shared" si="359"/>
        <v>16</v>
      </c>
    </row>
    <row r="4488" spans="1:6" x14ac:dyDescent="0.25">
      <c r="A4488" s="5" t="s">
        <v>40</v>
      </c>
      <c r="B4488" s="19">
        <v>44079</v>
      </c>
      <c r="C4488" s="4">
        <v>24</v>
      </c>
      <c r="D4488" s="21">
        <f t="shared" si="358"/>
        <v>2296</v>
      </c>
      <c r="E4488" s="4">
        <f>1+1</f>
        <v>2</v>
      </c>
      <c r="F4488" s="57">
        <f t="shared" si="359"/>
        <v>37</v>
      </c>
    </row>
    <row r="4489" spans="1:6" x14ac:dyDescent="0.25">
      <c r="A4489" s="5" t="s">
        <v>41</v>
      </c>
      <c r="B4489" s="19">
        <v>44079</v>
      </c>
      <c r="C4489" s="4">
        <v>307</v>
      </c>
      <c r="D4489" s="21">
        <f t="shared" si="358"/>
        <v>3692</v>
      </c>
      <c r="E4489" s="4">
        <f>1</f>
        <v>1</v>
      </c>
      <c r="F4489" s="57">
        <f t="shared" si="359"/>
        <v>15</v>
      </c>
    </row>
    <row r="4490" spans="1:6" x14ac:dyDescent="0.25">
      <c r="A4490" s="42" t="s">
        <v>17</v>
      </c>
      <c r="B4490" s="19">
        <v>44080</v>
      </c>
      <c r="C4490" s="4">
        <v>3269</v>
      </c>
      <c r="D4490" s="21">
        <f>C4490+D4466</f>
        <v>292446</v>
      </c>
      <c r="E4490" s="4">
        <v>68</v>
      </c>
      <c r="F4490" s="57">
        <f t="shared" si="359"/>
        <v>5938</v>
      </c>
    </row>
    <row r="4491" spans="1:6" x14ac:dyDescent="0.25">
      <c r="A4491" s="5" t="s">
        <v>44</v>
      </c>
      <c r="B4491" s="19">
        <v>44080</v>
      </c>
      <c r="C4491" s="4">
        <v>802</v>
      </c>
      <c r="D4491" s="21">
        <f t="shared" ref="D4491:D4503" si="360">C4491+D4467</f>
        <v>102920</v>
      </c>
      <c r="E4491" s="4">
        <f>7+3+1</f>
        <v>11</v>
      </c>
      <c r="F4491" s="57">
        <f t="shared" si="357"/>
        <v>2437</v>
      </c>
    </row>
    <row r="4492" spans="1:6" x14ac:dyDescent="0.25">
      <c r="A4492" s="5" t="s">
        <v>29</v>
      </c>
      <c r="B4492" s="19">
        <v>44080</v>
      </c>
      <c r="C4492" s="4">
        <v>5</v>
      </c>
      <c r="D4492" s="21">
        <f t="shared" si="360"/>
        <v>86</v>
      </c>
      <c r="F4492" s="57">
        <f t="shared" si="357"/>
        <v>0</v>
      </c>
    </row>
    <row r="4493" spans="1:6" x14ac:dyDescent="0.25">
      <c r="A4493" s="5" t="s">
        <v>16</v>
      </c>
      <c r="B4493" s="19">
        <v>44080</v>
      </c>
      <c r="C4493" s="4">
        <v>102</v>
      </c>
      <c r="D4493" s="21">
        <f t="shared" si="360"/>
        <v>6014</v>
      </c>
      <c r="E4493" s="4">
        <f>2+1</f>
        <v>3</v>
      </c>
      <c r="F4493" s="57">
        <f t="shared" si="357"/>
        <v>225</v>
      </c>
    </row>
    <row r="4494" spans="1:6" x14ac:dyDescent="0.25">
      <c r="A4494" s="5" t="s">
        <v>30</v>
      </c>
      <c r="B4494" s="19">
        <v>44080</v>
      </c>
      <c r="C4494" s="4">
        <v>39</v>
      </c>
      <c r="D4494" s="21">
        <f t="shared" si="360"/>
        <v>1217</v>
      </c>
      <c r="F4494" s="57">
        <f t="shared" si="357"/>
        <v>7</v>
      </c>
    </row>
    <row r="4495" spans="1:6" x14ac:dyDescent="0.25">
      <c r="A4495" s="5" t="s">
        <v>21</v>
      </c>
      <c r="B4495" s="19">
        <v>44080</v>
      </c>
      <c r="C4495" s="4">
        <v>387</v>
      </c>
      <c r="D4495" s="21">
        <f t="shared" si="360"/>
        <v>11152</v>
      </c>
      <c r="E4495" s="4">
        <f>1+4</f>
        <v>5</v>
      </c>
      <c r="F4495" s="57">
        <f t="shared" si="357"/>
        <v>159</v>
      </c>
    </row>
    <row r="4496" spans="1:6" x14ac:dyDescent="0.25">
      <c r="A4496" s="5" t="s">
        <v>31</v>
      </c>
      <c r="B4496" s="19">
        <v>44080</v>
      </c>
      <c r="C4496" s="4">
        <v>10</v>
      </c>
      <c r="D4496" s="21">
        <f t="shared" si="360"/>
        <v>345</v>
      </c>
      <c r="F4496" s="57">
        <f t="shared" si="357"/>
        <v>5</v>
      </c>
    </row>
    <row r="4497" spans="1:6" x14ac:dyDescent="0.25">
      <c r="A4497" s="5" t="s">
        <v>32</v>
      </c>
      <c r="B4497" s="19">
        <v>44080</v>
      </c>
      <c r="C4497" s="4">
        <v>92</v>
      </c>
      <c r="D4497" s="21">
        <f t="shared" si="360"/>
        <v>4293</v>
      </c>
      <c r="E4497" s="4">
        <f>1</f>
        <v>1</v>
      </c>
      <c r="F4497" s="57">
        <f t="shared" si="357"/>
        <v>60</v>
      </c>
    </row>
    <row r="4498" spans="1:6" x14ac:dyDescent="0.25">
      <c r="A4498" s="5" t="s">
        <v>42</v>
      </c>
      <c r="B4498" s="19">
        <v>44080</v>
      </c>
      <c r="C4498" s="4">
        <v>1</v>
      </c>
      <c r="D4498" s="21">
        <f t="shared" si="360"/>
        <v>90</v>
      </c>
      <c r="F4498" s="57">
        <f>E4498+F4474</f>
        <v>1</v>
      </c>
    </row>
    <row r="4499" spans="1:6" x14ac:dyDescent="0.25">
      <c r="A4499" s="5" t="s">
        <v>33</v>
      </c>
      <c r="B4499" s="19">
        <v>44080</v>
      </c>
      <c r="C4499" s="4">
        <v>250</v>
      </c>
      <c r="D4499" s="21">
        <f t="shared" si="360"/>
        <v>10125</v>
      </c>
      <c r="E4499" s="4">
        <f>3+1</f>
        <v>4</v>
      </c>
      <c r="F4499" s="57">
        <f t="shared" si="357"/>
        <v>219</v>
      </c>
    </row>
    <row r="4500" spans="1:6" x14ac:dyDescent="0.25">
      <c r="A4500" s="5" t="s">
        <v>34</v>
      </c>
      <c r="B4500" s="19">
        <v>44080</v>
      </c>
      <c r="C4500" s="4">
        <v>4</v>
      </c>
      <c r="D4500" s="21">
        <f t="shared" si="360"/>
        <v>234</v>
      </c>
      <c r="F4500" s="57">
        <f t="shared" si="357"/>
        <v>4</v>
      </c>
    </row>
    <row r="4501" spans="1:6" x14ac:dyDescent="0.25">
      <c r="A4501" s="5" t="s">
        <v>22</v>
      </c>
      <c r="B4501" s="19">
        <v>44080</v>
      </c>
      <c r="C4501" s="4">
        <v>94</v>
      </c>
      <c r="D4501" s="21">
        <f t="shared" si="360"/>
        <v>2039</v>
      </c>
      <c r="E4501" s="4">
        <f>2+1</f>
        <v>3</v>
      </c>
      <c r="F4501" s="57">
        <f t="shared" si="357"/>
        <v>42</v>
      </c>
    </row>
    <row r="4502" spans="1:6" x14ac:dyDescent="0.25">
      <c r="A4502" s="5" t="s">
        <v>18</v>
      </c>
      <c r="B4502" s="19">
        <v>44080</v>
      </c>
      <c r="C4502" s="4">
        <v>413</v>
      </c>
      <c r="D4502" s="21">
        <f t="shared" si="360"/>
        <v>9697</v>
      </c>
      <c r="E4502" s="4">
        <f>1</f>
        <v>1</v>
      </c>
      <c r="F4502" s="57">
        <f t="shared" si="357"/>
        <v>90</v>
      </c>
    </row>
    <row r="4503" spans="1:6" x14ac:dyDescent="0.25">
      <c r="A4503" s="5" t="s">
        <v>24</v>
      </c>
      <c r="B4503" s="19">
        <v>44080</v>
      </c>
      <c r="C4503" s="4">
        <v>2</v>
      </c>
      <c r="D4503" s="21">
        <f t="shared" si="360"/>
        <v>67</v>
      </c>
      <c r="F4503" s="57">
        <f t="shared" si="357"/>
        <v>2</v>
      </c>
    </row>
    <row r="4504" spans="1:6" x14ac:dyDescent="0.25">
      <c r="A4504" s="5" t="s">
        <v>20</v>
      </c>
      <c r="B4504" s="19">
        <v>44080</v>
      </c>
      <c r="C4504" s="4">
        <v>177</v>
      </c>
      <c r="D4504" s="21">
        <f>C4504+D4480</f>
        <v>3819</v>
      </c>
      <c r="E4504" s="4">
        <f>2+2</f>
        <v>4</v>
      </c>
      <c r="F4504" s="57">
        <f t="shared" si="357"/>
        <v>34</v>
      </c>
    </row>
    <row r="4505" spans="1:6" x14ac:dyDescent="0.25">
      <c r="A4505" s="5" t="s">
        <v>19</v>
      </c>
      <c r="B4505" s="19">
        <v>44080</v>
      </c>
      <c r="C4505" s="4">
        <v>54</v>
      </c>
      <c r="D4505" s="21">
        <f>C4505+D4481</f>
        <v>6991</v>
      </c>
      <c r="E4505" s="4">
        <f>1+1</f>
        <v>2</v>
      </c>
      <c r="F4505" s="57">
        <f t="shared" si="357"/>
        <v>125</v>
      </c>
    </row>
    <row r="4506" spans="1:6" x14ac:dyDescent="0.25">
      <c r="A4506" s="5" t="s">
        <v>35</v>
      </c>
      <c r="B4506" s="19">
        <v>44080</v>
      </c>
      <c r="C4506" s="4">
        <v>156</v>
      </c>
      <c r="D4506" s="21">
        <f>C4506+D4482</f>
        <v>4632</v>
      </c>
      <c r="E4506" s="4">
        <f>1+2</f>
        <v>3</v>
      </c>
      <c r="F4506" s="57">
        <f>E4506+F4482</f>
        <v>59</v>
      </c>
    </row>
    <row r="4507" spans="1:6" x14ac:dyDescent="0.25">
      <c r="A4507" s="5" t="s">
        <v>36</v>
      </c>
      <c r="B4507" s="19">
        <v>44080</v>
      </c>
      <c r="C4507" s="4">
        <v>4</v>
      </c>
      <c r="D4507" s="21">
        <f t="shared" ref="D4507:D4513" si="361">C4507+D4483</f>
        <v>377</v>
      </c>
      <c r="F4507" s="57">
        <f>E4507+F4483</f>
        <v>0</v>
      </c>
    </row>
    <row r="4508" spans="1:6" x14ac:dyDescent="0.25">
      <c r="A4508" s="5" t="s">
        <v>37</v>
      </c>
      <c r="B4508" s="19">
        <v>44080</v>
      </c>
      <c r="C4508" s="4">
        <v>2</v>
      </c>
      <c r="D4508" s="21">
        <f t="shared" si="361"/>
        <v>247</v>
      </c>
      <c r="F4508" s="57">
        <f>E4508+F4484</f>
        <v>0</v>
      </c>
    </row>
    <row r="4509" spans="1:6" x14ac:dyDescent="0.25">
      <c r="A4509" s="5" t="s">
        <v>38</v>
      </c>
      <c r="B4509" s="19">
        <v>44080</v>
      </c>
      <c r="C4509" s="4">
        <v>121</v>
      </c>
      <c r="D4509" s="21">
        <f t="shared" si="361"/>
        <v>2288</v>
      </c>
      <c r="F4509" s="57">
        <f t="shared" ref="F4509:F4515" si="362">E4509+F4485</f>
        <v>16</v>
      </c>
    </row>
    <row r="4510" spans="1:6" x14ac:dyDescent="0.25">
      <c r="A4510" s="5" t="s">
        <v>23</v>
      </c>
      <c r="B4510" s="19">
        <v>44080</v>
      </c>
      <c r="C4510" s="4">
        <v>615</v>
      </c>
      <c r="D4510" s="21">
        <f t="shared" si="361"/>
        <v>12119</v>
      </c>
      <c r="E4510" s="4">
        <f>1+4+6</f>
        <v>11</v>
      </c>
      <c r="F4510" s="57">
        <f t="shared" si="362"/>
        <v>130</v>
      </c>
    </row>
    <row r="4511" spans="1:6" x14ac:dyDescent="0.25">
      <c r="A4511" s="5" t="s">
        <v>39</v>
      </c>
      <c r="B4511" s="19">
        <v>44080</v>
      </c>
      <c r="C4511" s="4">
        <v>76</v>
      </c>
      <c r="D4511" s="21">
        <f t="shared" si="361"/>
        <v>1295</v>
      </c>
      <c r="E4511" s="4">
        <f>1</f>
        <v>1</v>
      </c>
      <c r="F4511" s="57">
        <f t="shared" si="362"/>
        <v>17</v>
      </c>
    </row>
    <row r="4512" spans="1:6" x14ac:dyDescent="0.25">
      <c r="A4512" s="5" t="s">
        <v>40</v>
      </c>
      <c r="B4512" s="19">
        <v>44080</v>
      </c>
      <c r="C4512" s="4">
        <v>49</v>
      </c>
      <c r="D4512" s="21">
        <f t="shared" si="361"/>
        <v>2345</v>
      </c>
      <c r="E4512" s="4">
        <f>1</f>
        <v>1</v>
      </c>
      <c r="F4512" s="57">
        <f t="shared" si="362"/>
        <v>38</v>
      </c>
    </row>
    <row r="4513" spans="1:6" x14ac:dyDescent="0.25">
      <c r="A4513" s="5" t="s">
        <v>41</v>
      </c>
      <c r="B4513" s="19">
        <v>44080</v>
      </c>
      <c r="C4513" s="4">
        <v>262</v>
      </c>
      <c r="D4513" s="21">
        <f t="shared" si="361"/>
        <v>3954</v>
      </c>
      <c r="F4513" s="57">
        <f t="shared" si="362"/>
        <v>15</v>
      </c>
    </row>
    <row r="4514" spans="1:6" x14ac:dyDescent="0.25">
      <c r="A4514" s="42" t="s">
        <v>17</v>
      </c>
      <c r="B4514" s="19">
        <v>44081</v>
      </c>
      <c r="C4514" s="4">
        <v>4633</v>
      </c>
      <c r="D4514" s="21">
        <f>C4514+D4490</f>
        <v>297079</v>
      </c>
      <c r="E4514" s="4">
        <f>7+9+64+60</f>
        <v>140</v>
      </c>
      <c r="F4514" s="57">
        <f t="shared" si="362"/>
        <v>6078</v>
      </c>
    </row>
    <row r="4515" spans="1:6" x14ac:dyDescent="0.25">
      <c r="A4515" s="5" t="s">
        <v>44</v>
      </c>
      <c r="B4515" s="19">
        <v>44081</v>
      </c>
      <c r="C4515" s="4">
        <v>1089</v>
      </c>
      <c r="D4515" s="21">
        <f t="shared" ref="D4515:D4527" si="363">C4515+D4491</f>
        <v>104009</v>
      </c>
      <c r="E4515" s="4">
        <v>64</v>
      </c>
      <c r="F4515" s="57">
        <f t="shared" si="362"/>
        <v>2501</v>
      </c>
    </row>
    <row r="4516" spans="1:6" x14ac:dyDescent="0.25">
      <c r="A4516" s="5" t="s">
        <v>29</v>
      </c>
      <c r="B4516" s="19">
        <v>44081</v>
      </c>
      <c r="C4516" s="4">
        <v>2</v>
      </c>
      <c r="D4516" s="21">
        <f t="shared" si="363"/>
        <v>88</v>
      </c>
      <c r="F4516" s="57">
        <f t="shared" ref="F4516:F4553" si="364">E4516+F4492</f>
        <v>0</v>
      </c>
    </row>
    <row r="4517" spans="1:6" x14ac:dyDescent="0.25">
      <c r="A4517" s="5" t="s">
        <v>16</v>
      </c>
      <c r="B4517" s="19">
        <v>44081</v>
      </c>
      <c r="C4517" s="4">
        <v>42</v>
      </c>
      <c r="D4517" s="21">
        <f t="shared" si="363"/>
        <v>6056</v>
      </c>
      <c r="E4517" s="4">
        <v>1</v>
      </c>
      <c r="F4517" s="57">
        <f t="shared" si="364"/>
        <v>226</v>
      </c>
    </row>
    <row r="4518" spans="1:6" x14ac:dyDescent="0.25">
      <c r="A4518" s="5" t="s">
        <v>30</v>
      </c>
      <c r="B4518" s="19">
        <v>44081</v>
      </c>
      <c r="C4518" s="4">
        <v>57</v>
      </c>
      <c r="D4518" s="21">
        <f t="shared" si="363"/>
        <v>1274</v>
      </c>
      <c r="E4518" s="4">
        <v>1</v>
      </c>
      <c r="F4518" s="57">
        <f t="shared" si="364"/>
        <v>8</v>
      </c>
    </row>
    <row r="4519" spans="1:6" x14ac:dyDescent="0.25">
      <c r="A4519" s="5" t="s">
        <v>21</v>
      </c>
      <c r="B4519" s="19">
        <v>44081</v>
      </c>
      <c r="C4519" s="4">
        <v>456</v>
      </c>
      <c r="D4519" s="21">
        <f t="shared" si="363"/>
        <v>11608</v>
      </c>
      <c r="E4519" s="4">
        <f>4+1</f>
        <v>5</v>
      </c>
      <c r="F4519" s="57">
        <f t="shared" si="364"/>
        <v>164</v>
      </c>
    </row>
    <row r="4520" spans="1:6" x14ac:dyDescent="0.25">
      <c r="A4520" s="5" t="s">
        <v>31</v>
      </c>
      <c r="B4520" s="19">
        <v>44081</v>
      </c>
      <c r="C4520" s="4">
        <v>41</v>
      </c>
      <c r="D4520" s="21">
        <f t="shared" si="363"/>
        <v>386</v>
      </c>
      <c r="F4520" s="57">
        <f t="shared" si="364"/>
        <v>5</v>
      </c>
    </row>
    <row r="4521" spans="1:6" x14ac:dyDescent="0.25">
      <c r="A4521" s="5" t="s">
        <v>32</v>
      </c>
      <c r="B4521" s="19">
        <v>44081</v>
      </c>
      <c r="C4521" s="4">
        <v>60</v>
      </c>
      <c r="D4521" s="21">
        <f t="shared" si="363"/>
        <v>4353</v>
      </c>
      <c r="E4521" s="4">
        <f>1+2</f>
        <v>3</v>
      </c>
      <c r="F4521" s="57">
        <f t="shared" si="364"/>
        <v>63</v>
      </c>
    </row>
    <row r="4522" spans="1:6" x14ac:dyDescent="0.25">
      <c r="A4522" s="5" t="s">
        <v>42</v>
      </c>
      <c r="B4522" s="19">
        <v>44081</v>
      </c>
      <c r="C4522" s="4">
        <v>0</v>
      </c>
      <c r="D4522" s="21">
        <f t="shared" si="363"/>
        <v>90</v>
      </c>
      <c r="F4522" s="57">
        <f>E4522+F4498</f>
        <v>1</v>
      </c>
    </row>
    <row r="4523" spans="1:6" x14ac:dyDescent="0.25">
      <c r="A4523" s="5" t="s">
        <v>33</v>
      </c>
      <c r="B4523" s="19">
        <v>44081</v>
      </c>
      <c r="C4523" s="4">
        <v>355</v>
      </c>
      <c r="D4523" s="21">
        <f t="shared" si="363"/>
        <v>10480</v>
      </c>
      <c r="E4523" s="4">
        <f>3+3</f>
        <v>6</v>
      </c>
      <c r="F4523" s="57">
        <f t="shared" si="364"/>
        <v>225</v>
      </c>
    </row>
    <row r="4524" spans="1:6" x14ac:dyDescent="0.25">
      <c r="A4524" s="5" t="s">
        <v>34</v>
      </c>
      <c r="B4524" s="19">
        <v>44081</v>
      </c>
      <c r="C4524" s="4">
        <v>9</v>
      </c>
      <c r="D4524" s="21">
        <f t="shared" si="363"/>
        <v>243</v>
      </c>
      <c r="F4524" s="57">
        <f t="shared" si="364"/>
        <v>4</v>
      </c>
    </row>
    <row r="4525" spans="1:6" x14ac:dyDescent="0.25">
      <c r="A4525" s="5" t="s">
        <v>22</v>
      </c>
      <c r="B4525" s="19">
        <v>44081</v>
      </c>
      <c r="C4525" s="4">
        <v>92</v>
      </c>
      <c r="D4525" s="21">
        <f t="shared" si="363"/>
        <v>2131</v>
      </c>
      <c r="E4525" s="4">
        <f>6+3</f>
        <v>9</v>
      </c>
      <c r="F4525" s="57">
        <f t="shared" si="364"/>
        <v>51</v>
      </c>
    </row>
    <row r="4526" spans="1:6" x14ac:dyDescent="0.25">
      <c r="A4526" s="5" t="s">
        <v>18</v>
      </c>
      <c r="B4526" s="19">
        <v>44081</v>
      </c>
      <c r="C4526" s="4">
        <v>623</v>
      </c>
      <c r="D4526" s="21">
        <f t="shared" si="363"/>
        <v>10320</v>
      </c>
      <c r="E4526" s="4">
        <f>1+1+3+2</f>
        <v>7</v>
      </c>
      <c r="F4526" s="57">
        <f t="shared" si="364"/>
        <v>97</v>
      </c>
    </row>
    <row r="4527" spans="1:6" x14ac:dyDescent="0.25">
      <c r="A4527" s="5" t="s">
        <v>24</v>
      </c>
      <c r="B4527" s="19">
        <v>44081</v>
      </c>
      <c r="C4527" s="4">
        <v>4</v>
      </c>
      <c r="D4527" s="21">
        <f t="shared" si="363"/>
        <v>71</v>
      </c>
      <c r="F4527" s="57">
        <f t="shared" si="364"/>
        <v>2</v>
      </c>
    </row>
    <row r="4528" spans="1:6" x14ac:dyDescent="0.25">
      <c r="A4528" s="5" t="s">
        <v>20</v>
      </c>
      <c r="B4528" s="19">
        <v>44081</v>
      </c>
      <c r="C4528" s="4">
        <v>140</v>
      </c>
      <c r="D4528" s="21">
        <f>C4528+D4504</f>
        <v>3959</v>
      </c>
      <c r="E4528" s="4">
        <f>2+2</f>
        <v>4</v>
      </c>
      <c r="F4528" s="57">
        <f t="shared" si="364"/>
        <v>38</v>
      </c>
    </row>
    <row r="4529" spans="1:6" x14ac:dyDescent="0.25">
      <c r="A4529" s="5" t="s">
        <v>19</v>
      </c>
      <c r="B4529" s="19">
        <v>44081</v>
      </c>
      <c r="C4529" s="4">
        <v>207</v>
      </c>
      <c r="D4529" s="21">
        <f>C4529+D4505</f>
        <v>7198</v>
      </c>
      <c r="E4529" s="4">
        <f>3+2</f>
        <v>5</v>
      </c>
      <c r="F4529" s="57">
        <f t="shared" si="364"/>
        <v>130</v>
      </c>
    </row>
    <row r="4530" spans="1:6" x14ac:dyDescent="0.25">
      <c r="A4530" s="5" t="s">
        <v>35</v>
      </c>
      <c r="B4530" s="19">
        <v>44081</v>
      </c>
      <c r="C4530" s="4">
        <v>195</v>
      </c>
      <c r="D4530" s="21">
        <f>C4530+D4506</f>
        <v>4827</v>
      </c>
      <c r="E4530" s="4">
        <f>2+2</f>
        <v>4</v>
      </c>
      <c r="F4530" s="57">
        <f>E4530+F4506</f>
        <v>63</v>
      </c>
    </row>
    <row r="4531" spans="1:6" x14ac:dyDescent="0.25">
      <c r="A4531" s="5" t="s">
        <v>36</v>
      </c>
      <c r="B4531" s="19">
        <v>44081</v>
      </c>
      <c r="C4531" s="4">
        <v>-13</v>
      </c>
      <c r="D4531" s="21">
        <f t="shared" ref="D4531:D4537" si="365">C4531+D4507</f>
        <v>364</v>
      </c>
      <c r="F4531" s="57">
        <f>E4531+F4507</f>
        <v>0</v>
      </c>
    </row>
    <row r="4532" spans="1:6" x14ac:dyDescent="0.25">
      <c r="A4532" s="5" t="s">
        <v>37</v>
      </c>
      <c r="B4532" s="19">
        <v>44081</v>
      </c>
      <c r="C4532" s="4">
        <v>60</v>
      </c>
      <c r="D4532" s="21">
        <f t="shared" si="365"/>
        <v>307</v>
      </c>
      <c r="F4532" s="57">
        <f t="shared" si="364"/>
        <v>0</v>
      </c>
    </row>
    <row r="4533" spans="1:6" x14ac:dyDescent="0.25">
      <c r="A4533" s="5" t="s">
        <v>38</v>
      </c>
      <c r="B4533" s="19">
        <v>44081</v>
      </c>
      <c r="C4533" s="4">
        <v>34</v>
      </c>
      <c r="D4533" s="21">
        <f t="shared" si="365"/>
        <v>2322</v>
      </c>
      <c r="E4533" s="4">
        <f>1+1+2</f>
        <v>4</v>
      </c>
      <c r="F4533" s="57">
        <f t="shared" ref="F4533:F4538" si="366">E4533+F4509</f>
        <v>20</v>
      </c>
    </row>
    <row r="4534" spans="1:6" x14ac:dyDescent="0.25">
      <c r="A4534" s="5" t="s">
        <v>23</v>
      </c>
      <c r="B4534" s="19">
        <v>44081</v>
      </c>
      <c r="C4534" s="4">
        <v>517</v>
      </c>
      <c r="D4534" s="21">
        <f t="shared" si="365"/>
        <v>12636</v>
      </c>
      <c r="E4534" s="4">
        <f>2+1+5+4</f>
        <v>12</v>
      </c>
      <c r="F4534" s="57">
        <f t="shared" si="366"/>
        <v>142</v>
      </c>
    </row>
    <row r="4535" spans="1:6" x14ac:dyDescent="0.25">
      <c r="A4535" s="5" t="s">
        <v>39</v>
      </c>
      <c r="B4535" s="19">
        <v>44081</v>
      </c>
      <c r="C4535" s="4">
        <v>48</v>
      </c>
      <c r="D4535" s="21">
        <f t="shared" si="365"/>
        <v>1343</v>
      </c>
      <c r="E4535" s="4">
        <f>1+1+1</f>
        <v>3</v>
      </c>
      <c r="F4535" s="57">
        <f t="shared" si="366"/>
        <v>20</v>
      </c>
    </row>
    <row r="4536" spans="1:6" x14ac:dyDescent="0.25">
      <c r="A4536" s="5" t="s">
        <v>40</v>
      </c>
      <c r="B4536" s="19">
        <v>44081</v>
      </c>
      <c r="C4536" s="4">
        <v>55</v>
      </c>
      <c r="D4536" s="21">
        <f t="shared" si="365"/>
        <v>2400</v>
      </c>
      <c r="F4536" s="57">
        <f t="shared" si="366"/>
        <v>38</v>
      </c>
    </row>
    <row r="4537" spans="1:6" x14ac:dyDescent="0.25">
      <c r="A4537" s="5" t="s">
        <v>41</v>
      </c>
      <c r="B4537" s="19">
        <v>44081</v>
      </c>
      <c r="C4537" s="4">
        <v>509</v>
      </c>
      <c r="D4537" s="21">
        <f t="shared" si="365"/>
        <v>4463</v>
      </c>
      <c r="E4537" s="4">
        <f>1</f>
        <v>1</v>
      </c>
      <c r="F4537" s="57">
        <f t="shared" si="366"/>
        <v>16</v>
      </c>
    </row>
    <row r="4538" spans="1:6" x14ac:dyDescent="0.25">
      <c r="A4538" s="42" t="s">
        <v>17</v>
      </c>
      <c r="B4538" s="19">
        <v>44082</v>
      </c>
      <c r="C4538" s="4">
        <v>6909</v>
      </c>
      <c r="D4538" s="21">
        <f>C4538+D4514</f>
        <v>303988</v>
      </c>
      <c r="E4538" s="4">
        <v>185</v>
      </c>
      <c r="F4538" s="57">
        <f t="shared" si="366"/>
        <v>6263</v>
      </c>
    </row>
    <row r="4539" spans="1:6" x14ac:dyDescent="0.25">
      <c r="A4539" s="5" t="s">
        <v>44</v>
      </c>
      <c r="B4539" s="19">
        <v>44082</v>
      </c>
      <c r="C4539" s="4">
        <v>1300</v>
      </c>
      <c r="D4539" s="21">
        <f t="shared" ref="D4539:D4551" si="367">C4539+D4515</f>
        <v>105309</v>
      </c>
      <c r="E4539" s="4">
        <v>29</v>
      </c>
      <c r="F4539" s="57">
        <f t="shared" si="364"/>
        <v>2530</v>
      </c>
    </row>
    <row r="4540" spans="1:6" x14ac:dyDescent="0.25">
      <c r="A4540" s="5" t="s">
        <v>29</v>
      </c>
      <c r="B4540" s="19">
        <v>44082</v>
      </c>
      <c r="C4540" s="4">
        <v>8</v>
      </c>
      <c r="D4540" s="21">
        <f t="shared" si="367"/>
        <v>96</v>
      </c>
      <c r="F4540" s="57">
        <f t="shared" si="364"/>
        <v>0</v>
      </c>
    </row>
    <row r="4541" spans="1:6" x14ac:dyDescent="0.25">
      <c r="A4541" s="5" t="s">
        <v>16</v>
      </c>
      <c r="B4541" s="19">
        <v>44082</v>
      </c>
      <c r="C4541" s="4">
        <v>94</v>
      </c>
      <c r="D4541" s="21">
        <f t="shared" si="367"/>
        <v>6150</v>
      </c>
      <c r="E4541" s="4">
        <f>1+1+1</f>
        <v>3</v>
      </c>
      <c r="F4541" s="57">
        <f>E4541+F4517</f>
        <v>229</v>
      </c>
    </row>
    <row r="4542" spans="1:6" x14ac:dyDescent="0.25">
      <c r="A4542" s="5" t="s">
        <v>30</v>
      </c>
      <c r="B4542" s="19">
        <v>44082</v>
      </c>
      <c r="C4542" s="4">
        <v>48</v>
      </c>
      <c r="D4542" s="21">
        <f t="shared" si="367"/>
        <v>1322</v>
      </c>
      <c r="F4542" s="57">
        <f t="shared" si="364"/>
        <v>8</v>
      </c>
    </row>
    <row r="4543" spans="1:6" x14ac:dyDescent="0.25">
      <c r="A4543" s="5" t="s">
        <v>21</v>
      </c>
      <c r="B4543" s="19">
        <v>44082</v>
      </c>
      <c r="C4543" s="4">
        <v>381</v>
      </c>
      <c r="D4543" s="21">
        <f t="shared" si="367"/>
        <v>11989</v>
      </c>
      <c r="E4543" s="4">
        <f>3+3</f>
        <v>6</v>
      </c>
      <c r="F4543" s="57">
        <f t="shared" si="364"/>
        <v>170</v>
      </c>
    </row>
    <row r="4544" spans="1:6" x14ac:dyDescent="0.25">
      <c r="A4544" s="5" t="s">
        <v>31</v>
      </c>
      <c r="B4544" s="19">
        <v>44082</v>
      </c>
      <c r="C4544" s="4">
        <v>20</v>
      </c>
      <c r="D4544" s="21">
        <f t="shared" si="367"/>
        <v>406</v>
      </c>
      <c r="F4544" s="57">
        <f t="shared" si="364"/>
        <v>5</v>
      </c>
    </row>
    <row r="4545" spans="1:6" x14ac:dyDescent="0.25">
      <c r="A4545" s="5" t="s">
        <v>32</v>
      </c>
      <c r="B4545" s="19">
        <v>44082</v>
      </c>
      <c r="C4545" s="4">
        <v>224</v>
      </c>
      <c r="D4545" s="21">
        <f t="shared" si="367"/>
        <v>4577</v>
      </c>
      <c r="E4545" s="4">
        <f>1+1+3</f>
        <v>5</v>
      </c>
      <c r="F4545" s="57">
        <f t="shared" si="364"/>
        <v>68</v>
      </c>
    </row>
    <row r="4546" spans="1:6" x14ac:dyDescent="0.25">
      <c r="A4546" s="5" t="s">
        <v>42</v>
      </c>
      <c r="B4546" s="19">
        <v>44082</v>
      </c>
      <c r="C4546" s="4">
        <v>0</v>
      </c>
      <c r="D4546" s="21">
        <f t="shared" si="367"/>
        <v>90</v>
      </c>
      <c r="F4546" s="57">
        <f>E4546+F4522</f>
        <v>1</v>
      </c>
    </row>
    <row r="4547" spans="1:6" x14ac:dyDescent="0.25">
      <c r="A4547" s="5" t="s">
        <v>33</v>
      </c>
      <c r="B4547" s="19">
        <v>44082</v>
      </c>
      <c r="C4547" s="4">
        <v>294</v>
      </c>
      <c r="D4547" s="21">
        <f t="shared" si="367"/>
        <v>10774</v>
      </c>
      <c r="E4547" s="4">
        <f>4+2</f>
        <v>6</v>
      </c>
      <c r="F4547" s="57">
        <f t="shared" si="364"/>
        <v>231</v>
      </c>
    </row>
    <row r="4548" spans="1:6" x14ac:dyDescent="0.25">
      <c r="A4548" s="5" t="s">
        <v>34</v>
      </c>
      <c r="B4548" s="19">
        <v>44082</v>
      </c>
      <c r="C4548" s="4">
        <v>4</v>
      </c>
      <c r="D4548" s="21">
        <f t="shared" si="367"/>
        <v>247</v>
      </c>
      <c r="F4548" s="57">
        <f t="shared" si="364"/>
        <v>4</v>
      </c>
    </row>
    <row r="4549" spans="1:6" x14ac:dyDescent="0.25">
      <c r="A4549" s="5" t="s">
        <v>22</v>
      </c>
      <c r="B4549" s="19">
        <v>44082</v>
      </c>
      <c r="C4549" s="4">
        <v>84</v>
      </c>
      <c r="D4549" s="21">
        <f t="shared" si="367"/>
        <v>2215</v>
      </c>
      <c r="F4549" s="57">
        <f t="shared" si="364"/>
        <v>51</v>
      </c>
    </row>
    <row r="4550" spans="1:6" x14ac:dyDescent="0.25">
      <c r="A4550" s="5" t="s">
        <v>18</v>
      </c>
      <c r="B4550" s="19">
        <v>44082</v>
      </c>
      <c r="C4550" s="4">
        <v>516</v>
      </c>
      <c r="D4550" s="21">
        <f t="shared" si="367"/>
        <v>10836</v>
      </c>
      <c r="E4550" s="4">
        <f>6+5+1+5</f>
        <v>17</v>
      </c>
      <c r="F4550" s="57">
        <f t="shared" si="364"/>
        <v>114</v>
      </c>
    </row>
    <row r="4551" spans="1:6" x14ac:dyDescent="0.25">
      <c r="A4551" s="5" t="s">
        <v>24</v>
      </c>
      <c r="B4551" s="19">
        <v>44082</v>
      </c>
      <c r="C4551" s="4">
        <v>-2</v>
      </c>
      <c r="D4551" s="21">
        <f t="shared" si="367"/>
        <v>69</v>
      </c>
      <c r="F4551" s="57">
        <f t="shared" si="364"/>
        <v>2</v>
      </c>
    </row>
    <row r="4552" spans="1:6" x14ac:dyDescent="0.25">
      <c r="A4552" s="5" t="s">
        <v>20</v>
      </c>
      <c r="B4552" s="19">
        <v>44082</v>
      </c>
      <c r="C4552" s="4">
        <v>90</v>
      </c>
      <c r="D4552" s="21">
        <f>C4552+D4528</f>
        <v>4049</v>
      </c>
      <c r="E4552" s="4">
        <f>1+2</f>
        <v>3</v>
      </c>
      <c r="F4552" s="57">
        <f t="shared" si="364"/>
        <v>41</v>
      </c>
    </row>
    <row r="4553" spans="1:6" x14ac:dyDescent="0.25">
      <c r="A4553" s="5" t="s">
        <v>19</v>
      </c>
      <c r="B4553" s="19">
        <v>44082</v>
      </c>
      <c r="C4553" s="4">
        <v>299</v>
      </c>
      <c r="D4553" s="21">
        <f>C4553+D4529</f>
        <v>7497</v>
      </c>
      <c r="E4553" s="4">
        <f>4+4</f>
        <v>8</v>
      </c>
      <c r="F4553" s="57">
        <f t="shared" si="364"/>
        <v>138</v>
      </c>
    </row>
    <row r="4554" spans="1:6" x14ac:dyDescent="0.25">
      <c r="A4554" s="5" t="s">
        <v>35</v>
      </c>
      <c r="B4554" s="19">
        <v>44082</v>
      </c>
      <c r="C4554" s="4">
        <v>282</v>
      </c>
      <c r="D4554" s="21">
        <f>C4554+D4530</f>
        <v>5109</v>
      </c>
      <c r="F4554" s="57">
        <f>E4554+F4530</f>
        <v>63</v>
      </c>
    </row>
    <row r="4555" spans="1:6" x14ac:dyDescent="0.25">
      <c r="A4555" s="5" t="s">
        <v>36</v>
      </c>
      <c r="B4555" s="19">
        <v>44082</v>
      </c>
      <c r="C4555" s="4">
        <v>16</v>
      </c>
      <c r="D4555" s="21">
        <f t="shared" ref="D4555:D4561" si="368">C4555+D4531</f>
        <v>380</v>
      </c>
      <c r="E4555" s="4">
        <f>5+2</f>
        <v>7</v>
      </c>
      <c r="F4555" s="57">
        <f>E4555+F4531</f>
        <v>7</v>
      </c>
    </row>
    <row r="4556" spans="1:6" x14ac:dyDescent="0.25">
      <c r="A4556" s="5" t="s">
        <v>37</v>
      </c>
      <c r="B4556" s="19">
        <v>44082</v>
      </c>
      <c r="C4556" s="4">
        <v>18</v>
      </c>
      <c r="D4556" s="21">
        <f t="shared" si="368"/>
        <v>325</v>
      </c>
      <c r="F4556" s="57">
        <f>E4556+F4532</f>
        <v>0</v>
      </c>
    </row>
    <row r="4557" spans="1:6" x14ac:dyDescent="0.25">
      <c r="A4557" s="5" t="s">
        <v>38</v>
      </c>
      <c r="B4557" s="19">
        <v>44082</v>
      </c>
      <c r="C4557" s="4">
        <v>76</v>
      </c>
      <c r="D4557" s="21">
        <f t="shared" si="368"/>
        <v>2398</v>
      </c>
      <c r="F4557" s="57">
        <f t="shared" ref="F4557:F4562" si="369">E4557+F4533</f>
        <v>20</v>
      </c>
    </row>
    <row r="4558" spans="1:6" x14ac:dyDescent="0.25">
      <c r="A4558" s="5" t="s">
        <v>23</v>
      </c>
      <c r="B4558" s="19">
        <v>44082</v>
      </c>
      <c r="C4558" s="4">
        <v>976</v>
      </c>
      <c r="D4558" s="21">
        <f t="shared" si="368"/>
        <v>13612</v>
      </c>
      <c r="E4558" s="4">
        <f>1+2+4</f>
        <v>7</v>
      </c>
      <c r="F4558" s="57">
        <f t="shared" si="369"/>
        <v>149</v>
      </c>
    </row>
    <row r="4559" spans="1:6" x14ac:dyDescent="0.25">
      <c r="A4559" s="5" t="s">
        <v>39</v>
      </c>
      <c r="B4559" s="19">
        <v>44082</v>
      </c>
      <c r="C4559" s="4">
        <v>46</v>
      </c>
      <c r="D4559" s="21">
        <f t="shared" si="368"/>
        <v>1389</v>
      </c>
      <c r="E4559" s="4">
        <f>1</f>
        <v>1</v>
      </c>
      <c r="F4559" s="57">
        <f t="shared" si="369"/>
        <v>21</v>
      </c>
    </row>
    <row r="4560" spans="1:6" x14ac:dyDescent="0.25">
      <c r="A4560" s="5" t="s">
        <v>40</v>
      </c>
      <c r="B4560" s="19">
        <v>44082</v>
      </c>
      <c r="C4560" s="4">
        <v>61</v>
      </c>
      <c r="D4560" s="21">
        <f t="shared" si="368"/>
        <v>2461</v>
      </c>
      <c r="F4560" s="57">
        <f t="shared" si="369"/>
        <v>38</v>
      </c>
    </row>
    <row r="4561" spans="1:6" ht="15.75" thickBot="1" x14ac:dyDescent="0.3">
      <c r="A4561" s="28" t="s">
        <v>41</v>
      </c>
      <c r="B4561" s="29">
        <v>44082</v>
      </c>
      <c r="C4561" s="30">
        <v>283</v>
      </c>
      <c r="D4561" s="59">
        <f t="shared" si="368"/>
        <v>4746</v>
      </c>
      <c r="E4561" s="30">
        <f>1</f>
        <v>1</v>
      </c>
      <c r="F4561" s="57">
        <f t="shared" si="369"/>
        <v>17</v>
      </c>
    </row>
    <row r="4562" spans="1:6" x14ac:dyDescent="0.25">
      <c r="A4562" s="45" t="s">
        <v>17</v>
      </c>
      <c r="B4562" s="32">
        <v>44083</v>
      </c>
      <c r="C4562" s="33">
        <v>6266</v>
      </c>
      <c r="D4562" s="97">
        <f>C4562+D4538</f>
        <v>310254</v>
      </c>
      <c r="E4562" s="33">
        <v>152</v>
      </c>
      <c r="F4562" s="57">
        <f t="shared" si="369"/>
        <v>6415</v>
      </c>
    </row>
    <row r="4563" spans="1:6" x14ac:dyDescent="0.25">
      <c r="A4563" s="34" t="s">
        <v>44</v>
      </c>
      <c r="B4563" s="19">
        <v>44083</v>
      </c>
      <c r="C4563" s="4">
        <v>1264</v>
      </c>
      <c r="D4563" s="21">
        <f t="shared" ref="D4563:D4575" si="370">C4563+D4539</f>
        <v>106573</v>
      </c>
      <c r="E4563" s="4">
        <v>47</v>
      </c>
      <c r="F4563" s="95">
        <f t="shared" ref="F4563:F4604" si="371">E4563+F4539</f>
        <v>2577</v>
      </c>
    </row>
    <row r="4564" spans="1:6" x14ac:dyDescent="0.25">
      <c r="A4564" s="34" t="s">
        <v>29</v>
      </c>
      <c r="B4564" s="19">
        <v>44083</v>
      </c>
      <c r="C4564" s="4">
        <v>3</v>
      </c>
      <c r="D4564" s="21">
        <f t="shared" si="370"/>
        <v>99</v>
      </c>
      <c r="F4564" s="95">
        <f t="shared" si="371"/>
        <v>0</v>
      </c>
    </row>
    <row r="4565" spans="1:6" x14ac:dyDescent="0.25">
      <c r="A4565" s="34" t="s">
        <v>16</v>
      </c>
      <c r="B4565" s="19">
        <v>44083</v>
      </c>
      <c r="C4565" s="4">
        <v>140</v>
      </c>
      <c r="D4565" s="21">
        <f t="shared" si="370"/>
        <v>6290</v>
      </c>
      <c r="E4565" s="4">
        <v>2</v>
      </c>
      <c r="F4565" s="95">
        <f>E4565+F4541</f>
        <v>231</v>
      </c>
    </row>
    <row r="4566" spans="1:6" x14ac:dyDescent="0.25">
      <c r="A4566" s="34" t="s">
        <v>30</v>
      </c>
      <c r="B4566" s="19">
        <v>44083</v>
      </c>
      <c r="C4566" s="4">
        <v>39</v>
      </c>
      <c r="D4566" s="21">
        <f t="shared" si="370"/>
        <v>1361</v>
      </c>
      <c r="F4566" s="95">
        <f t="shared" si="371"/>
        <v>8</v>
      </c>
    </row>
    <row r="4567" spans="1:6" x14ac:dyDescent="0.25">
      <c r="A4567" s="34" t="s">
        <v>21</v>
      </c>
      <c r="B4567" s="19">
        <v>44083</v>
      </c>
      <c r="C4567" s="4">
        <v>577</v>
      </c>
      <c r="D4567" s="21">
        <f t="shared" si="370"/>
        <v>12566</v>
      </c>
      <c r="E4567" s="4">
        <f>5+3</f>
        <v>8</v>
      </c>
      <c r="F4567" s="95">
        <f t="shared" si="371"/>
        <v>178</v>
      </c>
    </row>
    <row r="4568" spans="1:6" x14ac:dyDescent="0.25">
      <c r="A4568" s="34" t="s">
        <v>31</v>
      </c>
      <c r="B4568" s="19">
        <v>44083</v>
      </c>
      <c r="C4568" s="4">
        <v>25</v>
      </c>
      <c r="D4568" s="21">
        <f t="shared" si="370"/>
        <v>431</v>
      </c>
      <c r="F4568" s="95">
        <f t="shared" si="371"/>
        <v>5</v>
      </c>
    </row>
    <row r="4569" spans="1:6" x14ac:dyDescent="0.25">
      <c r="A4569" s="34" t="s">
        <v>32</v>
      </c>
      <c r="B4569" s="19">
        <v>44083</v>
      </c>
      <c r="C4569" s="4">
        <v>130</v>
      </c>
      <c r="D4569" s="21">
        <f t="shared" si="370"/>
        <v>4707</v>
      </c>
      <c r="E4569" s="4">
        <v>1</v>
      </c>
      <c r="F4569" s="95">
        <f t="shared" si="371"/>
        <v>69</v>
      </c>
    </row>
    <row r="4570" spans="1:6" x14ac:dyDescent="0.25">
      <c r="A4570" s="34" t="s">
        <v>42</v>
      </c>
      <c r="B4570" s="19">
        <v>44083</v>
      </c>
      <c r="C4570" s="4">
        <v>1</v>
      </c>
      <c r="D4570" s="21">
        <f t="shared" si="370"/>
        <v>91</v>
      </c>
      <c r="F4570" s="57">
        <f>E4570+F4546</f>
        <v>1</v>
      </c>
    </row>
    <row r="4571" spans="1:6" x14ac:dyDescent="0.25">
      <c r="A4571" s="34" t="s">
        <v>33</v>
      </c>
      <c r="B4571" s="19">
        <v>44083</v>
      </c>
      <c r="C4571" s="4">
        <v>343</v>
      </c>
      <c r="D4571" s="21">
        <f t="shared" si="370"/>
        <v>11117</v>
      </c>
      <c r="E4571" s="4">
        <f>3+3</f>
        <v>6</v>
      </c>
      <c r="F4571" s="95">
        <f t="shared" si="371"/>
        <v>237</v>
      </c>
    </row>
    <row r="4572" spans="1:6" x14ac:dyDescent="0.25">
      <c r="A4572" s="34" t="s">
        <v>34</v>
      </c>
      <c r="B4572" s="19">
        <v>44083</v>
      </c>
      <c r="C4572" s="4">
        <v>20</v>
      </c>
      <c r="D4572" s="21">
        <f t="shared" si="370"/>
        <v>267</v>
      </c>
      <c r="F4572" s="95">
        <f t="shared" si="371"/>
        <v>4</v>
      </c>
    </row>
    <row r="4573" spans="1:6" x14ac:dyDescent="0.25">
      <c r="A4573" s="34" t="s">
        <v>22</v>
      </c>
      <c r="B4573" s="19">
        <v>44083</v>
      </c>
      <c r="C4573" s="4">
        <v>145</v>
      </c>
      <c r="D4573" s="21">
        <f t="shared" si="370"/>
        <v>2360</v>
      </c>
      <c r="E4573" s="4">
        <v>1</v>
      </c>
      <c r="F4573" s="95">
        <f t="shared" si="371"/>
        <v>52</v>
      </c>
    </row>
    <row r="4574" spans="1:6" x14ac:dyDescent="0.25">
      <c r="A4574" s="34" t="s">
        <v>18</v>
      </c>
      <c r="B4574" s="19">
        <v>44083</v>
      </c>
      <c r="C4574" s="4">
        <v>798</v>
      </c>
      <c r="D4574" s="21">
        <f t="shared" si="370"/>
        <v>11634</v>
      </c>
      <c r="E4574" s="4">
        <f>5+4+2</f>
        <v>11</v>
      </c>
      <c r="F4574" s="95">
        <f t="shared" si="371"/>
        <v>125</v>
      </c>
    </row>
    <row r="4575" spans="1:6" x14ac:dyDescent="0.25">
      <c r="A4575" s="34" t="s">
        <v>24</v>
      </c>
      <c r="B4575" s="19">
        <v>44083</v>
      </c>
      <c r="C4575" s="4">
        <v>2</v>
      </c>
      <c r="D4575" s="21">
        <f t="shared" si="370"/>
        <v>71</v>
      </c>
      <c r="F4575" s="95">
        <f t="shared" si="371"/>
        <v>2</v>
      </c>
    </row>
    <row r="4576" spans="1:6" x14ac:dyDescent="0.25">
      <c r="A4576" s="34" t="s">
        <v>20</v>
      </c>
      <c r="B4576" s="19">
        <v>44083</v>
      </c>
      <c r="C4576" s="4">
        <v>69</v>
      </c>
      <c r="D4576" s="21">
        <f>C4576+D4552</f>
        <v>4118</v>
      </c>
      <c r="E4576" s="4">
        <f>1+1</f>
        <v>2</v>
      </c>
      <c r="F4576" s="95">
        <f t="shared" si="371"/>
        <v>43</v>
      </c>
    </row>
    <row r="4577" spans="1:6" x14ac:dyDescent="0.25">
      <c r="A4577" s="34" t="s">
        <v>19</v>
      </c>
      <c r="B4577" s="19">
        <v>44083</v>
      </c>
      <c r="C4577" s="4">
        <v>280</v>
      </c>
      <c r="D4577" s="21">
        <f>C4577+D4553</f>
        <v>7777</v>
      </c>
      <c r="E4577" s="4">
        <f>2</f>
        <v>2</v>
      </c>
      <c r="F4577" s="95">
        <f t="shared" si="371"/>
        <v>140</v>
      </c>
    </row>
    <row r="4578" spans="1:6" x14ac:dyDescent="0.25">
      <c r="A4578" s="34" t="s">
        <v>35</v>
      </c>
      <c r="B4578" s="19">
        <v>44083</v>
      </c>
      <c r="C4578" s="4">
        <v>361</v>
      </c>
      <c r="D4578" s="21">
        <f>C4578+D4554</f>
        <v>5470</v>
      </c>
      <c r="E4578" s="4">
        <f>7+1</f>
        <v>8</v>
      </c>
      <c r="F4578" s="95">
        <f>E4578+F4554</f>
        <v>71</v>
      </c>
    </row>
    <row r="4579" spans="1:6" x14ac:dyDescent="0.25">
      <c r="A4579" s="34" t="s">
        <v>36</v>
      </c>
      <c r="B4579" s="19">
        <v>44083</v>
      </c>
      <c r="C4579" s="4">
        <v>4</v>
      </c>
      <c r="D4579" s="21">
        <f t="shared" ref="D4579:D4585" si="372">C4579+D4555</f>
        <v>384</v>
      </c>
      <c r="F4579" s="57">
        <f>E4579+F4555</f>
        <v>7</v>
      </c>
    </row>
    <row r="4580" spans="1:6" x14ac:dyDescent="0.25">
      <c r="A4580" s="34" t="s">
        <v>37</v>
      </c>
      <c r="B4580" s="19">
        <v>44083</v>
      </c>
      <c r="C4580" s="4">
        <v>21</v>
      </c>
      <c r="D4580" s="21">
        <f t="shared" si="372"/>
        <v>346</v>
      </c>
      <c r="F4580" s="95">
        <f t="shared" si="371"/>
        <v>0</v>
      </c>
    </row>
    <row r="4581" spans="1:6" x14ac:dyDescent="0.25">
      <c r="A4581" s="34" t="s">
        <v>38</v>
      </c>
      <c r="B4581" s="19">
        <v>44083</v>
      </c>
      <c r="C4581" s="4">
        <v>142</v>
      </c>
      <c r="D4581" s="21">
        <f t="shared" si="372"/>
        <v>2540</v>
      </c>
      <c r="E4581" s="4">
        <f>1</f>
        <v>1</v>
      </c>
      <c r="F4581" s="57">
        <f t="shared" ref="F4581:F4588" si="373">E4581+F4557</f>
        <v>21</v>
      </c>
    </row>
    <row r="4582" spans="1:6" x14ac:dyDescent="0.25">
      <c r="A4582" s="34" t="s">
        <v>23</v>
      </c>
      <c r="B4582" s="19">
        <v>44083</v>
      </c>
      <c r="C4582" s="4">
        <v>1089</v>
      </c>
      <c r="D4582" s="21">
        <f t="shared" si="372"/>
        <v>14701</v>
      </c>
      <c r="E4582" s="4">
        <f>1+2+4</f>
        <v>7</v>
      </c>
      <c r="F4582" s="57">
        <f t="shared" si="373"/>
        <v>156</v>
      </c>
    </row>
    <row r="4583" spans="1:6" x14ac:dyDescent="0.25">
      <c r="A4583" s="34" t="s">
        <v>39</v>
      </c>
      <c r="B4583" s="19">
        <v>44083</v>
      </c>
      <c r="C4583" s="4">
        <v>81</v>
      </c>
      <c r="D4583" s="21">
        <f t="shared" si="372"/>
        <v>1470</v>
      </c>
      <c r="E4583" s="4">
        <f>1</f>
        <v>1</v>
      </c>
      <c r="F4583" s="57">
        <f t="shared" si="373"/>
        <v>22</v>
      </c>
    </row>
    <row r="4584" spans="1:6" x14ac:dyDescent="0.25">
      <c r="A4584" s="34" t="s">
        <v>40</v>
      </c>
      <c r="B4584" s="19">
        <v>44083</v>
      </c>
      <c r="C4584" s="4">
        <v>69</v>
      </c>
      <c r="D4584" s="21">
        <f t="shared" si="372"/>
        <v>2530</v>
      </c>
      <c r="E4584" s="4">
        <f>1</f>
        <v>1</v>
      </c>
      <c r="F4584" s="57">
        <f t="shared" si="373"/>
        <v>39</v>
      </c>
    </row>
    <row r="4585" spans="1:6" ht="15.75" thickBot="1" x14ac:dyDescent="0.3">
      <c r="A4585" s="64" t="s">
        <v>41</v>
      </c>
      <c r="B4585" s="29">
        <v>44083</v>
      </c>
      <c r="C4585" s="30">
        <v>390</v>
      </c>
      <c r="D4585" s="59">
        <f t="shared" si="372"/>
        <v>5136</v>
      </c>
      <c r="E4585" s="30"/>
      <c r="F4585" s="57">
        <f t="shared" si="373"/>
        <v>17</v>
      </c>
    </row>
    <row r="4586" spans="1:6" x14ac:dyDescent="0.25">
      <c r="A4586" s="45" t="s">
        <v>17</v>
      </c>
      <c r="B4586" s="32">
        <v>44084</v>
      </c>
      <c r="C4586" s="65">
        <v>6252</v>
      </c>
      <c r="D4586" s="97">
        <f>C4586+D4562</f>
        <v>316506</v>
      </c>
      <c r="E4586" s="33">
        <f>29+9+62+41</f>
        <v>141</v>
      </c>
      <c r="F4586" s="57">
        <f t="shared" si="373"/>
        <v>6556</v>
      </c>
    </row>
    <row r="4587" spans="1:6" x14ac:dyDescent="0.25">
      <c r="A4587" s="34" t="s">
        <v>44</v>
      </c>
      <c r="B4587" s="19">
        <v>44084</v>
      </c>
      <c r="C4587" s="1">
        <v>1284</v>
      </c>
      <c r="D4587" s="21">
        <f t="shared" ref="D4587:D4599" si="374">C4587+D4563</f>
        <v>107857</v>
      </c>
      <c r="E4587" s="4">
        <v>34</v>
      </c>
      <c r="F4587" s="95">
        <f t="shared" si="373"/>
        <v>2611</v>
      </c>
    </row>
    <row r="4588" spans="1:6" x14ac:dyDescent="0.25">
      <c r="A4588" s="34" t="s">
        <v>29</v>
      </c>
      <c r="B4588" s="19">
        <v>44084</v>
      </c>
      <c r="C4588" s="1">
        <v>12</v>
      </c>
      <c r="D4588" s="21">
        <f t="shared" si="374"/>
        <v>111</v>
      </c>
      <c r="F4588" s="95">
        <f t="shared" si="373"/>
        <v>0</v>
      </c>
    </row>
    <row r="4589" spans="1:6" x14ac:dyDescent="0.25">
      <c r="A4589" s="34" t="s">
        <v>16</v>
      </c>
      <c r="B4589" s="19">
        <v>44084</v>
      </c>
      <c r="C4589" s="1">
        <v>128</v>
      </c>
      <c r="D4589" s="21">
        <f t="shared" si="374"/>
        <v>6418</v>
      </c>
      <c r="E4589" s="4">
        <f>1</f>
        <v>1</v>
      </c>
      <c r="F4589" s="95">
        <f t="shared" si="371"/>
        <v>232</v>
      </c>
    </row>
    <row r="4590" spans="1:6" x14ac:dyDescent="0.25">
      <c r="A4590" s="34" t="s">
        <v>30</v>
      </c>
      <c r="B4590" s="19">
        <v>44084</v>
      </c>
      <c r="C4590" s="1">
        <v>29</v>
      </c>
      <c r="D4590" s="21">
        <f t="shared" si="374"/>
        <v>1390</v>
      </c>
      <c r="F4590" s="95">
        <f t="shared" si="371"/>
        <v>8</v>
      </c>
    </row>
    <row r="4591" spans="1:6" x14ac:dyDescent="0.25">
      <c r="A4591" s="34" t="s">
        <v>21</v>
      </c>
      <c r="B4591" s="19">
        <v>44084</v>
      </c>
      <c r="C4591" s="1">
        <v>443</v>
      </c>
      <c r="D4591" s="21">
        <f t="shared" si="374"/>
        <v>13009</v>
      </c>
      <c r="E4591" s="4">
        <f>3+2</f>
        <v>5</v>
      </c>
      <c r="F4591" s="95">
        <f t="shared" si="371"/>
        <v>183</v>
      </c>
    </row>
    <row r="4592" spans="1:6" x14ac:dyDescent="0.25">
      <c r="A4592" s="34" t="s">
        <v>31</v>
      </c>
      <c r="B4592" s="19">
        <v>44084</v>
      </c>
      <c r="C4592" s="1">
        <v>60</v>
      </c>
      <c r="D4592" s="21">
        <f t="shared" si="374"/>
        <v>491</v>
      </c>
      <c r="F4592" s="95">
        <f t="shared" si="371"/>
        <v>5</v>
      </c>
    </row>
    <row r="4593" spans="1:6" x14ac:dyDescent="0.25">
      <c r="A4593" s="34" t="s">
        <v>32</v>
      </c>
      <c r="B4593" s="19">
        <v>44084</v>
      </c>
      <c r="C4593" s="1">
        <v>137</v>
      </c>
      <c r="D4593" s="21">
        <f t="shared" si="374"/>
        <v>4844</v>
      </c>
      <c r="E4593" s="4">
        <f>4+4</f>
        <v>8</v>
      </c>
      <c r="F4593" s="95">
        <f t="shared" si="371"/>
        <v>77</v>
      </c>
    </row>
    <row r="4594" spans="1:6" x14ac:dyDescent="0.25">
      <c r="A4594" s="34" t="s">
        <v>42</v>
      </c>
      <c r="B4594" s="19">
        <v>44084</v>
      </c>
      <c r="C4594" s="1">
        <v>1</v>
      </c>
      <c r="D4594" s="21">
        <f t="shared" si="374"/>
        <v>92</v>
      </c>
      <c r="F4594" s="57">
        <f>E4594+F4570</f>
        <v>1</v>
      </c>
    </row>
    <row r="4595" spans="1:6" x14ac:dyDescent="0.25">
      <c r="A4595" s="34" t="s">
        <v>33</v>
      </c>
      <c r="B4595" s="19">
        <v>44084</v>
      </c>
      <c r="C4595" s="1">
        <v>280</v>
      </c>
      <c r="D4595" s="21">
        <f t="shared" si="374"/>
        <v>11397</v>
      </c>
      <c r="E4595" s="4">
        <f>4+2</f>
        <v>6</v>
      </c>
      <c r="F4595" s="95">
        <f t="shared" si="371"/>
        <v>243</v>
      </c>
    </row>
    <row r="4596" spans="1:6" x14ac:dyDescent="0.25">
      <c r="A4596" s="34" t="s">
        <v>34</v>
      </c>
      <c r="B4596" s="19">
        <v>44084</v>
      </c>
      <c r="C4596" s="1">
        <v>27</v>
      </c>
      <c r="D4596" s="21">
        <f t="shared" si="374"/>
        <v>294</v>
      </c>
      <c r="F4596" s="95">
        <f t="shared" si="371"/>
        <v>4</v>
      </c>
    </row>
    <row r="4597" spans="1:6" x14ac:dyDescent="0.25">
      <c r="A4597" s="34" t="s">
        <v>22</v>
      </c>
      <c r="B4597" s="19">
        <v>44084</v>
      </c>
      <c r="C4597" s="1">
        <v>143</v>
      </c>
      <c r="D4597" s="21">
        <f t="shared" si="374"/>
        <v>2503</v>
      </c>
      <c r="E4597" s="4">
        <f>1+1</f>
        <v>2</v>
      </c>
      <c r="F4597" s="95">
        <f t="shared" si="371"/>
        <v>54</v>
      </c>
    </row>
    <row r="4598" spans="1:6" x14ac:dyDescent="0.25">
      <c r="A4598" s="34" t="s">
        <v>18</v>
      </c>
      <c r="B4598" s="19">
        <v>44084</v>
      </c>
      <c r="C4598" s="1">
        <v>731</v>
      </c>
      <c r="D4598" s="21">
        <f t="shared" si="374"/>
        <v>12365</v>
      </c>
      <c r="E4598" s="4">
        <f>5+3+5</f>
        <v>13</v>
      </c>
      <c r="F4598" s="95">
        <f t="shared" si="371"/>
        <v>138</v>
      </c>
    </row>
    <row r="4599" spans="1:6" x14ac:dyDescent="0.25">
      <c r="A4599" s="34" t="s">
        <v>24</v>
      </c>
      <c r="B4599" s="19">
        <v>44084</v>
      </c>
      <c r="C4599" s="1">
        <v>-6</v>
      </c>
      <c r="D4599" s="21">
        <f t="shared" si="374"/>
        <v>65</v>
      </c>
      <c r="F4599" s="95">
        <f t="shared" si="371"/>
        <v>2</v>
      </c>
    </row>
    <row r="4600" spans="1:6" x14ac:dyDescent="0.25">
      <c r="A4600" s="34" t="s">
        <v>20</v>
      </c>
      <c r="B4600" s="19">
        <v>44084</v>
      </c>
      <c r="C4600" s="1">
        <v>180</v>
      </c>
      <c r="D4600" s="21">
        <f>C4600+D4576</f>
        <v>4298</v>
      </c>
      <c r="E4600" s="4">
        <f>1+1</f>
        <v>2</v>
      </c>
      <c r="F4600" s="95">
        <f t="shared" si="371"/>
        <v>45</v>
      </c>
    </row>
    <row r="4601" spans="1:6" x14ac:dyDescent="0.25">
      <c r="A4601" s="34" t="s">
        <v>19</v>
      </c>
      <c r="B4601" s="19">
        <v>44084</v>
      </c>
      <c r="C4601" s="1">
        <v>265</v>
      </c>
      <c r="D4601" s="21">
        <f>C4601+D4577</f>
        <v>8042</v>
      </c>
      <c r="E4601" s="4">
        <f>3+1</f>
        <v>4</v>
      </c>
      <c r="F4601" s="95">
        <f t="shared" si="371"/>
        <v>144</v>
      </c>
    </row>
    <row r="4602" spans="1:6" x14ac:dyDescent="0.25">
      <c r="A4602" s="34" t="s">
        <v>35</v>
      </c>
      <c r="B4602" s="19">
        <v>44084</v>
      </c>
      <c r="C4602" s="1">
        <v>367</v>
      </c>
      <c r="D4602" s="21">
        <f>C4602+D4578</f>
        <v>5837</v>
      </c>
      <c r="E4602" s="4">
        <f>3+6</f>
        <v>9</v>
      </c>
      <c r="F4602" s="95">
        <f>E4602+F4578</f>
        <v>80</v>
      </c>
    </row>
    <row r="4603" spans="1:6" x14ac:dyDescent="0.25">
      <c r="A4603" s="34" t="s">
        <v>36</v>
      </c>
      <c r="B4603" s="19">
        <v>44084</v>
      </c>
      <c r="C4603" s="1">
        <v>1</v>
      </c>
      <c r="D4603" s="21">
        <f t="shared" ref="D4603:D4609" si="375">C4603+D4579</f>
        <v>385</v>
      </c>
      <c r="F4603" s="57">
        <f>E4603+F4579</f>
        <v>7</v>
      </c>
    </row>
    <row r="4604" spans="1:6" x14ac:dyDescent="0.25">
      <c r="A4604" s="34" t="s">
        <v>37</v>
      </c>
      <c r="B4604" s="19">
        <v>44084</v>
      </c>
      <c r="C4604" s="1">
        <v>10</v>
      </c>
      <c r="D4604" s="21">
        <f t="shared" si="375"/>
        <v>356</v>
      </c>
      <c r="F4604" s="95">
        <f t="shared" si="371"/>
        <v>0</v>
      </c>
    </row>
    <row r="4605" spans="1:6" x14ac:dyDescent="0.25">
      <c r="A4605" s="34" t="s">
        <v>38</v>
      </c>
      <c r="B4605" s="19">
        <v>44084</v>
      </c>
      <c r="C4605" s="1">
        <v>86</v>
      </c>
      <c r="D4605" s="21">
        <f t="shared" si="375"/>
        <v>2626</v>
      </c>
      <c r="F4605" s="57">
        <f t="shared" ref="F4605:F4612" si="376">E4605+F4581</f>
        <v>21</v>
      </c>
    </row>
    <row r="4606" spans="1:6" x14ac:dyDescent="0.25">
      <c r="A4606" s="34" t="s">
        <v>23</v>
      </c>
      <c r="B4606" s="19">
        <v>44084</v>
      </c>
      <c r="C4606" s="1">
        <v>1042</v>
      </c>
      <c r="D4606" s="21">
        <f t="shared" si="375"/>
        <v>15743</v>
      </c>
      <c r="E4606" s="4">
        <f>5+2+7+7</f>
        <v>21</v>
      </c>
      <c r="F4606" s="57">
        <f t="shared" si="376"/>
        <v>177</v>
      </c>
    </row>
    <row r="4607" spans="1:6" x14ac:dyDescent="0.25">
      <c r="A4607" s="34" t="s">
        <v>39</v>
      </c>
      <c r="B4607" s="19">
        <v>44084</v>
      </c>
      <c r="C4607" s="1">
        <v>88</v>
      </c>
      <c r="D4607" s="21">
        <f t="shared" si="375"/>
        <v>1558</v>
      </c>
      <c r="E4607" s="4">
        <f>1+2</f>
        <v>3</v>
      </c>
      <c r="F4607" s="57">
        <f t="shared" si="376"/>
        <v>25</v>
      </c>
    </row>
    <row r="4608" spans="1:6" x14ac:dyDescent="0.25">
      <c r="A4608" s="34" t="s">
        <v>40</v>
      </c>
      <c r="B4608" s="19">
        <v>44084</v>
      </c>
      <c r="C4608" s="1">
        <v>62</v>
      </c>
      <c r="D4608" s="21">
        <f t="shared" si="375"/>
        <v>2592</v>
      </c>
      <c r="E4608" s="4">
        <f>1</f>
        <v>1</v>
      </c>
      <c r="F4608" s="57">
        <f t="shared" si="376"/>
        <v>40</v>
      </c>
    </row>
    <row r="4609" spans="1:7" ht="15.75" thickBot="1" x14ac:dyDescent="0.3">
      <c r="A4609" s="35" t="s">
        <v>41</v>
      </c>
      <c r="B4609" s="36">
        <v>44084</v>
      </c>
      <c r="C4609" s="66">
        <v>283</v>
      </c>
      <c r="D4609" s="98">
        <f t="shared" si="375"/>
        <v>5419</v>
      </c>
      <c r="E4609" s="37"/>
      <c r="F4609" s="57">
        <f t="shared" si="376"/>
        <v>17</v>
      </c>
    </row>
    <row r="4610" spans="1:7" ht="15.75" thickBot="1" x14ac:dyDescent="0.3">
      <c r="A4610" s="45" t="s">
        <v>17</v>
      </c>
      <c r="B4610" s="36">
        <v>44085</v>
      </c>
      <c r="C4610" s="31">
        <v>5732</v>
      </c>
      <c r="D4610" s="97">
        <f>C4610+D4586</f>
        <v>322238</v>
      </c>
      <c r="E4610" s="31">
        <v>127</v>
      </c>
      <c r="F4610" s="57">
        <f t="shared" si="376"/>
        <v>6683</v>
      </c>
      <c r="G4610" s="93"/>
    </row>
    <row r="4611" spans="1:7" ht="15.75" thickBot="1" x14ac:dyDescent="0.3">
      <c r="A4611" s="34" t="s">
        <v>44</v>
      </c>
      <c r="B4611" s="36">
        <v>44085</v>
      </c>
      <c r="C4611" s="4">
        <v>1215</v>
      </c>
      <c r="D4611" s="21">
        <f t="shared" ref="D4611:D4623" si="377">C4611+D4587</f>
        <v>109072</v>
      </c>
      <c r="E4611" s="4">
        <f>19+18+9+13</f>
        <v>59</v>
      </c>
      <c r="F4611" s="95">
        <f t="shared" si="376"/>
        <v>2670</v>
      </c>
    </row>
    <row r="4612" spans="1:7" ht="15.75" thickBot="1" x14ac:dyDescent="0.3">
      <c r="A4612" s="34" t="s">
        <v>29</v>
      </c>
      <c r="B4612" s="36">
        <v>44085</v>
      </c>
      <c r="C4612" s="4">
        <v>3</v>
      </c>
      <c r="D4612" s="21">
        <f t="shared" si="377"/>
        <v>114</v>
      </c>
      <c r="F4612" s="95">
        <f t="shared" si="376"/>
        <v>0</v>
      </c>
    </row>
    <row r="4613" spans="1:7" ht="15.75" thickBot="1" x14ac:dyDescent="0.3">
      <c r="A4613" s="34" t="s">
        <v>16</v>
      </c>
      <c r="B4613" s="36">
        <v>44085</v>
      </c>
      <c r="C4613" s="4">
        <v>125</v>
      </c>
      <c r="D4613" s="21">
        <f t="shared" si="377"/>
        <v>6543</v>
      </c>
      <c r="E4613" s="4">
        <f>1+1</f>
        <v>2</v>
      </c>
      <c r="F4613" s="95">
        <f t="shared" ref="F4613:F4631" si="378">E4613+F4589</f>
        <v>234</v>
      </c>
    </row>
    <row r="4614" spans="1:7" ht="15.75" thickBot="1" x14ac:dyDescent="0.3">
      <c r="A4614" s="34" t="s">
        <v>30</v>
      </c>
      <c r="B4614" s="36">
        <v>44085</v>
      </c>
      <c r="C4614" s="4">
        <v>90</v>
      </c>
      <c r="D4614" s="21">
        <f t="shared" si="377"/>
        <v>1480</v>
      </c>
      <c r="E4614" s="4">
        <v>2</v>
      </c>
      <c r="F4614" s="95">
        <f t="shared" si="378"/>
        <v>10</v>
      </c>
    </row>
    <row r="4615" spans="1:7" ht="15.75" thickBot="1" x14ac:dyDescent="0.3">
      <c r="A4615" s="34" t="s">
        <v>21</v>
      </c>
      <c r="B4615" s="36">
        <v>44085</v>
      </c>
      <c r="C4615" s="4">
        <v>387</v>
      </c>
      <c r="D4615" s="21">
        <f t="shared" si="377"/>
        <v>13396</v>
      </c>
      <c r="E4615" s="4">
        <f>3+3</f>
        <v>6</v>
      </c>
      <c r="F4615" s="95">
        <f t="shared" si="378"/>
        <v>189</v>
      </c>
    </row>
    <row r="4616" spans="1:7" ht="15.75" thickBot="1" x14ac:dyDescent="0.3">
      <c r="A4616" s="34" t="s">
        <v>31</v>
      </c>
      <c r="B4616" s="36">
        <v>44085</v>
      </c>
      <c r="C4616" s="4">
        <v>112</v>
      </c>
      <c r="D4616" s="21">
        <f t="shared" si="377"/>
        <v>603</v>
      </c>
      <c r="E4616" s="4">
        <f>1</f>
        <v>1</v>
      </c>
      <c r="F4616" s="95">
        <f t="shared" si="378"/>
        <v>6</v>
      </c>
    </row>
    <row r="4617" spans="1:7" ht="15.75" thickBot="1" x14ac:dyDescent="0.3">
      <c r="A4617" s="34" t="s">
        <v>32</v>
      </c>
      <c r="B4617" s="36">
        <v>44085</v>
      </c>
      <c r="C4617" s="4">
        <v>151</v>
      </c>
      <c r="D4617" s="21">
        <f t="shared" si="377"/>
        <v>4995</v>
      </c>
      <c r="E4617" s="4">
        <v>11</v>
      </c>
      <c r="F4617" s="95">
        <f t="shared" si="378"/>
        <v>88</v>
      </c>
    </row>
    <row r="4618" spans="1:7" ht="15.75" thickBot="1" x14ac:dyDescent="0.3">
      <c r="A4618" s="34" t="s">
        <v>42</v>
      </c>
      <c r="B4618" s="36">
        <v>44085</v>
      </c>
      <c r="C4618" s="4">
        <v>4</v>
      </c>
      <c r="D4618" s="21">
        <f t="shared" si="377"/>
        <v>96</v>
      </c>
      <c r="F4618" s="57">
        <f>E4618+F4594</f>
        <v>1</v>
      </c>
    </row>
    <row r="4619" spans="1:7" ht="15.75" thickBot="1" x14ac:dyDescent="0.3">
      <c r="A4619" s="34" t="s">
        <v>33</v>
      </c>
      <c r="B4619" s="36">
        <v>44085</v>
      </c>
      <c r="C4619" s="4">
        <v>302</v>
      </c>
      <c r="D4619" s="21">
        <f t="shared" si="377"/>
        <v>11699</v>
      </c>
      <c r="E4619" s="4">
        <f>1</f>
        <v>1</v>
      </c>
      <c r="F4619" s="95">
        <f t="shared" si="378"/>
        <v>244</v>
      </c>
    </row>
    <row r="4620" spans="1:7" ht="15.75" thickBot="1" x14ac:dyDescent="0.3">
      <c r="A4620" s="34" t="s">
        <v>34</v>
      </c>
      <c r="B4620" s="36">
        <v>44085</v>
      </c>
      <c r="C4620" s="4">
        <v>27</v>
      </c>
      <c r="D4620" s="21">
        <f t="shared" si="377"/>
        <v>321</v>
      </c>
      <c r="F4620" s="95">
        <f t="shared" si="378"/>
        <v>4</v>
      </c>
    </row>
    <row r="4621" spans="1:7" ht="15.75" thickBot="1" x14ac:dyDescent="0.3">
      <c r="A4621" s="34" t="s">
        <v>22</v>
      </c>
      <c r="B4621" s="36">
        <v>44085</v>
      </c>
      <c r="C4621" s="4">
        <v>162</v>
      </c>
      <c r="D4621" s="21">
        <f t="shared" si="377"/>
        <v>2665</v>
      </c>
      <c r="F4621" s="95">
        <f t="shared" si="378"/>
        <v>54</v>
      </c>
    </row>
    <row r="4622" spans="1:7" ht="15.75" thickBot="1" x14ac:dyDescent="0.3">
      <c r="A4622" s="34" t="s">
        <v>18</v>
      </c>
      <c r="B4622" s="36">
        <v>44085</v>
      </c>
      <c r="C4622" s="4">
        <v>695</v>
      </c>
      <c r="D4622" s="21">
        <f t="shared" si="377"/>
        <v>13060</v>
      </c>
      <c r="E4622" s="4">
        <f>1+2+3+2</f>
        <v>8</v>
      </c>
      <c r="F4622" s="95">
        <f t="shared" si="378"/>
        <v>146</v>
      </c>
    </row>
    <row r="4623" spans="1:7" ht="15.75" thickBot="1" x14ac:dyDescent="0.3">
      <c r="A4623" s="34" t="s">
        <v>24</v>
      </c>
      <c r="B4623" s="36">
        <v>44085</v>
      </c>
      <c r="C4623" s="4">
        <v>0</v>
      </c>
      <c r="D4623" s="21">
        <f t="shared" si="377"/>
        <v>65</v>
      </c>
      <c r="F4623" s="95">
        <f t="shared" si="378"/>
        <v>2</v>
      </c>
    </row>
    <row r="4624" spans="1:7" ht="15.75" thickBot="1" x14ac:dyDescent="0.3">
      <c r="A4624" s="34" t="s">
        <v>20</v>
      </c>
      <c r="B4624" s="36">
        <v>44085</v>
      </c>
      <c r="C4624" s="4">
        <v>161</v>
      </c>
      <c r="D4624" s="21">
        <f>C4624+D4600</f>
        <v>4459</v>
      </c>
      <c r="E4624" s="4">
        <f>1</f>
        <v>1</v>
      </c>
      <c r="F4624" s="95">
        <f t="shared" si="378"/>
        <v>46</v>
      </c>
    </row>
    <row r="4625" spans="1:6" ht="15.75" thickBot="1" x14ac:dyDescent="0.3">
      <c r="A4625" s="34" t="s">
        <v>19</v>
      </c>
      <c r="B4625" s="36">
        <v>44085</v>
      </c>
      <c r="C4625" s="4">
        <v>318</v>
      </c>
      <c r="D4625" s="21">
        <f>C4625+D4601</f>
        <v>8360</v>
      </c>
      <c r="E4625" s="4">
        <f>1+2+4</f>
        <v>7</v>
      </c>
      <c r="F4625" s="95">
        <f t="shared" si="378"/>
        <v>151</v>
      </c>
    </row>
    <row r="4626" spans="1:6" ht="15.75" thickBot="1" x14ac:dyDescent="0.3">
      <c r="A4626" s="34" t="s">
        <v>35</v>
      </c>
      <c r="B4626" s="36">
        <v>44085</v>
      </c>
      <c r="C4626" s="4">
        <v>322</v>
      </c>
      <c r="D4626" s="21">
        <f>C4626+D4602</f>
        <v>6159</v>
      </c>
      <c r="E4626" s="4">
        <f>1+2+2</f>
        <v>5</v>
      </c>
      <c r="F4626" s="95">
        <f>E4626+F4602</f>
        <v>85</v>
      </c>
    </row>
    <row r="4627" spans="1:6" ht="15.75" thickBot="1" x14ac:dyDescent="0.3">
      <c r="A4627" s="34" t="s">
        <v>36</v>
      </c>
      <c r="B4627" s="36">
        <v>44085</v>
      </c>
      <c r="C4627" s="4">
        <v>14</v>
      </c>
      <c r="D4627" s="21">
        <f t="shared" ref="D4627:D4633" si="379">C4627+D4603</f>
        <v>399</v>
      </c>
      <c r="F4627" s="57">
        <f>E4627+F4603</f>
        <v>7</v>
      </c>
    </row>
    <row r="4628" spans="1:6" ht="15.75" thickBot="1" x14ac:dyDescent="0.3">
      <c r="A4628" s="34" t="s">
        <v>37</v>
      </c>
      <c r="B4628" s="36">
        <v>44085</v>
      </c>
      <c r="C4628" s="4">
        <v>23</v>
      </c>
      <c r="D4628" s="21">
        <f t="shared" si="379"/>
        <v>379</v>
      </c>
      <c r="F4628" s="95">
        <f t="shared" si="378"/>
        <v>0</v>
      </c>
    </row>
    <row r="4629" spans="1:6" ht="15.75" thickBot="1" x14ac:dyDescent="0.3">
      <c r="A4629" s="34" t="s">
        <v>38</v>
      </c>
      <c r="B4629" s="36">
        <v>44085</v>
      </c>
      <c r="C4629" s="4">
        <v>136</v>
      </c>
      <c r="D4629" s="21">
        <f t="shared" si="379"/>
        <v>2762</v>
      </c>
      <c r="F4629" s="57">
        <f>E4629+F4605</f>
        <v>21</v>
      </c>
    </row>
    <row r="4630" spans="1:6" ht="15.75" thickBot="1" x14ac:dyDescent="0.3">
      <c r="A4630" s="34" t="s">
        <v>23</v>
      </c>
      <c r="B4630" s="36">
        <v>44085</v>
      </c>
      <c r="C4630" s="4">
        <v>930</v>
      </c>
      <c r="D4630" s="21">
        <f t="shared" si="379"/>
        <v>16673</v>
      </c>
      <c r="E4630" s="4">
        <f>2+4+4</f>
        <v>10</v>
      </c>
      <c r="F4630" s="57">
        <f>E4630+F4606</f>
        <v>187</v>
      </c>
    </row>
    <row r="4631" spans="1:6" ht="15.75" thickBot="1" x14ac:dyDescent="0.3">
      <c r="A4631" s="34" t="s">
        <v>39</v>
      </c>
      <c r="B4631" s="36">
        <v>44085</v>
      </c>
      <c r="C4631" s="4">
        <v>83</v>
      </c>
      <c r="D4631" s="21">
        <f t="shared" si="379"/>
        <v>1641</v>
      </c>
      <c r="F4631" s="95">
        <f t="shared" si="378"/>
        <v>25</v>
      </c>
    </row>
    <row r="4632" spans="1:6" ht="15.75" thickBot="1" x14ac:dyDescent="0.3">
      <c r="A4632" s="34" t="s">
        <v>40</v>
      </c>
      <c r="B4632" s="36">
        <v>44085</v>
      </c>
      <c r="C4632" s="4">
        <v>43</v>
      </c>
      <c r="D4632" s="21">
        <f t="shared" si="379"/>
        <v>2635</v>
      </c>
      <c r="E4632" s="4">
        <f>1</f>
        <v>1</v>
      </c>
      <c r="F4632" s="95">
        <f>E4632+F4608</f>
        <v>41</v>
      </c>
    </row>
    <row r="4633" spans="1:6" ht="15.75" thickBot="1" x14ac:dyDescent="0.3">
      <c r="A4633" s="64" t="s">
        <v>41</v>
      </c>
      <c r="B4633" s="29">
        <v>44085</v>
      </c>
      <c r="C4633" s="30">
        <v>472</v>
      </c>
      <c r="D4633" s="59">
        <f t="shared" si="379"/>
        <v>5891</v>
      </c>
      <c r="E4633" s="30">
        <f>1</f>
        <v>1</v>
      </c>
      <c r="F4633" s="100">
        <f>E4633+F4609</f>
        <v>18</v>
      </c>
    </row>
    <row r="4634" spans="1:6" x14ac:dyDescent="0.25">
      <c r="A4634" s="45" t="s">
        <v>17</v>
      </c>
      <c r="B4634" s="32">
        <v>44086</v>
      </c>
      <c r="C4634" s="33">
        <v>5862</v>
      </c>
      <c r="D4634" s="97">
        <f>C4634+D4610</f>
        <v>328100</v>
      </c>
      <c r="E4634" s="33">
        <f>15+15+18+6</f>
        <v>54</v>
      </c>
      <c r="F4634" s="94">
        <f>E4634+F4610</f>
        <v>6737</v>
      </c>
    </row>
    <row r="4635" spans="1:6" x14ac:dyDescent="0.25">
      <c r="A4635" s="34" t="s">
        <v>44</v>
      </c>
      <c r="B4635" s="19">
        <v>44086</v>
      </c>
      <c r="C4635" s="4">
        <v>985</v>
      </c>
      <c r="D4635" s="21">
        <f t="shared" ref="D4635:D4647" si="380">C4635+D4611</f>
        <v>110057</v>
      </c>
      <c r="E4635" s="4">
        <f>9+5+5+4</f>
        <v>23</v>
      </c>
      <c r="F4635" s="95">
        <f>E4635+F4611</f>
        <v>2693</v>
      </c>
    </row>
    <row r="4636" spans="1:6" x14ac:dyDescent="0.25">
      <c r="A4636" s="34" t="s">
        <v>29</v>
      </c>
      <c r="B4636" s="19">
        <v>44086</v>
      </c>
      <c r="C4636" s="4">
        <v>6</v>
      </c>
      <c r="D4636" s="21">
        <f t="shared" si="380"/>
        <v>120</v>
      </c>
      <c r="F4636" s="95">
        <f>E4636+F4612</f>
        <v>0</v>
      </c>
    </row>
    <row r="4637" spans="1:6" x14ac:dyDescent="0.25">
      <c r="A4637" s="34" t="s">
        <v>16</v>
      </c>
      <c r="B4637" s="19">
        <v>44086</v>
      </c>
      <c r="C4637" s="4">
        <v>117</v>
      </c>
      <c r="D4637" s="21">
        <f t="shared" si="380"/>
        <v>6660</v>
      </c>
      <c r="E4637" s="4">
        <f>2+1</f>
        <v>3</v>
      </c>
      <c r="F4637" s="95">
        <f t="shared" ref="F4637:F4655" si="381">E4637+F4613</f>
        <v>237</v>
      </c>
    </row>
    <row r="4638" spans="1:6" x14ac:dyDescent="0.25">
      <c r="A4638" s="34" t="s">
        <v>30</v>
      </c>
      <c r="B4638" s="19">
        <v>44086</v>
      </c>
      <c r="C4638" s="4">
        <v>165</v>
      </c>
      <c r="D4638" s="21">
        <f t="shared" si="380"/>
        <v>1645</v>
      </c>
      <c r="E4638" s="4">
        <f>2+2</f>
        <v>4</v>
      </c>
      <c r="F4638" s="95">
        <f t="shared" si="381"/>
        <v>14</v>
      </c>
    </row>
    <row r="4639" spans="1:6" x14ac:dyDescent="0.25">
      <c r="A4639" s="34" t="s">
        <v>21</v>
      </c>
      <c r="B4639" s="19">
        <v>44086</v>
      </c>
      <c r="C4639" s="4">
        <v>491</v>
      </c>
      <c r="D4639" s="21">
        <f t="shared" si="380"/>
        <v>13887</v>
      </c>
      <c r="E4639" s="4">
        <f>4</f>
        <v>4</v>
      </c>
      <c r="F4639" s="95">
        <f t="shared" si="381"/>
        <v>193</v>
      </c>
    </row>
    <row r="4640" spans="1:6" x14ac:dyDescent="0.25">
      <c r="A4640" s="34" t="s">
        <v>31</v>
      </c>
      <c r="B4640" s="19">
        <v>44086</v>
      </c>
      <c r="C4640" s="4">
        <v>56</v>
      </c>
      <c r="D4640" s="21">
        <f t="shared" si="380"/>
        <v>659</v>
      </c>
      <c r="F4640" s="95">
        <f t="shared" si="381"/>
        <v>6</v>
      </c>
    </row>
    <row r="4641" spans="1:6" x14ac:dyDescent="0.25">
      <c r="A4641" s="34" t="s">
        <v>32</v>
      </c>
      <c r="B4641" s="19">
        <v>44086</v>
      </c>
      <c r="C4641" s="4">
        <v>138</v>
      </c>
      <c r="D4641" s="21">
        <f t="shared" si="380"/>
        <v>5133</v>
      </c>
      <c r="F4641" s="95">
        <f t="shared" si="381"/>
        <v>88</v>
      </c>
    </row>
    <row r="4642" spans="1:6" x14ac:dyDescent="0.25">
      <c r="A4642" s="34" t="s">
        <v>42</v>
      </c>
      <c r="B4642" s="19">
        <v>44086</v>
      </c>
      <c r="C4642" s="4">
        <v>-1</v>
      </c>
      <c r="D4642" s="21">
        <f t="shared" si="380"/>
        <v>95</v>
      </c>
      <c r="F4642" s="95">
        <f>E4642+F4618</f>
        <v>1</v>
      </c>
    </row>
    <row r="4643" spans="1:6" x14ac:dyDescent="0.25">
      <c r="A4643" s="34" t="s">
        <v>33</v>
      </c>
      <c r="B4643" s="19">
        <v>44086</v>
      </c>
      <c r="C4643" s="4">
        <v>254</v>
      </c>
      <c r="D4643" s="21">
        <f t="shared" si="380"/>
        <v>11953</v>
      </c>
      <c r="E4643" s="4">
        <f>4+2</f>
        <v>6</v>
      </c>
      <c r="F4643" s="95">
        <f t="shared" si="381"/>
        <v>250</v>
      </c>
    </row>
    <row r="4644" spans="1:6" x14ac:dyDescent="0.25">
      <c r="A4644" s="34" t="s">
        <v>34</v>
      </c>
      <c r="B4644" s="19">
        <v>44086</v>
      </c>
      <c r="C4644" s="4">
        <v>30</v>
      </c>
      <c r="D4644" s="21">
        <f t="shared" si="380"/>
        <v>351</v>
      </c>
      <c r="F4644" s="95">
        <f t="shared" si="381"/>
        <v>4</v>
      </c>
    </row>
    <row r="4645" spans="1:6" x14ac:dyDescent="0.25">
      <c r="A4645" s="34" t="s">
        <v>22</v>
      </c>
      <c r="B4645" s="19">
        <v>44086</v>
      </c>
      <c r="C4645" s="4">
        <v>47</v>
      </c>
      <c r="D4645" s="21">
        <f t="shared" si="380"/>
        <v>2712</v>
      </c>
      <c r="F4645" s="95">
        <f t="shared" si="381"/>
        <v>54</v>
      </c>
    </row>
    <row r="4646" spans="1:6" x14ac:dyDescent="0.25">
      <c r="A4646" s="34" t="s">
        <v>18</v>
      </c>
      <c r="B4646" s="19">
        <v>44086</v>
      </c>
      <c r="C4646" s="4">
        <v>718</v>
      </c>
      <c r="D4646" s="21">
        <f t="shared" si="380"/>
        <v>13778</v>
      </c>
      <c r="E4646" s="4">
        <f>2</f>
        <v>2</v>
      </c>
      <c r="F4646" s="95">
        <f t="shared" si="381"/>
        <v>148</v>
      </c>
    </row>
    <row r="4647" spans="1:6" x14ac:dyDescent="0.25">
      <c r="A4647" s="34" t="s">
        <v>24</v>
      </c>
      <c r="B4647" s="19">
        <v>44086</v>
      </c>
      <c r="C4647" s="4">
        <v>3</v>
      </c>
      <c r="D4647" s="21">
        <f t="shared" si="380"/>
        <v>68</v>
      </c>
      <c r="F4647" s="95">
        <f t="shared" si="381"/>
        <v>2</v>
      </c>
    </row>
    <row r="4648" spans="1:6" x14ac:dyDescent="0.25">
      <c r="A4648" s="34" t="s">
        <v>20</v>
      </c>
      <c r="B4648" s="19">
        <v>44086</v>
      </c>
      <c r="C4648" s="4">
        <v>67</v>
      </c>
      <c r="D4648" s="21">
        <f>C4648+D4624</f>
        <v>4526</v>
      </c>
      <c r="F4648" s="95">
        <f t="shared" si="381"/>
        <v>46</v>
      </c>
    </row>
    <row r="4649" spans="1:6" x14ac:dyDescent="0.25">
      <c r="A4649" s="34" t="s">
        <v>19</v>
      </c>
      <c r="B4649" s="19">
        <v>44086</v>
      </c>
      <c r="C4649" s="4">
        <v>229</v>
      </c>
      <c r="D4649" s="21">
        <f>C4649+D4625</f>
        <v>8589</v>
      </c>
      <c r="F4649" s="95">
        <f t="shared" si="381"/>
        <v>151</v>
      </c>
    </row>
    <row r="4650" spans="1:6" x14ac:dyDescent="0.25">
      <c r="A4650" s="34" t="s">
        <v>35</v>
      </c>
      <c r="B4650" s="19">
        <v>44086</v>
      </c>
      <c r="C4650" s="4">
        <v>266</v>
      </c>
      <c r="D4650" s="21">
        <f>C4650+D4626</f>
        <v>6425</v>
      </c>
      <c r="E4650" s="4">
        <f>2</f>
        <v>2</v>
      </c>
      <c r="F4650" s="95">
        <f>E4650+F4626</f>
        <v>87</v>
      </c>
    </row>
    <row r="4651" spans="1:6" x14ac:dyDescent="0.25">
      <c r="A4651" s="34" t="s">
        <v>36</v>
      </c>
      <c r="B4651" s="19">
        <v>44086</v>
      </c>
      <c r="C4651" s="4">
        <v>23</v>
      </c>
      <c r="D4651" s="21">
        <f t="shared" ref="D4651:D4657" si="382">C4651+D4627</f>
        <v>422</v>
      </c>
      <c r="E4651" s="4">
        <f>2+3</f>
        <v>5</v>
      </c>
      <c r="F4651" s="95">
        <f>E4651+F4627</f>
        <v>12</v>
      </c>
    </row>
    <row r="4652" spans="1:6" x14ac:dyDescent="0.25">
      <c r="A4652" s="34" t="s">
        <v>37</v>
      </c>
      <c r="B4652" s="19">
        <v>44086</v>
      </c>
      <c r="C4652" s="4">
        <v>3</v>
      </c>
      <c r="D4652" s="21">
        <f t="shared" si="382"/>
        <v>382</v>
      </c>
      <c r="F4652" s="95">
        <f t="shared" si="381"/>
        <v>0</v>
      </c>
    </row>
    <row r="4653" spans="1:6" x14ac:dyDescent="0.25">
      <c r="A4653" s="34" t="s">
        <v>38</v>
      </c>
      <c r="B4653" s="19">
        <v>44086</v>
      </c>
      <c r="C4653" s="4">
        <v>114</v>
      </c>
      <c r="D4653" s="21">
        <f t="shared" si="382"/>
        <v>2876</v>
      </c>
      <c r="F4653" s="95">
        <f>E4653+F4629</f>
        <v>21</v>
      </c>
    </row>
    <row r="4654" spans="1:6" x14ac:dyDescent="0.25">
      <c r="A4654" s="34" t="s">
        <v>23</v>
      </c>
      <c r="B4654" s="19">
        <v>44086</v>
      </c>
      <c r="C4654" s="4">
        <v>889</v>
      </c>
      <c r="D4654" s="21">
        <f t="shared" si="382"/>
        <v>17562</v>
      </c>
      <c r="E4654" s="4">
        <f>2+3+2</f>
        <v>7</v>
      </c>
      <c r="F4654" s="95">
        <f>E4654+F4630</f>
        <v>194</v>
      </c>
    </row>
    <row r="4655" spans="1:6" x14ac:dyDescent="0.25">
      <c r="A4655" s="34" t="s">
        <v>39</v>
      </c>
      <c r="B4655" s="19">
        <v>44086</v>
      </c>
      <c r="C4655" s="4">
        <v>112</v>
      </c>
      <c r="D4655" s="21">
        <f t="shared" si="382"/>
        <v>1753</v>
      </c>
      <c r="F4655" s="95">
        <f t="shared" si="381"/>
        <v>25</v>
      </c>
    </row>
    <row r="4656" spans="1:6" x14ac:dyDescent="0.25">
      <c r="A4656" s="34" t="s">
        <v>40</v>
      </c>
      <c r="B4656" s="19">
        <v>44086</v>
      </c>
      <c r="C4656" s="4">
        <v>48</v>
      </c>
      <c r="D4656" s="21">
        <f t="shared" si="382"/>
        <v>2683</v>
      </c>
      <c r="E4656" s="4">
        <f>1+1+1</f>
        <v>3</v>
      </c>
      <c r="F4656" s="95">
        <f>E4656+F4632</f>
        <v>44</v>
      </c>
    </row>
    <row r="4657" spans="1:6" ht="15.75" thickBot="1" x14ac:dyDescent="0.3">
      <c r="A4657" s="35" t="s">
        <v>41</v>
      </c>
      <c r="B4657" s="36">
        <v>44086</v>
      </c>
      <c r="C4657" s="37">
        <v>154</v>
      </c>
      <c r="D4657" s="98">
        <f t="shared" si="382"/>
        <v>6045</v>
      </c>
      <c r="E4657" s="37">
        <f>1</f>
        <v>1</v>
      </c>
      <c r="F4657" s="96">
        <f>E4657+F4633</f>
        <v>19</v>
      </c>
    </row>
    <row r="4658" spans="1:6" x14ac:dyDescent="0.25">
      <c r="A4658" s="45" t="s">
        <v>17</v>
      </c>
      <c r="B4658" s="102">
        <v>44087</v>
      </c>
      <c r="C4658" s="31">
        <v>3689</v>
      </c>
      <c r="D4658" s="97">
        <f>C4658+D4634</f>
        <v>331789</v>
      </c>
      <c r="E4658" s="31">
        <f>11+3+11+13</f>
        <v>38</v>
      </c>
      <c r="F4658" s="94">
        <f>E4658+F4634</f>
        <v>6775</v>
      </c>
    </row>
    <row r="4659" spans="1:6" x14ac:dyDescent="0.25">
      <c r="A4659" s="34" t="s">
        <v>44</v>
      </c>
      <c r="B4659" s="102">
        <v>44087</v>
      </c>
      <c r="C4659" s="4">
        <v>843</v>
      </c>
      <c r="D4659" s="21">
        <f t="shared" ref="D4659:D4671" si="383">C4659+D4635</f>
        <v>110900</v>
      </c>
      <c r="E4659" s="4">
        <f>6+7+4+2</f>
        <v>19</v>
      </c>
      <c r="F4659" s="95">
        <f>E4659+F4635</f>
        <v>2712</v>
      </c>
    </row>
    <row r="4660" spans="1:6" x14ac:dyDescent="0.25">
      <c r="A4660" s="34" t="s">
        <v>29</v>
      </c>
      <c r="B4660" s="102">
        <v>44087</v>
      </c>
      <c r="C4660" s="4">
        <v>4</v>
      </c>
      <c r="D4660" s="21">
        <f t="shared" si="383"/>
        <v>124</v>
      </c>
      <c r="F4660" s="95">
        <f>E4660+F4636</f>
        <v>0</v>
      </c>
    </row>
    <row r="4661" spans="1:6" x14ac:dyDescent="0.25">
      <c r="A4661" s="34" t="s">
        <v>16</v>
      </c>
      <c r="B4661" s="102">
        <v>44087</v>
      </c>
      <c r="C4661" s="4">
        <v>91</v>
      </c>
      <c r="D4661" s="21">
        <f t="shared" si="383"/>
        <v>6751</v>
      </c>
      <c r="E4661" s="4">
        <f>2</f>
        <v>2</v>
      </c>
      <c r="F4661" s="95">
        <f t="shared" ref="F4661:F4679" si="384">E4661+F4637</f>
        <v>239</v>
      </c>
    </row>
    <row r="4662" spans="1:6" x14ac:dyDescent="0.25">
      <c r="A4662" s="34" t="s">
        <v>30</v>
      </c>
      <c r="B4662" s="102">
        <v>44087</v>
      </c>
      <c r="C4662" s="4">
        <v>73</v>
      </c>
      <c r="D4662" s="21">
        <f t="shared" si="383"/>
        <v>1718</v>
      </c>
      <c r="F4662" s="95">
        <f t="shared" si="384"/>
        <v>14</v>
      </c>
    </row>
    <row r="4663" spans="1:6" x14ac:dyDescent="0.25">
      <c r="A4663" s="34" t="s">
        <v>21</v>
      </c>
      <c r="B4663" s="102">
        <v>44087</v>
      </c>
      <c r="C4663" s="4">
        <v>552</v>
      </c>
      <c r="D4663" s="21">
        <f t="shared" si="383"/>
        <v>14439</v>
      </c>
      <c r="E4663" s="4">
        <f>3+1</f>
        <v>4</v>
      </c>
      <c r="F4663" s="95">
        <f t="shared" si="384"/>
        <v>197</v>
      </c>
    </row>
    <row r="4664" spans="1:6" x14ac:dyDescent="0.25">
      <c r="A4664" s="34" t="s">
        <v>31</v>
      </c>
      <c r="B4664" s="102">
        <v>44087</v>
      </c>
      <c r="C4664" s="4">
        <v>1</v>
      </c>
      <c r="D4664" s="21">
        <f t="shared" si="383"/>
        <v>660</v>
      </c>
      <c r="F4664" s="95">
        <f t="shared" si="384"/>
        <v>6</v>
      </c>
    </row>
    <row r="4665" spans="1:6" x14ac:dyDescent="0.25">
      <c r="A4665" s="34" t="s">
        <v>32</v>
      </c>
      <c r="B4665" s="102">
        <v>44087</v>
      </c>
      <c r="C4665" s="4">
        <v>105</v>
      </c>
      <c r="D4665" s="21">
        <f t="shared" si="383"/>
        <v>5238</v>
      </c>
      <c r="E4665" s="4">
        <f>1</f>
        <v>1</v>
      </c>
      <c r="F4665" s="95">
        <f t="shared" si="384"/>
        <v>89</v>
      </c>
    </row>
    <row r="4666" spans="1:6" x14ac:dyDescent="0.25">
      <c r="A4666" s="34" t="s">
        <v>42</v>
      </c>
      <c r="B4666" s="102">
        <v>44087</v>
      </c>
      <c r="C4666" s="4">
        <v>-1</v>
      </c>
      <c r="D4666" s="21">
        <f t="shared" si="383"/>
        <v>94</v>
      </c>
      <c r="F4666" s="95">
        <f>E4666+F4642</f>
        <v>1</v>
      </c>
    </row>
    <row r="4667" spans="1:6" x14ac:dyDescent="0.25">
      <c r="A4667" s="34" t="s">
        <v>33</v>
      </c>
      <c r="B4667" s="102">
        <v>44087</v>
      </c>
      <c r="C4667" s="4">
        <v>169</v>
      </c>
      <c r="D4667" s="21">
        <f t="shared" si="383"/>
        <v>12122</v>
      </c>
      <c r="E4667" s="4">
        <f>3+2+1</f>
        <v>6</v>
      </c>
      <c r="F4667" s="95">
        <f t="shared" si="384"/>
        <v>256</v>
      </c>
    </row>
    <row r="4668" spans="1:6" x14ac:dyDescent="0.25">
      <c r="A4668" s="34" t="s">
        <v>34</v>
      </c>
      <c r="B4668" s="102">
        <v>44087</v>
      </c>
      <c r="C4668" s="4">
        <v>46</v>
      </c>
      <c r="D4668" s="21">
        <f t="shared" si="383"/>
        <v>397</v>
      </c>
      <c r="F4668" s="95">
        <f t="shared" si="384"/>
        <v>4</v>
      </c>
    </row>
    <row r="4669" spans="1:6" x14ac:dyDescent="0.25">
      <c r="A4669" s="34" t="s">
        <v>22</v>
      </c>
      <c r="B4669" s="102">
        <v>44087</v>
      </c>
      <c r="C4669" s="4">
        <v>96</v>
      </c>
      <c r="D4669" s="21">
        <f t="shared" si="383"/>
        <v>2808</v>
      </c>
      <c r="E4669" s="4">
        <f>1+3</f>
        <v>4</v>
      </c>
      <c r="F4669" s="95">
        <f t="shared" si="384"/>
        <v>58</v>
      </c>
    </row>
    <row r="4670" spans="1:6" x14ac:dyDescent="0.25">
      <c r="A4670" s="34" t="s">
        <v>18</v>
      </c>
      <c r="B4670" s="102">
        <v>44087</v>
      </c>
      <c r="C4670" s="4">
        <v>704</v>
      </c>
      <c r="D4670" s="21">
        <f t="shared" si="383"/>
        <v>14482</v>
      </c>
      <c r="E4670" s="4">
        <f>2</f>
        <v>2</v>
      </c>
      <c r="F4670" s="95">
        <f t="shared" si="384"/>
        <v>150</v>
      </c>
    </row>
    <row r="4671" spans="1:6" x14ac:dyDescent="0.25">
      <c r="A4671" s="34" t="s">
        <v>24</v>
      </c>
      <c r="B4671" s="102">
        <v>44087</v>
      </c>
      <c r="C4671" s="4">
        <v>0</v>
      </c>
      <c r="D4671" s="21">
        <f t="shared" si="383"/>
        <v>68</v>
      </c>
      <c r="F4671" s="95">
        <f t="shared" si="384"/>
        <v>2</v>
      </c>
    </row>
    <row r="4672" spans="1:6" x14ac:dyDescent="0.25">
      <c r="A4672" s="34" t="s">
        <v>20</v>
      </c>
      <c r="B4672" s="102">
        <v>44087</v>
      </c>
      <c r="C4672" s="4">
        <v>286</v>
      </c>
      <c r="D4672" s="21">
        <f>C4672+D4648</f>
        <v>4812</v>
      </c>
      <c r="E4672" s="4">
        <f>2+1+1</f>
        <v>4</v>
      </c>
      <c r="F4672" s="95">
        <f t="shared" si="384"/>
        <v>50</v>
      </c>
    </row>
    <row r="4673" spans="1:6" x14ac:dyDescent="0.25">
      <c r="A4673" s="34" t="s">
        <v>19</v>
      </c>
      <c r="B4673" s="102">
        <v>44087</v>
      </c>
      <c r="C4673" s="4">
        <v>130</v>
      </c>
      <c r="D4673" s="21">
        <f>C4673+D4649</f>
        <v>8719</v>
      </c>
      <c r="E4673" s="4">
        <f>2</f>
        <v>2</v>
      </c>
      <c r="F4673" s="95">
        <f t="shared" si="384"/>
        <v>153</v>
      </c>
    </row>
    <row r="4674" spans="1:6" x14ac:dyDescent="0.25">
      <c r="A4674" s="34" t="s">
        <v>35</v>
      </c>
      <c r="B4674" s="102">
        <v>44087</v>
      </c>
      <c r="C4674" s="4">
        <v>340</v>
      </c>
      <c r="D4674" s="21">
        <f>C4674+D4650</f>
        <v>6765</v>
      </c>
      <c r="E4674" s="4">
        <f>1+1</f>
        <v>2</v>
      </c>
      <c r="F4674" s="95">
        <f>E4674+F4650</f>
        <v>89</v>
      </c>
    </row>
    <row r="4675" spans="1:6" x14ac:dyDescent="0.25">
      <c r="A4675" s="34" t="s">
        <v>36</v>
      </c>
      <c r="B4675" s="102">
        <v>44087</v>
      </c>
      <c r="C4675" s="4">
        <v>-5</v>
      </c>
      <c r="D4675" s="21">
        <f t="shared" ref="D4675:D4681" si="385">C4675+D4651</f>
        <v>417</v>
      </c>
      <c r="F4675" s="95">
        <f>E4675+F4651</f>
        <v>12</v>
      </c>
    </row>
    <row r="4676" spans="1:6" x14ac:dyDescent="0.25">
      <c r="A4676" s="34" t="s">
        <v>37</v>
      </c>
      <c r="B4676" s="102">
        <v>44087</v>
      </c>
      <c r="C4676" s="4">
        <v>1</v>
      </c>
      <c r="D4676" s="21">
        <f t="shared" si="385"/>
        <v>383</v>
      </c>
      <c r="F4676" s="95">
        <f t="shared" si="384"/>
        <v>0</v>
      </c>
    </row>
    <row r="4677" spans="1:6" x14ac:dyDescent="0.25">
      <c r="A4677" s="34" t="s">
        <v>38</v>
      </c>
      <c r="B4677" s="102">
        <v>44087</v>
      </c>
      <c r="C4677" s="4">
        <v>193</v>
      </c>
      <c r="D4677" s="21">
        <f t="shared" si="385"/>
        <v>3069</v>
      </c>
      <c r="F4677" s="95">
        <f>E4677+F4653</f>
        <v>21</v>
      </c>
    </row>
    <row r="4678" spans="1:6" x14ac:dyDescent="0.25">
      <c r="A4678" s="34" t="s">
        <v>23</v>
      </c>
      <c r="B4678" s="102">
        <v>44087</v>
      </c>
      <c r="C4678" s="4">
        <v>1055</v>
      </c>
      <c r="D4678" s="21">
        <f t="shared" si="385"/>
        <v>18617</v>
      </c>
      <c r="E4678" s="4">
        <f>1+1</f>
        <v>2</v>
      </c>
      <c r="F4678" s="95">
        <f>E4678+F4654</f>
        <v>196</v>
      </c>
    </row>
    <row r="4679" spans="1:6" x14ac:dyDescent="0.25">
      <c r="A4679" s="34" t="s">
        <v>39</v>
      </c>
      <c r="B4679" s="102">
        <v>44087</v>
      </c>
      <c r="C4679" s="4">
        <v>79</v>
      </c>
      <c r="D4679" s="21">
        <f t="shared" si="385"/>
        <v>1832</v>
      </c>
      <c r="E4679" s="4">
        <f>1</f>
        <v>1</v>
      </c>
      <c r="F4679" s="95">
        <f t="shared" si="384"/>
        <v>26</v>
      </c>
    </row>
    <row r="4680" spans="1:6" x14ac:dyDescent="0.25">
      <c r="A4680" s="34" t="s">
        <v>40</v>
      </c>
      <c r="B4680" s="102">
        <v>44087</v>
      </c>
      <c r="C4680" s="4">
        <v>22</v>
      </c>
      <c r="D4680" s="21">
        <f t="shared" si="385"/>
        <v>2705</v>
      </c>
      <c r="E4680" s="4">
        <f>1</f>
        <v>1</v>
      </c>
      <c r="F4680" s="95">
        <f>E4680+F4656</f>
        <v>45</v>
      </c>
    </row>
    <row r="4681" spans="1:6" ht="15.75" thickBot="1" x14ac:dyDescent="0.3">
      <c r="A4681" s="35" t="s">
        <v>41</v>
      </c>
      <c r="B4681" s="102">
        <v>44087</v>
      </c>
      <c r="C4681" s="4">
        <v>583</v>
      </c>
      <c r="D4681" s="98">
        <f t="shared" si="385"/>
        <v>6628</v>
      </c>
      <c r="F4681" s="96">
        <f>E4681+F4657</f>
        <v>19</v>
      </c>
    </row>
    <row r="4682" spans="1:6" x14ac:dyDescent="0.25">
      <c r="A4682" s="45" t="s">
        <v>17</v>
      </c>
      <c r="B4682" s="102">
        <v>44088</v>
      </c>
      <c r="C4682" s="4">
        <v>4863</v>
      </c>
      <c r="D4682" s="97">
        <f>C4682+D4658</f>
        <v>336652</v>
      </c>
      <c r="E4682" s="4">
        <f>7+4+96+51</f>
        <v>158</v>
      </c>
      <c r="F4682" s="94">
        <f>E4682+F4658</f>
        <v>6933</v>
      </c>
    </row>
    <row r="4683" spans="1:6" x14ac:dyDescent="0.25">
      <c r="A4683" s="34" t="s">
        <v>44</v>
      </c>
      <c r="B4683" s="102">
        <v>44088</v>
      </c>
      <c r="C4683" s="4">
        <v>946</v>
      </c>
      <c r="D4683" s="21">
        <f t="shared" ref="D4683:D4695" si="386">C4683+D4659</f>
        <v>111846</v>
      </c>
      <c r="E4683" s="4">
        <f>5+9+25+14</f>
        <v>53</v>
      </c>
      <c r="F4683" s="95">
        <f>E4683+F4659</f>
        <v>2765</v>
      </c>
    </row>
    <row r="4684" spans="1:6" x14ac:dyDescent="0.25">
      <c r="A4684" s="34" t="s">
        <v>29</v>
      </c>
      <c r="B4684" s="102">
        <v>44088</v>
      </c>
      <c r="C4684" s="4">
        <v>5</v>
      </c>
      <c r="D4684" s="21">
        <f t="shared" si="386"/>
        <v>129</v>
      </c>
      <c r="F4684" s="95">
        <f>E4684+F4660</f>
        <v>0</v>
      </c>
    </row>
    <row r="4685" spans="1:6" x14ac:dyDescent="0.25">
      <c r="A4685" s="34" t="s">
        <v>16</v>
      </c>
      <c r="B4685" s="102">
        <v>44088</v>
      </c>
      <c r="C4685" s="4">
        <v>41</v>
      </c>
      <c r="D4685" s="21">
        <f t="shared" si="386"/>
        <v>6792</v>
      </c>
      <c r="E4685" s="4">
        <f>1+2</f>
        <v>3</v>
      </c>
      <c r="F4685" s="95">
        <f t="shared" ref="F4685:F4703" si="387">E4685+F4661</f>
        <v>242</v>
      </c>
    </row>
    <row r="4686" spans="1:6" x14ac:dyDescent="0.25">
      <c r="A4686" s="34" t="s">
        <v>30</v>
      </c>
      <c r="B4686" s="102">
        <v>44088</v>
      </c>
      <c r="C4686" s="4">
        <v>39</v>
      </c>
      <c r="D4686" s="21">
        <f t="shared" si="386"/>
        <v>1757</v>
      </c>
      <c r="E4686" s="4">
        <f>4+2</f>
        <v>6</v>
      </c>
      <c r="F4686" s="95">
        <f t="shared" si="387"/>
        <v>20</v>
      </c>
    </row>
    <row r="4687" spans="1:6" x14ac:dyDescent="0.25">
      <c r="A4687" s="34" t="s">
        <v>21</v>
      </c>
      <c r="B4687" s="102">
        <v>44088</v>
      </c>
      <c r="C4687" s="4">
        <v>535</v>
      </c>
      <c r="D4687" s="21">
        <f t="shared" si="386"/>
        <v>14974</v>
      </c>
      <c r="E4687" s="4">
        <f>4+3</f>
        <v>7</v>
      </c>
      <c r="F4687" s="95">
        <f t="shared" si="387"/>
        <v>204</v>
      </c>
    </row>
    <row r="4688" spans="1:6" x14ac:dyDescent="0.25">
      <c r="A4688" s="34" t="s">
        <v>31</v>
      </c>
      <c r="B4688" s="102">
        <v>44088</v>
      </c>
      <c r="C4688" s="4">
        <v>58</v>
      </c>
      <c r="D4688" s="21">
        <f t="shared" si="386"/>
        <v>718</v>
      </c>
      <c r="F4688" s="95">
        <f t="shared" si="387"/>
        <v>6</v>
      </c>
    </row>
    <row r="4689" spans="1:6" x14ac:dyDescent="0.25">
      <c r="A4689" s="34" t="s">
        <v>32</v>
      </c>
      <c r="B4689" s="102">
        <v>44088</v>
      </c>
      <c r="C4689" s="4">
        <v>72</v>
      </c>
      <c r="D4689" s="21">
        <f t="shared" si="386"/>
        <v>5310</v>
      </c>
      <c r="F4689" s="95">
        <f t="shared" si="387"/>
        <v>89</v>
      </c>
    </row>
    <row r="4690" spans="1:6" x14ac:dyDescent="0.25">
      <c r="A4690" s="34" t="s">
        <v>42</v>
      </c>
      <c r="B4690" s="102">
        <v>44088</v>
      </c>
      <c r="C4690" s="4">
        <v>1</v>
      </c>
      <c r="D4690" s="21">
        <f t="shared" si="386"/>
        <v>95</v>
      </c>
      <c r="F4690" s="95">
        <f>E4690+F4666</f>
        <v>1</v>
      </c>
    </row>
    <row r="4691" spans="1:6" x14ac:dyDescent="0.25">
      <c r="A4691" s="34" t="s">
        <v>33</v>
      </c>
      <c r="B4691" s="102">
        <v>44088</v>
      </c>
      <c r="C4691" s="4">
        <v>277</v>
      </c>
      <c r="D4691" s="21">
        <f t="shared" si="386"/>
        <v>12399</v>
      </c>
      <c r="E4691" s="4">
        <f>3+1+5+1</f>
        <v>10</v>
      </c>
      <c r="F4691" s="95">
        <f t="shared" si="387"/>
        <v>266</v>
      </c>
    </row>
    <row r="4692" spans="1:6" x14ac:dyDescent="0.25">
      <c r="A4692" s="34" t="s">
        <v>34</v>
      </c>
      <c r="B4692" s="102">
        <v>44088</v>
      </c>
      <c r="C4692" s="4">
        <v>45</v>
      </c>
      <c r="D4692" s="21">
        <f t="shared" si="386"/>
        <v>442</v>
      </c>
      <c r="F4692" s="95">
        <f t="shared" si="387"/>
        <v>4</v>
      </c>
    </row>
    <row r="4693" spans="1:6" x14ac:dyDescent="0.25">
      <c r="A4693" s="34" t="s">
        <v>22</v>
      </c>
      <c r="B4693" s="102">
        <v>44088</v>
      </c>
      <c r="C4693" s="4">
        <v>74</v>
      </c>
      <c r="D4693" s="21">
        <f t="shared" si="386"/>
        <v>2882</v>
      </c>
      <c r="E4693" s="4">
        <f>13+11</f>
        <v>24</v>
      </c>
      <c r="F4693" s="95">
        <f t="shared" si="387"/>
        <v>82</v>
      </c>
    </row>
    <row r="4694" spans="1:6" x14ac:dyDescent="0.25">
      <c r="A4694" s="34" t="s">
        <v>18</v>
      </c>
      <c r="B4694" s="102">
        <v>44088</v>
      </c>
      <c r="C4694" s="4">
        <v>650</v>
      </c>
      <c r="D4694" s="21">
        <f t="shared" si="386"/>
        <v>15132</v>
      </c>
      <c r="E4694" s="4">
        <f>2+1</f>
        <v>3</v>
      </c>
      <c r="F4694" s="95">
        <f t="shared" si="387"/>
        <v>153</v>
      </c>
    </row>
    <row r="4695" spans="1:6" x14ac:dyDescent="0.25">
      <c r="A4695" s="34" t="s">
        <v>24</v>
      </c>
      <c r="B4695" s="102">
        <v>44088</v>
      </c>
      <c r="C4695" s="4">
        <v>0</v>
      </c>
      <c r="D4695" s="21">
        <f t="shared" si="386"/>
        <v>68</v>
      </c>
      <c r="F4695" s="95">
        <f t="shared" si="387"/>
        <v>2</v>
      </c>
    </row>
    <row r="4696" spans="1:6" x14ac:dyDescent="0.25">
      <c r="A4696" s="34" t="s">
        <v>20</v>
      </c>
      <c r="B4696" s="102">
        <v>44088</v>
      </c>
      <c r="C4696" s="4">
        <v>227</v>
      </c>
      <c r="D4696" s="21">
        <f>C4696+D4672</f>
        <v>5039</v>
      </c>
      <c r="E4696" s="4">
        <f>1+1</f>
        <v>2</v>
      </c>
      <c r="F4696" s="95">
        <f t="shared" si="387"/>
        <v>52</v>
      </c>
    </row>
    <row r="4697" spans="1:6" x14ac:dyDescent="0.25">
      <c r="A4697" s="34" t="s">
        <v>19</v>
      </c>
      <c r="B4697" s="102">
        <v>44088</v>
      </c>
      <c r="C4697" s="4">
        <v>135</v>
      </c>
      <c r="D4697" s="21">
        <f>C4697+D4673</f>
        <v>8854</v>
      </c>
      <c r="E4697" s="4">
        <f>4+4</f>
        <v>8</v>
      </c>
      <c r="F4697" s="95">
        <f t="shared" si="387"/>
        <v>161</v>
      </c>
    </row>
    <row r="4698" spans="1:6" x14ac:dyDescent="0.25">
      <c r="A4698" s="34" t="s">
        <v>35</v>
      </c>
      <c r="B4698" s="102">
        <v>44088</v>
      </c>
      <c r="C4698" s="4">
        <v>229</v>
      </c>
      <c r="D4698" s="21">
        <f>C4698+D4674</f>
        <v>6994</v>
      </c>
      <c r="E4698" s="4">
        <f>4+1</f>
        <v>5</v>
      </c>
      <c r="F4698" s="95">
        <f>E4698+F4674</f>
        <v>94</v>
      </c>
    </row>
    <row r="4699" spans="1:6" x14ac:dyDescent="0.25">
      <c r="A4699" s="34" t="s">
        <v>36</v>
      </c>
      <c r="B4699" s="102">
        <v>44088</v>
      </c>
      <c r="C4699" s="4">
        <v>0</v>
      </c>
      <c r="D4699" s="21">
        <f t="shared" ref="D4699:D4705" si="388">C4699+D4675</f>
        <v>417</v>
      </c>
      <c r="F4699" s="95">
        <f>E4699+F4675</f>
        <v>12</v>
      </c>
    </row>
    <row r="4700" spans="1:6" x14ac:dyDescent="0.25">
      <c r="A4700" s="34" t="s">
        <v>37</v>
      </c>
      <c r="B4700" s="102">
        <v>44088</v>
      </c>
      <c r="C4700" s="4">
        <v>49</v>
      </c>
      <c r="D4700" s="21">
        <f t="shared" si="388"/>
        <v>432</v>
      </c>
      <c r="F4700" s="95">
        <f t="shared" si="387"/>
        <v>0</v>
      </c>
    </row>
    <row r="4701" spans="1:6" x14ac:dyDescent="0.25">
      <c r="A4701" s="34" t="s">
        <v>38</v>
      </c>
      <c r="B4701" s="102">
        <v>44088</v>
      </c>
      <c r="C4701" s="4">
        <v>39</v>
      </c>
      <c r="D4701" s="21">
        <f t="shared" si="388"/>
        <v>3108</v>
      </c>
      <c r="E4701" s="4">
        <f>1+11+3</f>
        <v>15</v>
      </c>
      <c r="F4701" s="95">
        <f>E4701+F4677</f>
        <v>36</v>
      </c>
    </row>
    <row r="4702" spans="1:6" x14ac:dyDescent="0.25">
      <c r="A4702" s="34" t="s">
        <v>23</v>
      </c>
      <c r="B4702" s="102">
        <v>44088</v>
      </c>
      <c r="C4702" s="4">
        <v>850</v>
      </c>
      <c r="D4702" s="21">
        <f t="shared" si="388"/>
        <v>19467</v>
      </c>
      <c r="E4702" s="4">
        <f>1+10+5</f>
        <v>16</v>
      </c>
      <c r="F4702" s="95">
        <f>E4702+F4678</f>
        <v>212</v>
      </c>
    </row>
    <row r="4703" spans="1:6" x14ac:dyDescent="0.25">
      <c r="A4703" s="34" t="s">
        <v>39</v>
      </c>
      <c r="B4703" s="102">
        <v>44088</v>
      </c>
      <c r="C4703" s="4">
        <v>81</v>
      </c>
      <c r="D4703" s="21">
        <f t="shared" si="388"/>
        <v>1913</v>
      </c>
      <c r="E4703" s="4">
        <f>2</f>
        <v>2</v>
      </c>
      <c r="F4703" s="95">
        <f t="shared" si="387"/>
        <v>28</v>
      </c>
    </row>
    <row r="4704" spans="1:6" x14ac:dyDescent="0.25">
      <c r="A4704" s="34" t="s">
        <v>40</v>
      </c>
      <c r="B4704" s="102">
        <v>44088</v>
      </c>
      <c r="C4704" s="4">
        <v>72</v>
      </c>
      <c r="D4704" s="21">
        <f t="shared" si="388"/>
        <v>2777</v>
      </c>
      <c r="E4704" s="4">
        <f>1+1</f>
        <v>2</v>
      </c>
      <c r="F4704" s="95">
        <f>E4704+F4680</f>
        <v>47</v>
      </c>
    </row>
    <row r="4705" spans="1:6" ht="15.75" thickBot="1" x14ac:dyDescent="0.3">
      <c r="A4705" s="64" t="s">
        <v>41</v>
      </c>
      <c r="B4705" s="103">
        <v>44088</v>
      </c>
      <c r="C4705" s="30">
        <v>621</v>
      </c>
      <c r="D4705" s="59">
        <f t="shared" si="388"/>
        <v>7249</v>
      </c>
      <c r="E4705" s="30"/>
      <c r="F4705" s="104">
        <f>E4705+F4681</f>
        <v>19</v>
      </c>
    </row>
    <row r="4706" spans="1:6" x14ac:dyDescent="0.25">
      <c r="A4706" s="45" t="s">
        <v>17</v>
      </c>
      <c r="B4706" s="32">
        <v>44089</v>
      </c>
      <c r="C4706" s="33">
        <v>6001</v>
      </c>
      <c r="D4706" s="97">
        <f>C4706+D4682</f>
        <v>342653</v>
      </c>
      <c r="E4706" s="33">
        <f>16+11+32+41</f>
        <v>100</v>
      </c>
      <c r="F4706" s="94">
        <f>E4706+F4682</f>
        <v>7033</v>
      </c>
    </row>
    <row r="4707" spans="1:6" x14ac:dyDescent="0.25">
      <c r="A4707" s="105" t="s">
        <v>44</v>
      </c>
      <c r="B4707" s="102">
        <v>44089</v>
      </c>
      <c r="C4707" s="4">
        <v>1010</v>
      </c>
      <c r="D4707" s="21">
        <f t="shared" ref="D4707:D4719" si="389">C4707+D4683</f>
        <v>112856</v>
      </c>
      <c r="E4707" s="4">
        <f>6+2+12+6</f>
        <v>26</v>
      </c>
      <c r="F4707" s="95">
        <f>E4707+F4683</f>
        <v>2791</v>
      </c>
    </row>
    <row r="4708" spans="1:6" x14ac:dyDescent="0.25">
      <c r="A4708" s="105" t="s">
        <v>29</v>
      </c>
      <c r="B4708" s="102">
        <v>44089</v>
      </c>
      <c r="C4708" s="4">
        <v>4</v>
      </c>
      <c r="D4708" s="21">
        <f t="shared" si="389"/>
        <v>133</v>
      </c>
      <c r="F4708" s="95">
        <f>E4708+F4684</f>
        <v>0</v>
      </c>
    </row>
    <row r="4709" spans="1:6" x14ac:dyDescent="0.25">
      <c r="A4709" s="105" t="s">
        <v>16</v>
      </c>
      <c r="B4709" s="102">
        <v>44089</v>
      </c>
      <c r="C4709" s="4">
        <v>87</v>
      </c>
      <c r="D4709" s="21">
        <f t="shared" si="389"/>
        <v>6879</v>
      </c>
      <c r="E4709" s="4">
        <f>1+1</f>
        <v>2</v>
      </c>
      <c r="F4709" s="95">
        <f t="shared" ref="F4709:F4727" si="390">E4709+F4685</f>
        <v>244</v>
      </c>
    </row>
    <row r="4710" spans="1:6" x14ac:dyDescent="0.25">
      <c r="A4710" s="105" t="s">
        <v>30</v>
      </c>
      <c r="B4710" s="102">
        <v>44089</v>
      </c>
      <c r="C4710" s="4">
        <v>98</v>
      </c>
      <c r="D4710" s="21">
        <f t="shared" si="389"/>
        <v>1855</v>
      </c>
      <c r="E4710" s="4">
        <f>1+2</f>
        <v>3</v>
      </c>
      <c r="F4710" s="95">
        <f t="shared" si="390"/>
        <v>23</v>
      </c>
    </row>
    <row r="4711" spans="1:6" x14ac:dyDescent="0.25">
      <c r="A4711" s="105" t="s">
        <v>21</v>
      </c>
      <c r="B4711" s="102">
        <v>44089</v>
      </c>
      <c r="C4711" s="4">
        <v>719</v>
      </c>
      <c r="D4711" s="21">
        <f t="shared" si="389"/>
        <v>15693</v>
      </c>
      <c r="E4711" s="4">
        <f>4+4</f>
        <v>8</v>
      </c>
      <c r="F4711" s="95">
        <f t="shared" si="390"/>
        <v>212</v>
      </c>
    </row>
    <row r="4712" spans="1:6" x14ac:dyDescent="0.25">
      <c r="A4712" s="105" t="s">
        <v>31</v>
      </c>
      <c r="B4712" s="102">
        <v>44089</v>
      </c>
      <c r="C4712" s="4">
        <v>60</v>
      </c>
      <c r="D4712" s="21">
        <f t="shared" si="389"/>
        <v>778</v>
      </c>
      <c r="F4712" s="95">
        <f t="shared" si="390"/>
        <v>6</v>
      </c>
    </row>
    <row r="4713" spans="1:6" x14ac:dyDescent="0.25">
      <c r="A4713" s="105" t="s">
        <v>32</v>
      </c>
      <c r="B4713" s="102">
        <v>44089</v>
      </c>
      <c r="C4713" s="4">
        <v>189</v>
      </c>
      <c r="D4713" s="21">
        <f t="shared" si="389"/>
        <v>5499</v>
      </c>
      <c r="E4713" s="4">
        <f>3+2</f>
        <v>5</v>
      </c>
      <c r="F4713" s="95">
        <f t="shared" si="390"/>
        <v>94</v>
      </c>
    </row>
    <row r="4714" spans="1:6" x14ac:dyDescent="0.25">
      <c r="A4714" s="105" t="s">
        <v>42</v>
      </c>
      <c r="B4714" s="102">
        <v>44089</v>
      </c>
      <c r="C4714" s="4">
        <v>3</v>
      </c>
      <c r="D4714" s="21">
        <f t="shared" si="389"/>
        <v>98</v>
      </c>
      <c r="F4714" s="95">
        <f>E4714+F4690</f>
        <v>1</v>
      </c>
    </row>
    <row r="4715" spans="1:6" x14ac:dyDescent="0.25">
      <c r="A4715" s="105" t="s">
        <v>33</v>
      </c>
      <c r="B4715" s="102">
        <v>44089</v>
      </c>
      <c r="C4715" s="4">
        <v>331</v>
      </c>
      <c r="D4715" s="21">
        <f t="shared" si="389"/>
        <v>12730</v>
      </c>
      <c r="E4715" s="4">
        <f>5+5</f>
        <v>10</v>
      </c>
      <c r="F4715" s="95">
        <f t="shared" si="390"/>
        <v>276</v>
      </c>
    </row>
    <row r="4716" spans="1:6" x14ac:dyDescent="0.25">
      <c r="A4716" s="105" t="s">
        <v>34</v>
      </c>
      <c r="B4716" s="102">
        <v>44089</v>
      </c>
      <c r="C4716" s="4">
        <v>24</v>
      </c>
      <c r="D4716" s="21">
        <f t="shared" si="389"/>
        <v>466</v>
      </c>
      <c r="F4716" s="95">
        <f t="shared" si="390"/>
        <v>4</v>
      </c>
    </row>
    <row r="4717" spans="1:6" x14ac:dyDescent="0.25">
      <c r="A4717" s="105" t="s">
        <v>22</v>
      </c>
      <c r="B4717" s="102">
        <v>44089</v>
      </c>
      <c r="C4717" s="4">
        <v>124</v>
      </c>
      <c r="D4717" s="21">
        <f t="shared" si="389"/>
        <v>3006</v>
      </c>
      <c r="E4717" s="4">
        <f>2+3</f>
        <v>5</v>
      </c>
      <c r="F4717" s="95">
        <f t="shared" si="390"/>
        <v>87</v>
      </c>
    </row>
    <row r="4718" spans="1:6" x14ac:dyDescent="0.25">
      <c r="A4718" s="105" t="s">
        <v>18</v>
      </c>
      <c r="B4718" s="102">
        <v>44089</v>
      </c>
      <c r="C4718" s="4">
        <v>629</v>
      </c>
      <c r="D4718" s="21">
        <f t="shared" si="389"/>
        <v>15761</v>
      </c>
      <c r="E4718" s="4">
        <f>2+1</f>
        <v>3</v>
      </c>
      <c r="F4718" s="95">
        <f t="shared" si="390"/>
        <v>156</v>
      </c>
    </row>
    <row r="4719" spans="1:6" x14ac:dyDescent="0.25">
      <c r="A4719" s="105" t="s">
        <v>24</v>
      </c>
      <c r="B4719" s="102">
        <v>44089</v>
      </c>
      <c r="C4719" s="4">
        <v>-8</v>
      </c>
      <c r="D4719" s="21">
        <f t="shared" si="389"/>
        <v>60</v>
      </c>
      <c r="F4719" s="95">
        <f t="shared" si="390"/>
        <v>2</v>
      </c>
    </row>
    <row r="4720" spans="1:6" x14ac:dyDescent="0.25">
      <c r="A4720" s="105" t="s">
        <v>20</v>
      </c>
      <c r="B4720" s="102">
        <v>44089</v>
      </c>
      <c r="C4720" s="4">
        <v>120</v>
      </c>
      <c r="D4720" s="21">
        <f>C4720+D4696</f>
        <v>5159</v>
      </c>
      <c r="E4720" s="4">
        <f>1</f>
        <v>1</v>
      </c>
      <c r="F4720" s="95">
        <f t="shared" si="390"/>
        <v>53</v>
      </c>
    </row>
    <row r="4721" spans="1:6" x14ac:dyDescent="0.25">
      <c r="A4721" s="105" t="s">
        <v>19</v>
      </c>
      <c r="B4721" s="102">
        <v>44089</v>
      </c>
      <c r="C4721" s="4">
        <v>375</v>
      </c>
      <c r="D4721" s="21">
        <f>C4721+D4697</f>
        <v>9229</v>
      </c>
      <c r="E4721" s="4">
        <f>3+4</f>
        <v>7</v>
      </c>
      <c r="F4721" s="95">
        <f t="shared" si="390"/>
        <v>168</v>
      </c>
    </row>
    <row r="4722" spans="1:6" x14ac:dyDescent="0.25">
      <c r="A4722" s="105" t="s">
        <v>35</v>
      </c>
      <c r="B4722" s="102">
        <v>44089</v>
      </c>
      <c r="C4722" s="4">
        <v>309</v>
      </c>
      <c r="D4722" s="21">
        <f>C4722+D4698</f>
        <v>7303</v>
      </c>
      <c r="E4722" s="4">
        <f>1+1+3</f>
        <v>5</v>
      </c>
      <c r="F4722" s="95">
        <f>E4722+F4698</f>
        <v>99</v>
      </c>
    </row>
    <row r="4723" spans="1:6" x14ac:dyDescent="0.25">
      <c r="A4723" s="105" t="s">
        <v>36</v>
      </c>
      <c r="B4723" s="102">
        <v>44089</v>
      </c>
      <c r="C4723" s="4">
        <v>11</v>
      </c>
      <c r="D4723" s="21">
        <f t="shared" ref="D4723:D4729" si="391">C4723+D4699</f>
        <v>428</v>
      </c>
      <c r="F4723" s="95">
        <f>E4723+F4699</f>
        <v>12</v>
      </c>
    </row>
    <row r="4724" spans="1:6" x14ac:dyDescent="0.25">
      <c r="A4724" s="105" t="s">
        <v>37</v>
      </c>
      <c r="B4724" s="102">
        <v>44089</v>
      </c>
      <c r="C4724" s="4">
        <v>51</v>
      </c>
      <c r="D4724" s="21">
        <f t="shared" si="391"/>
        <v>483</v>
      </c>
      <c r="F4724" s="95">
        <f t="shared" si="390"/>
        <v>0</v>
      </c>
    </row>
    <row r="4725" spans="1:6" x14ac:dyDescent="0.25">
      <c r="A4725" s="105" t="s">
        <v>38</v>
      </c>
      <c r="B4725" s="102">
        <v>44089</v>
      </c>
      <c r="C4725" s="4">
        <v>84</v>
      </c>
      <c r="D4725" s="21">
        <f t="shared" si="391"/>
        <v>3192</v>
      </c>
      <c r="F4725" s="95">
        <f>E4725+F4701</f>
        <v>36</v>
      </c>
    </row>
    <row r="4726" spans="1:6" x14ac:dyDescent="0.25">
      <c r="A4726" s="105" t="s">
        <v>23</v>
      </c>
      <c r="B4726" s="102">
        <v>44089</v>
      </c>
      <c r="C4726" s="4">
        <v>1056</v>
      </c>
      <c r="D4726" s="21">
        <f t="shared" si="391"/>
        <v>20523</v>
      </c>
      <c r="E4726" s="4">
        <f>3+4</f>
        <v>7</v>
      </c>
      <c r="F4726" s="95">
        <f>E4726+F4702</f>
        <v>219</v>
      </c>
    </row>
    <row r="4727" spans="1:6" x14ac:dyDescent="0.25">
      <c r="A4727" s="105" t="s">
        <v>39</v>
      </c>
      <c r="B4727" s="102">
        <v>44089</v>
      </c>
      <c r="C4727" s="4">
        <v>69</v>
      </c>
      <c r="D4727" s="21">
        <f t="shared" si="391"/>
        <v>1982</v>
      </c>
      <c r="F4727" s="95">
        <f t="shared" si="390"/>
        <v>28</v>
      </c>
    </row>
    <row r="4728" spans="1:6" x14ac:dyDescent="0.25">
      <c r="A4728" s="105" t="s">
        <v>40</v>
      </c>
      <c r="B4728" s="102">
        <v>44089</v>
      </c>
      <c r="C4728" s="4">
        <v>78</v>
      </c>
      <c r="D4728" s="21">
        <f t="shared" si="391"/>
        <v>2855</v>
      </c>
      <c r="F4728" s="95">
        <f>E4728+F4704</f>
        <v>47</v>
      </c>
    </row>
    <row r="4729" spans="1:6" ht="15.75" thickBot="1" x14ac:dyDescent="0.3">
      <c r="A4729" s="107" t="s">
        <v>41</v>
      </c>
      <c r="B4729" s="103">
        <v>44089</v>
      </c>
      <c r="C4729" s="30">
        <v>468</v>
      </c>
      <c r="D4729" s="59">
        <f t="shared" si="391"/>
        <v>7717</v>
      </c>
      <c r="E4729" s="30">
        <f>2+1</f>
        <v>3</v>
      </c>
      <c r="F4729" s="104">
        <f>E4729+F4705</f>
        <v>22</v>
      </c>
    </row>
    <row r="4730" spans="1:6" x14ac:dyDescent="0.25">
      <c r="A4730" s="45" t="s">
        <v>17</v>
      </c>
      <c r="B4730" s="32">
        <v>44090</v>
      </c>
      <c r="C4730" s="33">
        <v>6078</v>
      </c>
      <c r="D4730" s="97">
        <f>C4730+D4706</f>
        <v>348731</v>
      </c>
      <c r="E4730" s="33">
        <f>26+23+68+48</f>
        <v>165</v>
      </c>
      <c r="F4730" s="94">
        <f>E4730+F4706</f>
        <v>7198</v>
      </c>
    </row>
    <row r="4731" spans="1:6" x14ac:dyDescent="0.25">
      <c r="A4731" s="105" t="s">
        <v>44</v>
      </c>
      <c r="B4731" s="19">
        <v>44090</v>
      </c>
      <c r="C4731" s="4">
        <v>813</v>
      </c>
      <c r="D4731" s="21">
        <f t="shared" ref="D4731:D4743" si="392">C4731+D4707</f>
        <v>113669</v>
      </c>
      <c r="E4731" s="4">
        <f>2+21+17</f>
        <v>40</v>
      </c>
      <c r="F4731" s="95">
        <f>E4731+F4707</f>
        <v>2831</v>
      </c>
    </row>
    <row r="4732" spans="1:6" x14ac:dyDescent="0.25">
      <c r="A4732" s="105" t="s">
        <v>29</v>
      </c>
      <c r="B4732" s="19">
        <v>44090</v>
      </c>
      <c r="C4732" s="4">
        <v>21</v>
      </c>
      <c r="D4732" s="21">
        <f t="shared" si="392"/>
        <v>154</v>
      </c>
      <c r="F4732" s="95">
        <f>E4732+F4708</f>
        <v>0</v>
      </c>
    </row>
    <row r="4733" spans="1:6" x14ac:dyDescent="0.25">
      <c r="A4733" s="105" t="s">
        <v>16</v>
      </c>
      <c r="B4733" s="19">
        <v>44090</v>
      </c>
      <c r="C4733" s="4">
        <v>122</v>
      </c>
      <c r="D4733" s="21">
        <f t="shared" si="392"/>
        <v>7001</v>
      </c>
      <c r="F4733" s="95">
        <f t="shared" ref="F4733:F4751" si="393">E4733+F4709</f>
        <v>244</v>
      </c>
    </row>
    <row r="4734" spans="1:6" x14ac:dyDescent="0.25">
      <c r="A4734" s="105" t="s">
        <v>30</v>
      </c>
      <c r="B4734" s="19">
        <v>44090</v>
      </c>
      <c r="C4734" s="4">
        <v>94</v>
      </c>
      <c r="D4734" s="21">
        <f t="shared" si="392"/>
        <v>1949</v>
      </c>
      <c r="F4734" s="95">
        <f t="shared" si="393"/>
        <v>23</v>
      </c>
    </row>
    <row r="4735" spans="1:6" x14ac:dyDescent="0.25">
      <c r="A4735" s="105" t="s">
        <v>21</v>
      </c>
      <c r="B4735" s="19">
        <v>44090</v>
      </c>
      <c r="C4735" s="4">
        <v>691</v>
      </c>
      <c r="D4735" s="21">
        <f t="shared" si="392"/>
        <v>16384</v>
      </c>
      <c r="E4735" s="4">
        <f>5+4</f>
        <v>9</v>
      </c>
      <c r="F4735" s="95">
        <f t="shared" si="393"/>
        <v>221</v>
      </c>
    </row>
    <row r="4736" spans="1:6" x14ac:dyDescent="0.25">
      <c r="A4736" s="105" t="s">
        <v>31</v>
      </c>
      <c r="B4736" s="19">
        <v>44090</v>
      </c>
      <c r="C4736" s="4">
        <v>17</v>
      </c>
      <c r="D4736" s="21">
        <f t="shared" si="392"/>
        <v>795</v>
      </c>
      <c r="F4736" s="95">
        <f>E4736+F4712</f>
        <v>6</v>
      </c>
    </row>
    <row r="4737" spans="1:6" x14ac:dyDescent="0.25">
      <c r="A4737" s="105" t="s">
        <v>32</v>
      </c>
      <c r="B4737" s="19">
        <v>44090</v>
      </c>
      <c r="C4737" s="4">
        <v>125</v>
      </c>
      <c r="D4737" s="21">
        <f t="shared" si="392"/>
        <v>5624</v>
      </c>
      <c r="E4737" s="4">
        <f>1+2</f>
        <v>3</v>
      </c>
      <c r="F4737" s="95">
        <f>E4737+F4713</f>
        <v>97</v>
      </c>
    </row>
    <row r="4738" spans="1:6" x14ac:dyDescent="0.25">
      <c r="A4738" s="105" t="s">
        <v>42</v>
      </c>
      <c r="B4738" s="19">
        <v>44090</v>
      </c>
      <c r="C4738" s="4">
        <v>-2</v>
      </c>
      <c r="D4738" s="21">
        <f t="shared" si="392"/>
        <v>96</v>
      </c>
      <c r="F4738" s="95">
        <f>E4738+F4714</f>
        <v>1</v>
      </c>
    </row>
    <row r="4739" spans="1:6" x14ac:dyDescent="0.25">
      <c r="A4739" s="105" t="s">
        <v>33</v>
      </c>
      <c r="B4739" s="19">
        <v>44090</v>
      </c>
      <c r="C4739" s="4">
        <v>305</v>
      </c>
      <c r="D4739" s="21">
        <f t="shared" si="392"/>
        <v>13035</v>
      </c>
      <c r="F4739" s="95">
        <f t="shared" si="393"/>
        <v>276</v>
      </c>
    </row>
    <row r="4740" spans="1:6" x14ac:dyDescent="0.25">
      <c r="A4740" s="105" t="s">
        <v>34</v>
      </c>
      <c r="B4740" s="19">
        <v>44090</v>
      </c>
      <c r="C4740" s="4">
        <v>39</v>
      </c>
      <c r="D4740" s="21">
        <f t="shared" si="392"/>
        <v>505</v>
      </c>
      <c r="F4740" s="95">
        <f t="shared" si="393"/>
        <v>4</v>
      </c>
    </row>
    <row r="4741" spans="1:6" x14ac:dyDescent="0.25">
      <c r="A4741" s="105" t="s">
        <v>22</v>
      </c>
      <c r="B4741" s="19">
        <v>44090</v>
      </c>
      <c r="C4741" s="4">
        <v>125</v>
      </c>
      <c r="D4741" s="21">
        <f t="shared" si="392"/>
        <v>3131</v>
      </c>
      <c r="F4741" s="95">
        <f t="shared" si="393"/>
        <v>87</v>
      </c>
    </row>
    <row r="4742" spans="1:6" x14ac:dyDescent="0.25">
      <c r="A4742" s="105" t="s">
        <v>18</v>
      </c>
      <c r="B4742" s="19">
        <v>44090</v>
      </c>
      <c r="C4742" s="4">
        <v>682</v>
      </c>
      <c r="D4742" s="21">
        <f t="shared" si="392"/>
        <v>16443</v>
      </c>
      <c r="E4742" s="4">
        <f>1+1+1</f>
        <v>3</v>
      </c>
      <c r="F4742" s="95">
        <f t="shared" si="393"/>
        <v>159</v>
      </c>
    </row>
    <row r="4743" spans="1:6" x14ac:dyDescent="0.25">
      <c r="A4743" s="105" t="s">
        <v>24</v>
      </c>
      <c r="B4743" s="19">
        <v>44090</v>
      </c>
      <c r="C4743" s="4">
        <v>3</v>
      </c>
      <c r="D4743" s="21">
        <f t="shared" si="392"/>
        <v>63</v>
      </c>
      <c r="F4743" s="95">
        <f t="shared" si="393"/>
        <v>2</v>
      </c>
    </row>
    <row r="4744" spans="1:6" x14ac:dyDescent="0.25">
      <c r="A4744" s="105" t="s">
        <v>20</v>
      </c>
      <c r="B4744" s="19">
        <v>44090</v>
      </c>
      <c r="C4744" s="4">
        <v>189</v>
      </c>
      <c r="D4744" s="21">
        <f>C4744+D4720</f>
        <v>5348</v>
      </c>
      <c r="E4744" s="4">
        <f>1</f>
        <v>1</v>
      </c>
      <c r="F4744" s="95">
        <f t="shared" si="393"/>
        <v>54</v>
      </c>
    </row>
    <row r="4745" spans="1:6" x14ac:dyDescent="0.25">
      <c r="A4745" s="105" t="s">
        <v>19</v>
      </c>
      <c r="B4745" s="19">
        <v>44090</v>
      </c>
      <c r="C4745" s="4">
        <v>232</v>
      </c>
      <c r="D4745" s="21">
        <f>C4745+D4721</f>
        <v>9461</v>
      </c>
      <c r="E4745" s="4">
        <f>3+5</f>
        <v>8</v>
      </c>
      <c r="F4745" s="95">
        <f t="shared" si="393"/>
        <v>176</v>
      </c>
    </row>
    <row r="4746" spans="1:6" x14ac:dyDescent="0.25">
      <c r="A4746" s="105" t="s">
        <v>35</v>
      </c>
      <c r="B4746" s="19">
        <v>44090</v>
      </c>
      <c r="C4746" s="4">
        <v>319</v>
      </c>
      <c r="D4746" s="21">
        <f>C4746+D4722</f>
        <v>7622</v>
      </c>
      <c r="E4746" s="4">
        <f>1+1</f>
        <v>2</v>
      </c>
      <c r="F4746" s="95">
        <f>E4746+F4722</f>
        <v>101</v>
      </c>
    </row>
    <row r="4747" spans="1:6" x14ac:dyDescent="0.25">
      <c r="A4747" s="105" t="s">
        <v>36</v>
      </c>
      <c r="B4747" s="19">
        <v>44090</v>
      </c>
      <c r="C4747" s="4">
        <v>0</v>
      </c>
      <c r="D4747" s="21">
        <f t="shared" ref="D4747:D4753" si="394">C4747+D4723</f>
        <v>428</v>
      </c>
      <c r="E4747" s="4">
        <f>2</f>
        <v>2</v>
      </c>
      <c r="F4747" s="95">
        <f>E4747+F4723</f>
        <v>14</v>
      </c>
    </row>
    <row r="4748" spans="1:6" x14ac:dyDescent="0.25">
      <c r="A4748" s="105" t="s">
        <v>37</v>
      </c>
      <c r="B4748" s="19">
        <v>44090</v>
      </c>
      <c r="C4748" s="4">
        <v>25</v>
      </c>
      <c r="D4748" s="21">
        <f t="shared" si="394"/>
        <v>508</v>
      </c>
      <c r="F4748" s="95">
        <f t="shared" si="393"/>
        <v>0</v>
      </c>
    </row>
    <row r="4749" spans="1:6" x14ac:dyDescent="0.25">
      <c r="A4749" s="105" t="s">
        <v>38</v>
      </c>
      <c r="B4749" s="19">
        <v>44090</v>
      </c>
      <c r="C4749" s="4">
        <v>84</v>
      </c>
      <c r="D4749" s="21">
        <f t="shared" si="394"/>
        <v>3276</v>
      </c>
      <c r="E4749" s="4">
        <f>3</f>
        <v>3</v>
      </c>
      <c r="F4749" s="95">
        <f>E4749+F4725</f>
        <v>39</v>
      </c>
    </row>
    <row r="4750" spans="1:6" x14ac:dyDescent="0.25">
      <c r="A4750" s="105" t="s">
        <v>23</v>
      </c>
      <c r="B4750" s="19">
        <v>44090</v>
      </c>
      <c r="C4750" s="4">
        <v>1149</v>
      </c>
      <c r="D4750" s="21">
        <f t="shared" si="394"/>
        <v>21672</v>
      </c>
      <c r="E4750" s="4">
        <f>2+1+7+7</f>
        <v>17</v>
      </c>
      <c r="F4750" s="95">
        <f>E4750+F4726</f>
        <v>236</v>
      </c>
    </row>
    <row r="4751" spans="1:6" x14ac:dyDescent="0.25">
      <c r="A4751" s="105" t="s">
        <v>39</v>
      </c>
      <c r="B4751" s="19">
        <v>44090</v>
      </c>
      <c r="C4751" s="4">
        <v>59</v>
      </c>
      <c r="D4751" s="21">
        <f t="shared" si="394"/>
        <v>2041</v>
      </c>
      <c r="F4751" s="95">
        <f t="shared" si="393"/>
        <v>28</v>
      </c>
    </row>
    <row r="4752" spans="1:6" x14ac:dyDescent="0.25">
      <c r="A4752" s="105" t="s">
        <v>40</v>
      </c>
      <c r="B4752" s="19">
        <v>44090</v>
      </c>
      <c r="C4752" s="4">
        <v>46</v>
      </c>
      <c r="D4752" s="21">
        <f t="shared" si="394"/>
        <v>2901</v>
      </c>
      <c r="E4752" s="4">
        <f>1+2</f>
        <v>3</v>
      </c>
      <c r="F4752" s="95">
        <f>E4752+F4728</f>
        <v>50</v>
      </c>
    </row>
    <row r="4753" spans="1:6" ht="15.75" thickBot="1" x14ac:dyDescent="0.3">
      <c r="A4753" s="106" t="s">
        <v>41</v>
      </c>
      <c r="B4753" s="36">
        <v>44090</v>
      </c>
      <c r="C4753" s="37">
        <v>458</v>
      </c>
      <c r="D4753" s="98">
        <f t="shared" si="394"/>
        <v>8175</v>
      </c>
      <c r="E4753" s="37">
        <f>8</f>
        <v>8</v>
      </c>
      <c r="F4753" s="96">
        <f>E4753+F4729</f>
        <v>30</v>
      </c>
    </row>
    <row r="4754" spans="1:6" ht="15.75" thickBot="1" x14ac:dyDescent="0.3">
      <c r="A4754" s="45" t="s">
        <v>17</v>
      </c>
      <c r="B4754" s="36">
        <v>44091</v>
      </c>
      <c r="C4754" s="31">
        <v>6319</v>
      </c>
      <c r="D4754" s="97">
        <f>C4754+D4730</f>
        <v>355050</v>
      </c>
      <c r="E4754" s="31">
        <v>213</v>
      </c>
      <c r="F4754" s="94">
        <f>E4754+F4730</f>
        <v>7411</v>
      </c>
    </row>
    <row r="4755" spans="1:6" ht="15.75" thickBot="1" x14ac:dyDescent="0.3">
      <c r="A4755" s="105" t="s">
        <v>44</v>
      </c>
      <c r="B4755" s="36">
        <v>44091</v>
      </c>
      <c r="C4755" s="4">
        <v>1156</v>
      </c>
      <c r="D4755" s="21">
        <f t="shared" ref="D4755:D4767" si="395">C4755+D4731</f>
        <v>114825</v>
      </c>
      <c r="E4755" s="4">
        <f>6+1+10+7</f>
        <v>24</v>
      </c>
      <c r="F4755" s="95">
        <f>E4755+F4731</f>
        <v>2855</v>
      </c>
    </row>
    <row r="4756" spans="1:6" ht="15.75" thickBot="1" x14ac:dyDescent="0.3">
      <c r="A4756" s="105" t="s">
        <v>29</v>
      </c>
      <c r="B4756" s="36">
        <v>44091</v>
      </c>
      <c r="C4756" s="4">
        <v>23</v>
      </c>
      <c r="D4756" s="21">
        <f t="shared" si="395"/>
        <v>177</v>
      </c>
      <c r="F4756" s="95">
        <f>E4756+F4732</f>
        <v>0</v>
      </c>
    </row>
    <row r="4757" spans="1:6" ht="15.75" thickBot="1" x14ac:dyDescent="0.3">
      <c r="A4757" s="105" t="s">
        <v>16</v>
      </c>
      <c r="B4757" s="36">
        <v>44091</v>
      </c>
      <c r="C4757" s="4">
        <v>108</v>
      </c>
      <c r="D4757" s="21">
        <f t="shared" si="395"/>
        <v>7109</v>
      </c>
      <c r="E4757" s="4">
        <f>1+2</f>
        <v>3</v>
      </c>
      <c r="F4757" s="95">
        <f t="shared" ref="F4757:F4775" si="396">E4757+F4733</f>
        <v>247</v>
      </c>
    </row>
    <row r="4758" spans="1:6" ht="15.75" thickBot="1" x14ac:dyDescent="0.3">
      <c r="A4758" s="105" t="s">
        <v>30</v>
      </c>
      <c r="B4758" s="36">
        <v>44091</v>
      </c>
      <c r="C4758" s="4">
        <v>95</v>
      </c>
      <c r="D4758" s="21">
        <f t="shared" si="395"/>
        <v>2044</v>
      </c>
      <c r="E4758" s="4">
        <f>1</f>
        <v>1</v>
      </c>
      <c r="F4758" s="95">
        <f t="shared" si="396"/>
        <v>24</v>
      </c>
    </row>
    <row r="4759" spans="1:6" ht="15.75" thickBot="1" x14ac:dyDescent="0.3">
      <c r="A4759" s="105" t="s">
        <v>21</v>
      </c>
      <c r="B4759" s="36">
        <v>44091</v>
      </c>
      <c r="C4759" s="4">
        <v>757</v>
      </c>
      <c r="D4759" s="21">
        <f t="shared" si="395"/>
        <v>17141</v>
      </c>
      <c r="E4759" s="4">
        <f>1+4+2</f>
        <v>7</v>
      </c>
      <c r="F4759" s="95">
        <f t="shared" si="396"/>
        <v>228</v>
      </c>
    </row>
    <row r="4760" spans="1:6" ht="15.75" thickBot="1" x14ac:dyDescent="0.3">
      <c r="A4760" s="105" t="s">
        <v>31</v>
      </c>
      <c r="B4760" s="36">
        <v>44091</v>
      </c>
      <c r="C4760" s="4">
        <v>73</v>
      </c>
      <c r="D4760" s="21">
        <f t="shared" si="395"/>
        <v>868</v>
      </c>
      <c r="F4760" s="95">
        <f>E4760+F4736</f>
        <v>6</v>
      </c>
    </row>
    <row r="4761" spans="1:6" ht="15.75" thickBot="1" x14ac:dyDescent="0.3">
      <c r="A4761" s="105" t="s">
        <v>32</v>
      </c>
      <c r="B4761" s="36">
        <v>44091</v>
      </c>
      <c r="C4761" s="4">
        <v>150</v>
      </c>
      <c r="D4761" s="21">
        <f t="shared" si="395"/>
        <v>5774</v>
      </c>
      <c r="E4761" s="4">
        <f>4+1</f>
        <v>5</v>
      </c>
      <c r="F4761" s="95">
        <f>E4761+F4737</f>
        <v>102</v>
      </c>
    </row>
    <row r="4762" spans="1:6" ht="15.75" thickBot="1" x14ac:dyDescent="0.3">
      <c r="A4762" s="105" t="s">
        <v>42</v>
      </c>
      <c r="B4762" s="36">
        <v>44091</v>
      </c>
      <c r="C4762" s="4">
        <v>-3</v>
      </c>
      <c r="D4762" s="21">
        <f t="shared" si="395"/>
        <v>93</v>
      </c>
      <c r="F4762" s="95">
        <f>E4762+F4738</f>
        <v>1</v>
      </c>
    </row>
    <row r="4763" spans="1:6" ht="15.75" thickBot="1" x14ac:dyDescent="0.3">
      <c r="A4763" s="105" t="s">
        <v>33</v>
      </c>
      <c r="B4763" s="36">
        <v>44091</v>
      </c>
      <c r="C4763" s="4">
        <v>309</v>
      </c>
      <c r="D4763" s="21">
        <f t="shared" si="395"/>
        <v>13344</v>
      </c>
      <c r="E4763" s="4">
        <f>8+3+4+7</f>
        <v>22</v>
      </c>
      <c r="F4763" s="95">
        <f t="shared" si="396"/>
        <v>298</v>
      </c>
    </row>
    <row r="4764" spans="1:6" ht="15.75" thickBot="1" x14ac:dyDescent="0.3">
      <c r="A4764" s="105" t="s">
        <v>34</v>
      </c>
      <c r="B4764" s="36">
        <v>44091</v>
      </c>
      <c r="C4764" s="4">
        <v>15</v>
      </c>
      <c r="D4764" s="21">
        <f t="shared" si="395"/>
        <v>520</v>
      </c>
      <c r="F4764" s="95">
        <f t="shared" si="396"/>
        <v>4</v>
      </c>
    </row>
    <row r="4765" spans="1:6" ht="15.75" thickBot="1" x14ac:dyDescent="0.3">
      <c r="A4765" s="105" t="s">
        <v>22</v>
      </c>
      <c r="B4765" s="36">
        <v>44091</v>
      </c>
      <c r="C4765" s="4">
        <v>121</v>
      </c>
      <c r="D4765" s="21">
        <f t="shared" si="395"/>
        <v>3252</v>
      </c>
      <c r="E4765" s="4">
        <f>5+1</f>
        <v>6</v>
      </c>
      <c r="F4765" s="95">
        <f t="shared" si="396"/>
        <v>93</v>
      </c>
    </row>
    <row r="4766" spans="1:6" ht="15.75" thickBot="1" x14ac:dyDescent="0.3">
      <c r="A4766" s="105" t="s">
        <v>18</v>
      </c>
      <c r="B4766" s="36">
        <v>44091</v>
      </c>
      <c r="C4766" s="4">
        <v>566</v>
      </c>
      <c r="D4766" s="21">
        <f t="shared" si="395"/>
        <v>17009</v>
      </c>
      <c r="E4766" s="4">
        <f>1+1+3</f>
        <v>5</v>
      </c>
      <c r="F4766" s="95">
        <f t="shared" si="396"/>
        <v>164</v>
      </c>
    </row>
    <row r="4767" spans="1:6" ht="15.75" thickBot="1" x14ac:dyDescent="0.3">
      <c r="A4767" s="105" t="s">
        <v>24</v>
      </c>
      <c r="B4767" s="36">
        <v>44091</v>
      </c>
      <c r="C4767" s="4">
        <v>2</v>
      </c>
      <c r="D4767" s="21">
        <f t="shared" si="395"/>
        <v>65</v>
      </c>
      <c r="F4767" s="95">
        <f t="shared" si="396"/>
        <v>2</v>
      </c>
    </row>
    <row r="4768" spans="1:6" ht="15.75" thickBot="1" x14ac:dyDescent="0.3">
      <c r="A4768" s="105" t="s">
        <v>20</v>
      </c>
      <c r="B4768" s="36">
        <v>44091</v>
      </c>
      <c r="C4768" s="4">
        <v>218</v>
      </c>
      <c r="D4768" s="21">
        <f>C4768+D4744</f>
        <v>5566</v>
      </c>
      <c r="E4768" s="4">
        <f>5+2</f>
        <v>7</v>
      </c>
      <c r="F4768" s="95">
        <f t="shared" si="396"/>
        <v>61</v>
      </c>
    </row>
    <row r="4769" spans="1:6" ht="15.75" thickBot="1" x14ac:dyDescent="0.3">
      <c r="A4769" s="105" t="s">
        <v>19</v>
      </c>
      <c r="B4769" s="36">
        <v>44091</v>
      </c>
      <c r="C4769" s="4">
        <v>291</v>
      </c>
      <c r="D4769" s="21">
        <f>C4769+D4745</f>
        <v>9752</v>
      </c>
      <c r="E4769" s="4">
        <f>2+2+2</f>
        <v>6</v>
      </c>
      <c r="F4769" s="95">
        <f t="shared" si="396"/>
        <v>182</v>
      </c>
    </row>
    <row r="4770" spans="1:6" ht="15.75" thickBot="1" x14ac:dyDescent="0.3">
      <c r="A4770" s="105" t="s">
        <v>35</v>
      </c>
      <c r="B4770" s="36">
        <v>44091</v>
      </c>
      <c r="C4770" s="4">
        <v>419</v>
      </c>
      <c r="D4770" s="21">
        <f>C4770+D4746</f>
        <v>8041</v>
      </c>
      <c r="E4770" s="4">
        <f>2+5+8</f>
        <v>15</v>
      </c>
      <c r="F4770" s="95">
        <f>E4770+F4746</f>
        <v>116</v>
      </c>
    </row>
    <row r="4771" spans="1:6" ht="15.75" thickBot="1" x14ac:dyDescent="0.3">
      <c r="A4771" s="105" t="s">
        <v>36</v>
      </c>
      <c r="B4771" s="36">
        <v>44091</v>
      </c>
      <c r="C4771" s="4">
        <v>20</v>
      </c>
      <c r="D4771" s="21">
        <f t="shared" ref="D4771:D4777" si="397">C4771+D4747</f>
        <v>448</v>
      </c>
      <c r="F4771" s="95">
        <f>E4771+F4747</f>
        <v>14</v>
      </c>
    </row>
    <row r="4772" spans="1:6" ht="15.75" thickBot="1" x14ac:dyDescent="0.3">
      <c r="A4772" s="105" t="s">
        <v>37</v>
      </c>
      <c r="B4772" s="36">
        <v>44091</v>
      </c>
      <c r="C4772" s="4">
        <v>62</v>
      </c>
      <c r="D4772" s="21">
        <f t="shared" si="397"/>
        <v>570</v>
      </c>
      <c r="F4772" s="95">
        <f t="shared" si="396"/>
        <v>0</v>
      </c>
    </row>
    <row r="4773" spans="1:6" ht="15.75" thickBot="1" x14ac:dyDescent="0.3">
      <c r="A4773" s="105" t="s">
        <v>38</v>
      </c>
      <c r="B4773" s="36">
        <v>44091</v>
      </c>
      <c r="C4773" s="4">
        <v>86</v>
      </c>
      <c r="D4773" s="21">
        <f t="shared" si="397"/>
        <v>3362</v>
      </c>
      <c r="E4773" s="4">
        <f>3</f>
        <v>3</v>
      </c>
      <c r="F4773" s="95">
        <f>E4773+F4749</f>
        <v>42</v>
      </c>
    </row>
    <row r="4774" spans="1:6" ht="15.75" thickBot="1" x14ac:dyDescent="0.3">
      <c r="A4774" s="105" t="s">
        <v>23</v>
      </c>
      <c r="B4774" s="36">
        <v>44091</v>
      </c>
      <c r="C4774" s="4">
        <v>1362</v>
      </c>
      <c r="D4774" s="21">
        <f t="shared" si="397"/>
        <v>23034</v>
      </c>
      <c r="E4774" s="4">
        <f>3+2+8+3</f>
        <v>16</v>
      </c>
      <c r="F4774" s="95">
        <f>E4774+F4750</f>
        <v>252</v>
      </c>
    </row>
    <row r="4775" spans="1:6" ht="15.75" thickBot="1" x14ac:dyDescent="0.3">
      <c r="A4775" s="105" t="s">
        <v>39</v>
      </c>
      <c r="B4775" s="36">
        <v>44091</v>
      </c>
      <c r="C4775" s="4">
        <v>68</v>
      </c>
      <c r="D4775" s="21">
        <f t="shared" si="397"/>
        <v>2109</v>
      </c>
      <c r="E4775" s="4">
        <f>1+1</f>
        <v>2</v>
      </c>
      <c r="F4775" s="95">
        <f t="shared" si="396"/>
        <v>30</v>
      </c>
    </row>
    <row r="4776" spans="1:6" ht="15.75" thickBot="1" x14ac:dyDescent="0.3">
      <c r="A4776" s="105" t="s">
        <v>40</v>
      </c>
      <c r="B4776" s="36">
        <v>44091</v>
      </c>
      <c r="C4776" s="4">
        <v>49</v>
      </c>
      <c r="D4776" s="21">
        <f t="shared" si="397"/>
        <v>2950</v>
      </c>
      <c r="E4776" s="4">
        <f>1+1</f>
        <v>2</v>
      </c>
      <c r="F4776" s="95">
        <f>E4776+F4752</f>
        <v>52</v>
      </c>
    </row>
    <row r="4777" spans="1:6" ht="15.75" thickBot="1" x14ac:dyDescent="0.3">
      <c r="A4777" s="107" t="s">
        <v>41</v>
      </c>
      <c r="B4777" s="29">
        <v>44091</v>
      </c>
      <c r="C4777" s="30">
        <v>435</v>
      </c>
      <c r="D4777" s="59">
        <f t="shared" si="397"/>
        <v>8610</v>
      </c>
      <c r="E4777" s="30">
        <f>3+2+2</f>
        <v>7</v>
      </c>
      <c r="F4777" s="104">
        <f>E4777+F4753</f>
        <v>37</v>
      </c>
    </row>
    <row r="4778" spans="1:6" x14ac:dyDescent="0.25">
      <c r="A4778" s="45" t="s">
        <v>17</v>
      </c>
      <c r="B4778" s="32">
        <v>44092</v>
      </c>
      <c r="C4778" s="33">
        <v>5708</v>
      </c>
      <c r="D4778" s="97">
        <f>C4778+D4754</f>
        <v>360758</v>
      </c>
      <c r="E4778" s="33">
        <f>5+5+45+37</f>
        <v>92</v>
      </c>
      <c r="F4778" s="94">
        <f>E4778+F4754</f>
        <v>7503</v>
      </c>
    </row>
    <row r="4779" spans="1:6" x14ac:dyDescent="0.25">
      <c r="A4779" s="105" t="s">
        <v>44</v>
      </c>
      <c r="B4779" s="19">
        <v>44092</v>
      </c>
      <c r="C4779" s="4">
        <v>1070</v>
      </c>
      <c r="D4779" s="21">
        <f t="shared" ref="D4779:D4791" si="398">C4779+D4755</f>
        <v>115895</v>
      </c>
      <c r="E4779" s="4">
        <f>1+14+14</f>
        <v>29</v>
      </c>
      <c r="F4779" s="95">
        <f>E4779+F4755</f>
        <v>2884</v>
      </c>
    </row>
    <row r="4780" spans="1:6" x14ac:dyDescent="0.25">
      <c r="A4780" s="105" t="s">
        <v>29</v>
      </c>
      <c r="B4780" s="19">
        <v>44092</v>
      </c>
      <c r="C4780" s="4">
        <v>6</v>
      </c>
      <c r="D4780" s="21">
        <f t="shared" si="398"/>
        <v>183</v>
      </c>
      <c r="F4780" s="95">
        <f>E4780+F4756</f>
        <v>0</v>
      </c>
    </row>
    <row r="4781" spans="1:6" x14ac:dyDescent="0.25">
      <c r="A4781" s="105" t="s">
        <v>16</v>
      </c>
      <c r="B4781" s="19">
        <v>44092</v>
      </c>
      <c r="C4781" s="4">
        <v>104</v>
      </c>
      <c r="D4781" s="21">
        <f t="shared" si="398"/>
        <v>7213</v>
      </c>
      <c r="E4781" s="4">
        <f>1+2+1</f>
        <v>4</v>
      </c>
      <c r="F4781" s="95">
        <f t="shared" ref="F4781:F4799" si="399">E4781+F4757</f>
        <v>251</v>
      </c>
    </row>
    <row r="4782" spans="1:6" x14ac:dyDescent="0.25">
      <c r="A4782" s="105" t="s">
        <v>30</v>
      </c>
      <c r="B4782" s="19">
        <v>44092</v>
      </c>
      <c r="C4782" s="4">
        <v>56</v>
      </c>
      <c r="D4782" s="21">
        <f t="shared" si="398"/>
        <v>2100</v>
      </c>
      <c r="E4782" s="4">
        <f>1</f>
        <v>1</v>
      </c>
      <c r="F4782" s="95">
        <f t="shared" si="399"/>
        <v>25</v>
      </c>
    </row>
    <row r="4783" spans="1:6" x14ac:dyDescent="0.25">
      <c r="A4783" s="105" t="s">
        <v>21</v>
      </c>
      <c r="B4783" s="19">
        <v>44092</v>
      </c>
      <c r="C4783" s="4">
        <v>716</v>
      </c>
      <c r="D4783" s="21">
        <f t="shared" si="398"/>
        <v>17857</v>
      </c>
      <c r="E4783" s="4">
        <f>1+1+5+3</f>
        <v>10</v>
      </c>
      <c r="F4783" s="95">
        <f t="shared" si="399"/>
        <v>238</v>
      </c>
    </row>
    <row r="4784" spans="1:6" x14ac:dyDescent="0.25">
      <c r="A4784" s="105" t="s">
        <v>31</v>
      </c>
      <c r="B4784" s="19">
        <v>44092</v>
      </c>
      <c r="C4784" s="4">
        <v>35</v>
      </c>
      <c r="D4784" s="21">
        <f t="shared" si="398"/>
        <v>903</v>
      </c>
      <c r="F4784" s="95">
        <f>E4784+F4760</f>
        <v>6</v>
      </c>
    </row>
    <row r="4785" spans="1:6" x14ac:dyDescent="0.25">
      <c r="A4785" s="105" t="s">
        <v>32</v>
      </c>
      <c r="B4785" s="19">
        <v>44092</v>
      </c>
      <c r="C4785" s="4">
        <v>181</v>
      </c>
      <c r="D4785" s="21">
        <f t="shared" si="398"/>
        <v>5955</v>
      </c>
      <c r="E4785" s="4">
        <f>1+1</f>
        <v>2</v>
      </c>
      <c r="F4785" s="95">
        <f>E4785+F4761</f>
        <v>104</v>
      </c>
    </row>
    <row r="4786" spans="1:6" x14ac:dyDescent="0.25">
      <c r="A4786" s="105" t="s">
        <v>42</v>
      </c>
      <c r="B4786" s="19">
        <v>44092</v>
      </c>
      <c r="C4786" s="4">
        <v>-1</v>
      </c>
      <c r="D4786" s="21">
        <f t="shared" si="398"/>
        <v>92</v>
      </c>
      <c r="F4786" s="95">
        <f>E4786+F4762</f>
        <v>1</v>
      </c>
    </row>
    <row r="4787" spans="1:6" x14ac:dyDescent="0.25">
      <c r="A4787" s="105" t="s">
        <v>33</v>
      </c>
      <c r="B4787" s="19">
        <v>44092</v>
      </c>
      <c r="C4787" s="4">
        <v>256</v>
      </c>
      <c r="D4787" s="21">
        <f t="shared" si="398"/>
        <v>13600</v>
      </c>
      <c r="F4787" s="95">
        <f t="shared" si="399"/>
        <v>298</v>
      </c>
    </row>
    <row r="4788" spans="1:6" x14ac:dyDescent="0.25">
      <c r="A4788" s="105" t="s">
        <v>34</v>
      </c>
      <c r="B4788" s="19">
        <v>44092</v>
      </c>
      <c r="C4788" s="4">
        <v>14</v>
      </c>
      <c r="D4788" s="21">
        <f t="shared" si="398"/>
        <v>534</v>
      </c>
      <c r="F4788" s="95">
        <f t="shared" si="399"/>
        <v>4</v>
      </c>
    </row>
    <row r="4789" spans="1:6" x14ac:dyDescent="0.25">
      <c r="A4789" s="105" t="s">
        <v>22</v>
      </c>
      <c r="B4789" s="19">
        <v>44092</v>
      </c>
      <c r="C4789" s="4">
        <v>152</v>
      </c>
      <c r="D4789" s="21">
        <f t="shared" si="398"/>
        <v>3404</v>
      </c>
      <c r="E4789" s="4">
        <f>5</f>
        <v>5</v>
      </c>
      <c r="F4789" s="95">
        <f t="shared" si="399"/>
        <v>98</v>
      </c>
    </row>
    <row r="4790" spans="1:6" x14ac:dyDescent="0.25">
      <c r="A4790" s="105" t="s">
        <v>18</v>
      </c>
      <c r="B4790" s="19">
        <v>44092</v>
      </c>
      <c r="C4790" s="4">
        <v>578</v>
      </c>
      <c r="D4790" s="21">
        <f t="shared" si="398"/>
        <v>17587</v>
      </c>
      <c r="E4790" s="4">
        <f>3+2</f>
        <v>5</v>
      </c>
      <c r="F4790" s="95">
        <f t="shared" si="399"/>
        <v>169</v>
      </c>
    </row>
    <row r="4791" spans="1:6" x14ac:dyDescent="0.25">
      <c r="A4791" s="105" t="s">
        <v>24</v>
      </c>
      <c r="B4791" s="19">
        <v>44092</v>
      </c>
      <c r="C4791" s="4">
        <v>3</v>
      </c>
      <c r="D4791" s="21">
        <f t="shared" si="398"/>
        <v>68</v>
      </c>
      <c r="F4791" s="95">
        <f t="shared" si="399"/>
        <v>2</v>
      </c>
    </row>
    <row r="4792" spans="1:6" x14ac:dyDescent="0.25">
      <c r="A4792" s="105" t="s">
        <v>20</v>
      </c>
      <c r="B4792" s="19">
        <v>44092</v>
      </c>
      <c r="C4792" s="4">
        <v>150</v>
      </c>
      <c r="D4792" s="21">
        <f>C4792+D4768</f>
        <v>5716</v>
      </c>
      <c r="E4792" s="4">
        <f>4+2</f>
        <v>6</v>
      </c>
      <c r="F4792" s="95">
        <f t="shared" si="399"/>
        <v>67</v>
      </c>
    </row>
    <row r="4793" spans="1:6" x14ac:dyDescent="0.25">
      <c r="A4793" s="105" t="s">
        <v>19</v>
      </c>
      <c r="B4793" s="19">
        <v>44092</v>
      </c>
      <c r="C4793" s="4">
        <v>217</v>
      </c>
      <c r="D4793" s="21">
        <f>C4793+D4769</f>
        <v>9969</v>
      </c>
      <c r="E4793" s="4">
        <f>3+3</f>
        <v>6</v>
      </c>
      <c r="F4793" s="95">
        <f t="shared" si="399"/>
        <v>188</v>
      </c>
    </row>
    <row r="4794" spans="1:6" x14ac:dyDescent="0.25">
      <c r="A4794" s="105" t="s">
        <v>35</v>
      </c>
      <c r="B4794" s="19">
        <v>44092</v>
      </c>
      <c r="C4794" s="4">
        <v>450</v>
      </c>
      <c r="D4794" s="21">
        <f>C4794+D4770</f>
        <v>8491</v>
      </c>
      <c r="E4794" s="4">
        <f>2+4+8+4</f>
        <v>18</v>
      </c>
      <c r="F4794" s="95">
        <f>E4794+F4770</f>
        <v>134</v>
      </c>
    </row>
    <row r="4795" spans="1:6" x14ac:dyDescent="0.25">
      <c r="A4795" s="105" t="s">
        <v>36</v>
      </c>
      <c r="B4795" s="19">
        <v>44092</v>
      </c>
      <c r="C4795" s="4">
        <v>15</v>
      </c>
      <c r="D4795" s="21">
        <f t="shared" ref="D4795:D4801" si="400">C4795+D4771</f>
        <v>463</v>
      </c>
      <c r="E4795" s="4">
        <f>4+2</f>
        <v>6</v>
      </c>
      <c r="F4795" s="95">
        <f>E4795+F4771</f>
        <v>20</v>
      </c>
    </row>
    <row r="4796" spans="1:6" x14ac:dyDescent="0.25">
      <c r="A4796" s="105" t="s">
        <v>37</v>
      </c>
      <c r="B4796" s="19">
        <v>44092</v>
      </c>
      <c r="C4796" s="4">
        <v>78</v>
      </c>
      <c r="D4796" s="21">
        <f t="shared" si="400"/>
        <v>648</v>
      </c>
      <c r="F4796" s="95">
        <f t="shared" si="399"/>
        <v>0</v>
      </c>
    </row>
    <row r="4797" spans="1:6" x14ac:dyDescent="0.25">
      <c r="A4797" s="105" t="s">
        <v>38</v>
      </c>
      <c r="B4797" s="19">
        <v>44092</v>
      </c>
      <c r="C4797" s="4">
        <v>107</v>
      </c>
      <c r="D4797" s="21">
        <f t="shared" si="400"/>
        <v>3469</v>
      </c>
      <c r="E4797" s="4">
        <f>1+1</f>
        <v>2</v>
      </c>
      <c r="F4797" s="95">
        <f>E4797+F4773</f>
        <v>44</v>
      </c>
    </row>
    <row r="4798" spans="1:6" x14ac:dyDescent="0.25">
      <c r="A4798" s="105" t="s">
        <v>23</v>
      </c>
      <c r="B4798" s="19">
        <v>44092</v>
      </c>
      <c r="C4798" s="4">
        <v>1347</v>
      </c>
      <c r="D4798" s="21">
        <f t="shared" si="400"/>
        <v>24381</v>
      </c>
      <c r="E4798" s="4">
        <f>1+1+2+6</f>
        <v>10</v>
      </c>
      <c r="F4798" s="95">
        <f>E4798+F4774</f>
        <v>262</v>
      </c>
    </row>
    <row r="4799" spans="1:6" x14ac:dyDescent="0.25">
      <c r="A4799" s="105" t="s">
        <v>39</v>
      </c>
      <c r="B4799" s="19">
        <v>44092</v>
      </c>
      <c r="C4799" s="4">
        <v>137</v>
      </c>
      <c r="D4799" s="21">
        <f t="shared" si="400"/>
        <v>2246</v>
      </c>
      <c r="F4799" s="95">
        <f t="shared" si="399"/>
        <v>30</v>
      </c>
    </row>
    <row r="4800" spans="1:6" x14ac:dyDescent="0.25">
      <c r="A4800" s="105" t="s">
        <v>40</v>
      </c>
      <c r="B4800" s="19">
        <v>44092</v>
      </c>
      <c r="C4800" s="4">
        <v>70</v>
      </c>
      <c r="D4800" s="21">
        <f t="shared" si="400"/>
        <v>3020</v>
      </c>
      <c r="E4800" s="4">
        <f>1</f>
        <v>1</v>
      </c>
      <c r="F4800" s="95">
        <f>E4800+F4776</f>
        <v>53</v>
      </c>
    </row>
    <row r="4801" spans="1:6" ht="15.75" thickBot="1" x14ac:dyDescent="0.3">
      <c r="A4801" s="106" t="s">
        <v>41</v>
      </c>
      <c r="B4801" s="36">
        <v>44092</v>
      </c>
      <c r="C4801" s="37">
        <v>496</v>
      </c>
      <c r="D4801" s="98">
        <f t="shared" si="400"/>
        <v>9106</v>
      </c>
      <c r="E4801" s="37"/>
      <c r="F4801" s="96">
        <f>E4801+F4777</f>
        <v>37</v>
      </c>
    </row>
    <row r="4802" spans="1:6" ht="15.75" thickBot="1" x14ac:dyDescent="0.3">
      <c r="A4802" s="45" t="s">
        <v>17</v>
      </c>
      <c r="B4802" s="36">
        <v>44093</v>
      </c>
      <c r="C4802" s="31">
        <v>3877</v>
      </c>
      <c r="D4802" s="97">
        <f>C4802+D4778</f>
        <v>364635</v>
      </c>
      <c r="E4802" s="31">
        <f>10+14+13+19</f>
        <v>56</v>
      </c>
      <c r="F4802" s="94">
        <f>E4802+F4778</f>
        <v>7559</v>
      </c>
    </row>
    <row r="4803" spans="1:6" ht="15.75" thickBot="1" x14ac:dyDescent="0.3">
      <c r="A4803" s="105" t="s">
        <v>44</v>
      </c>
      <c r="B4803" s="36">
        <v>44093</v>
      </c>
      <c r="C4803" s="4">
        <v>683</v>
      </c>
      <c r="D4803" s="21">
        <f t="shared" ref="D4803:D4815" si="401">C4803+D4779</f>
        <v>116578</v>
      </c>
      <c r="E4803" s="4">
        <f>4+4+2</f>
        <v>10</v>
      </c>
      <c r="F4803" s="95">
        <f>E4803+F4779</f>
        <v>2894</v>
      </c>
    </row>
    <row r="4804" spans="1:6" ht="15.75" thickBot="1" x14ac:dyDescent="0.3">
      <c r="A4804" s="105" t="s">
        <v>29</v>
      </c>
      <c r="B4804" s="36">
        <v>44093</v>
      </c>
      <c r="C4804" s="4">
        <v>7</v>
      </c>
      <c r="D4804" s="21">
        <f t="shared" si="401"/>
        <v>190</v>
      </c>
      <c r="F4804" s="95">
        <f>E4804+F4780</f>
        <v>0</v>
      </c>
    </row>
    <row r="4805" spans="1:6" ht="15.75" thickBot="1" x14ac:dyDescent="0.3">
      <c r="A4805" s="105" t="s">
        <v>16</v>
      </c>
      <c r="B4805" s="36">
        <v>44093</v>
      </c>
      <c r="C4805" s="4">
        <v>132</v>
      </c>
      <c r="D4805" s="21">
        <f t="shared" si="401"/>
        <v>7345</v>
      </c>
      <c r="E4805" s="4">
        <f>1</f>
        <v>1</v>
      </c>
      <c r="F4805" s="95">
        <f t="shared" ref="F4805:F4823" si="402">E4805+F4781</f>
        <v>252</v>
      </c>
    </row>
    <row r="4806" spans="1:6" ht="15.75" thickBot="1" x14ac:dyDescent="0.3">
      <c r="A4806" s="105" t="s">
        <v>30</v>
      </c>
      <c r="B4806" s="36">
        <v>44093</v>
      </c>
      <c r="C4806" s="4">
        <v>81</v>
      </c>
      <c r="D4806" s="21">
        <f t="shared" si="401"/>
        <v>2181</v>
      </c>
      <c r="F4806" s="95">
        <f t="shared" si="402"/>
        <v>25</v>
      </c>
    </row>
    <row r="4807" spans="1:6" ht="15.75" thickBot="1" x14ac:dyDescent="0.3">
      <c r="A4807" s="105" t="s">
        <v>21</v>
      </c>
      <c r="B4807" s="36">
        <v>44093</v>
      </c>
      <c r="C4807" s="4">
        <v>751</v>
      </c>
      <c r="D4807" s="21">
        <f t="shared" si="401"/>
        <v>18608</v>
      </c>
      <c r="E4807" s="4">
        <f>1+1+7</f>
        <v>9</v>
      </c>
      <c r="F4807" s="95">
        <f t="shared" si="402"/>
        <v>247</v>
      </c>
    </row>
    <row r="4808" spans="1:6" ht="15.75" thickBot="1" x14ac:dyDescent="0.3">
      <c r="A4808" s="105" t="s">
        <v>31</v>
      </c>
      <c r="B4808" s="36">
        <v>44093</v>
      </c>
      <c r="C4808" s="4">
        <v>37</v>
      </c>
      <c r="D4808" s="21">
        <f t="shared" si="401"/>
        <v>940</v>
      </c>
      <c r="E4808" s="4">
        <f>5</f>
        <v>5</v>
      </c>
      <c r="F4808" s="95">
        <f>E4808+F4784</f>
        <v>11</v>
      </c>
    </row>
    <row r="4809" spans="1:6" ht="15.75" thickBot="1" x14ac:dyDescent="0.3">
      <c r="A4809" s="105" t="s">
        <v>32</v>
      </c>
      <c r="B4809" s="36">
        <v>44093</v>
      </c>
      <c r="C4809" s="4">
        <v>149</v>
      </c>
      <c r="D4809" s="21">
        <f t="shared" si="401"/>
        <v>6104</v>
      </c>
      <c r="E4809" s="4">
        <f>1+1</f>
        <v>2</v>
      </c>
      <c r="F4809" s="95">
        <f>E4809+F4785</f>
        <v>106</v>
      </c>
    </row>
    <row r="4810" spans="1:6" ht="15.75" thickBot="1" x14ac:dyDescent="0.3">
      <c r="A4810" s="105" t="s">
        <v>42</v>
      </c>
      <c r="B4810" s="36">
        <v>44093</v>
      </c>
      <c r="C4810" s="4">
        <v>9</v>
      </c>
      <c r="D4810" s="21">
        <f t="shared" si="401"/>
        <v>101</v>
      </c>
      <c r="F4810" s="95">
        <f>E4810+F4786</f>
        <v>1</v>
      </c>
    </row>
    <row r="4811" spans="1:6" ht="15.75" thickBot="1" x14ac:dyDescent="0.3">
      <c r="A4811" s="105" t="s">
        <v>33</v>
      </c>
      <c r="B4811" s="36">
        <v>44093</v>
      </c>
      <c r="C4811" s="4">
        <v>295</v>
      </c>
      <c r="D4811" s="21">
        <f t="shared" si="401"/>
        <v>13895</v>
      </c>
      <c r="E4811" s="4">
        <f>5+3</f>
        <v>8</v>
      </c>
      <c r="F4811" s="95">
        <f t="shared" si="402"/>
        <v>306</v>
      </c>
    </row>
    <row r="4812" spans="1:6" ht="15.75" thickBot="1" x14ac:dyDescent="0.3">
      <c r="A4812" s="105" t="s">
        <v>34</v>
      </c>
      <c r="B4812" s="36">
        <v>44093</v>
      </c>
      <c r="C4812" s="4">
        <v>13</v>
      </c>
      <c r="D4812" s="21">
        <f t="shared" si="401"/>
        <v>547</v>
      </c>
      <c r="F4812" s="95">
        <f t="shared" si="402"/>
        <v>4</v>
      </c>
    </row>
    <row r="4813" spans="1:6" ht="15.75" thickBot="1" x14ac:dyDescent="0.3">
      <c r="A4813" s="105" t="s">
        <v>22</v>
      </c>
      <c r="B4813" s="36">
        <v>44093</v>
      </c>
      <c r="C4813" s="4">
        <v>86</v>
      </c>
      <c r="D4813" s="21">
        <f t="shared" si="401"/>
        <v>3490</v>
      </c>
      <c r="F4813" s="95">
        <f t="shared" si="402"/>
        <v>98</v>
      </c>
    </row>
    <row r="4814" spans="1:6" ht="15.75" thickBot="1" x14ac:dyDescent="0.3">
      <c r="A4814" s="105" t="s">
        <v>18</v>
      </c>
      <c r="B4814" s="36">
        <v>44093</v>
      </c>
      <c r="C4814" s="4">
        <v>673</v>
      </c>
      <c r="D4814" s="21">
        <f t="shared" si="401"/>
        <v>18260</v>
      </c>
      <c r="E4814" s="4">
        <f>1+1</f>
        <v>2</v>
      </c>
      <c r="F4814" s="95">
        <f t="shared" si="402"/>
        <v>171</v>
      </c>
    </row>
    <row r="4815" spans="1:6" ht="15.75" thickBot="1" x14ac:dyDescent="0.3">
      <c r="A4815" s="105" t="s">
        <v>24</v>
      </c>
      <c r="B4815" s="36">
        <v>44093</v>
      </c>
      <c r="C4815" s="4">
        <v>1</v>
      </c>
      <c r="D4815" s="21">
        <f t="shared" si="401"/>
        <v>69</v>
      </c>
      <c r="F4815" s="95">
        <f t="shared" si="402"/>
        <v>2</v>
      </c>
    </row>
    <row r="4816" spans="1:6" ht="15.75" thickBot="1" x14ac:dyDescent="0.3">
      <c r="A4816" s="105" t="s">
        <v>20</v>
      </c>
      <c r="B4816" s="36">
        <v>44093</v>
      </c>
      <c r="C4816" s="4">
        <v>141</v>
      </c>
      <c r="D4816" s="21">
        <f>C4816+D4792</f>
        <v>5857</v>
      </c>
      <c r="E4816" s="4">
        <f>2+1</f>
        <v>3</v>
      </c>
      <c r="F4816" s="95">
        <f t="shared" si="402"/>
        <v>70</v>
      </c>
    </row>
    <row r="4817" spans="1:6" ht="15.75" thickBot="1" x14ac:dyDescent="0.3">
      <c r="A4817" s="105" t="s">
        <v>19</v>
      </c>
      <c r="B4817" s="36">
        <v>44093</v>
      </c>
      <c r="C4817" s="4">
        <v>245</v>
      </c>
      <c r="D4817" s="21">
        <f>C4817+D4793</f>
        <v>10214</v>
      </c>
      <c r="E4817" s="4">
        <f>3+2+2</f>
        <v>7</v>
      </c>
      <c r="F4817" s="95">
        <f t="shared" si="402"/>
        <v>195</v>
      </c>
    </row>
    <row r="4818" spans="1:6" ht="15.75" thickBot="1" x14ac:dyDescent="0.3">
      <c r="A4818" s="105" t="s">
        <v>35</v>
      </c>
      <c r="B4818" s="36">
        <v>44093</v>
      </c>
      <c r="C4818" s="4">
        <v>438</v>
      </c>
      <c r="D4818" s="21">
        <f>C4818+D4794</f>
        <v>8929</v>
      </c>
      <c r="E4818" s="4">
        <f>1+12+8</f>
        <v>21</v>
      </c>
      <c r="F4818" s="95">
        <f>E4818+F4794</f>
        <v>155</v>
      </c>
    </row>
    <row r="4819" spans="1:6" ht="15.75" thickBot="1" x14ac:dyDescent="0.3">
      <c r="A4819" s="105" t="s">
        <v>36</v>
      </c>
      <c r="B4819" s="36">
        <v>44093</v>
      </c>
      <c r="C4819" s="4">
        <v>1</v>
      </c>
      <c r="D4819" s="21">
        <f t="shared" ref="D4819:D4825" si="403">C4819+D4795</f>
        <v>464</v>
      </c>
      <c r="E4819" s="4">
        <f>1</f>
        <v>1</v>
      </c>
      <c r="F4819" s="95">
        <f>E4819+F4795</f>
        <v>21</v>
      </c>
    </row>
    <row r="4820" spans="1:6" ht="15.75" thickBot="1" x14ac:dyDescent="0.3">
      <c r="A4820" s="105" t="s">
        <v>37</v>
      </c>
      <c r="B4820" s="36">
        <v>44093</v>
      </c>
      <c r="C4820" s="4">
        <v>24</v>
      </c>
      <c r="D4820" s="21">
        <f t="shared" si="403"/>
        <v>672</v>
      </c>
      <c r="F4820" s="95">
        <f t="shared" si="402"/>
        <v>0</v>
      </c>
    </row>
    <row r="4821" spans="1:6" ht="15.75" thickBot="1" x14ac:dyDescent="0.3">
      <c r="A4821" s="105" t="s">
        <v>38</v>
      </c>
      <c r="B4821" s="36">
        <v>44093</v>
      </c>
      <c r="C4821" s="4">
        <v>195</v>
      </c>
      <c r="D4821" s="21">
        <f t="shared" si="403"/>
        <v>3664</v>
      </c>
      <c r="F4821" s="95">
        <f>E4821+F4797</f>
        <v>44</v>
      </c>
    </row>
    <row r="4822" spans="1:6" ht="15.75" thickBot="1" x14ac:dyDescent="0.3">
      <c r="A4822" s="105" t="s">
        <v>23</v>
      </c>
      <c r="B4822" s="36">
        <v>44093</v>
      </c>
      <c r="C4822" s="4">
        <v>1137</v>
      </c>
      <c r="D4822" s="21">
        <f t="shared" si="403"/>
        <v>25518</v>
      </c>
      <c r="E4822" s="4">
        <f>3+1</f>
        <v>4</v>
      </c>
      <c r="F4822" s="95">
        <f>E4822+F4798</f>
        <v>266</v>
      </c>
    </row>
    <row r="4823" spans="1:6" ht="15.75" thickBot="1" x14ac:dyDescent="0.3">
      <c r="A4823" s="105" t="s">
        <v>39</v>
      </c>
      <c r="B4823" s="36">
        <v>44093</v>
      </c>
      <c r="C4823" s="4">
        <v>56</v>
      </c>
      <c r="D4823" s="21">
        <f t="shared" si="403"/>
        <v>2302</v>
      </c>
      <c r="F4823" s="95">
        <f t="shared" si="402"/>
        <v>30</v>
      </c>
    </row>
    <row r="4824" spans="1:6" ht="15.75" thickBot="1" x14ac:dyDescent="0.3">
      <c r="A4824" s="105" t="s">
        <v>40</v>
      </c>
      <c r="B4824" s="36">
        <v>44093</v>
      </c>
      <c r="C4824" s="4">
        <v>98</v>
      </c>
      <c r="D4824" s="21">
        <f t="shared" si="403"/>
        <v>3118</v>
      </c>
      <c r="F4824" s="95">
        <f>E4824+F4800</f>
        <v>53</v>
      </c>
    </row>
    <row r="4825" spans="1:6" ht="15.75" thickBot="1" x14ac:dyDescent="0.3">
      <c r="A4825" s="106" t="s">
        <v>41</v>
      </c>
      <c r="B4825" s="36">
        <v>44093</v>
      </c>
      <c r="C4825" s="4">
        <v>147</v>
      </c>
      <c r="D4825" s="98">
        <f t="shared" si="403"/>
        <v>9253</v>
      </c>
      <c r="E4825" s="4">
        <f>1+7+6</f>
        <v>14</v>
      </c>
      <c r="F4825" s="96">
        <f>E4825+F4801</f>
        <v>51</v>
      </c>
    </row>
    <row r="4826" spans="1:6" ht="15.75" thickBot="1" x14ac:dyDescent="0.3">
      <c r="A4826" s="45" t="s">
        <v>17</v>
      </c>
      <c r="B4826" s="36">
        <v>44094</v>
      </c>
      <c r="C4826" s="4">
        <v>3645</v>
      </c>
      <c r="D4826" s="97">
        <f>C4826+D4802</f>
        <v>368280</v>
      </c>
      <c r="E4826" s="4">
        <f>16+19+47+35+1</f>
        <v>118</v>
      </c>
      <c r="F4826" s="94">
        <f>E4826+F4802</f>
        <v>7677</v>
      </c>
    </row>
    <row r="4827" spans="1:6" ht="15.75" thickBot="1" x14ac:dyDescent="0.3">
      <c r="A4827" s="105" t="s">
        <v>44</v>
      </c>
      <c r="B4827" s="36">
        <v>44094</v>
      </c>
      <c r="C4827" s="4">
        <v>696</v>
      </c>
      <c r="D4827" s="21">
        <f t="shared" ref="D4827:D4839" si="404">C4827+D4803</f>
        <v>117274</v>
      </c>
      <c r="E4827" s="4">
        <f>1+3+3+2</f>
        <v>9</v>
      </c>
      <c r="F4827" s="95">
        <f>E4827+F4803</f>
        <v>2903</v>
      </c>
    </row>
    <row r="4828" spans="1:6" ht="15.75" thickBot="1" x14ac:dyDescent="0.3">
      <c r="A4828" s="105" t="s">
        <v>29</v>
      </c>
      <c r="B4828" s="36">
        <v>44094</v>
      </c>
      <c r="C4828" s="4">
        <v>1</v>
      </c>
      <c r="D4828" s="21">
        <f t="shared" si="404"/>
        <v>191</v>
      </c>
      <c r="F4828" s="95">
        <f>E4828+F4804</f>
        <v>0</v>
      </c>
    </row>
    <row r="4829" spans="1:6" ht="15.75" thickBot="1" x14ac:dyDescent="0.3">
      <c r="A4829" s="105" t="s">
        <v>16</v>
      </c>
      <c r="B4829" s="36">
        <v>44094</v>
      </c>
      <c r="C4829" s="4">
        <v>65</v>
      </c>
      <c r="D4829" s="21">
        <f t="shared" si="404"/>
        <v>7410</v>
      </c>
      <c r="E4829" s="4">
        <v>3</v>
      </c>
      <c r="F4829" s="95">
        <f t="shared" ref="F4829:F4847" si="405">E4829+F4805</f>
        <v>255</v>
      </c>
    </row>
    <row r="4830" spans="1:6" ht="15.75" thickBot="1" x14ac:dyDescent="0.3">
      <c r="A4830" s="105" t="s">
        <v>30</v>
      </c>
      <c r="B4830" s="36">
        <v>44094</v>
      </c>
      <c r="C4830" s="4">
        <v>126</v>
      </c>
      <c r="D4830" s="21">
        <f t="shared" si="404"/>
        <v>2307</v>
      </c>
      <c r="F4830" s="95">
        <f t="shared" si="405"/>
        <v>25</v>
      </c>
    </row>
    <row r="4831" spans="1:6" ht="15.75" thickBot="1" x14ac:dyDescent="0.3">
      <c r="A4831" s="105" t="s">
        <v>21</v>
      </c>
      <c r="B4831" s="36">
        <v>44094</v>
      </c>
      <c r="C4831" s="4">
        <v>600</v>
      </c>
      <c r="D4831" s="21">
        <f t="shared" si="404"/>
        <v>19208</v>
      </c>
      <c r="E4831" s="4">
        <f>5+3</f>
        <v>8</v>
      </c>
      <c r="F4831" s="95">
        <f t="shared" si="405"/>
        <v>255</v>
      </c>
    </row>
    <row r="4832" spans="1:6" ht="15.75" thickBot="1" x14ac:dyDescent="0.3">
      <c r="A4832" s="105" t="s">
        <v>31</v>
      </c>
      <c r="B4832" s="36">
        <v>44094</v>
      </c>
      <c r="C4832" s="4">
        <v>28</v>
      </c>
      <c r="D4832" s="21">
        <f t="shared" si="404"/>
        <v>968</v>
      </c>
      <c r="E4832" s="4">
        <f>1+2</f>
        <v>3</v>
      </c>
      <c r="F4832" s="95">
        <f>E4832+F4808</f>
        <v>14</v>
      </c>
    </row>
    <row r="4833" spans="1:6" ht="15.75" thickBot="1" x14ac:dyDescent="0.3">
      <c r="A4833" s="105" t="s">
        <v>32</v>
      </c>
      <c r="B4833" s="36">
        <v>44094</v>
      </c>
      <c r="C4833" s="4">
        <v>102</v>
      </c>
      <c r="D4833" s="21">
        <f t="shared" si="404"/>
        <v>6206</v>
      </c>
      <c r="E4833" s="4">
        <f>2</f>
        <v>2</v>
      </c>
      <c r="F4833" s="95">
        <f>E4833+F4809</f>
        <v>108</v>
      </c>
    </row>
    <row r="4834" spans="1:6" ht="15.75" thickBot="1" x14ac:dyDescent="0.3">
      <c r="A4834" s="105" t="s">
        <v>42</v>
      </c>
      <c r="B4834" s="36">
        <v>44094</v>
      </c>
      <c r="C4834" s="4">
        <v>0</v>
      </c>
      <c r="D4834" s="21">
        <f t="shared" si="404"/>
        <v>101</v>
      </c>
      <c r="F4834" s="95">
        <f>E4834+F4810</f>
        <v>1</v>
      </c>
    </row>
    <row r="4835" spans="1:6" ht="15.75" thickBot="1" x14ac:dyDescent="0.3">
      <c r="A4835" s="105" t="s">
        <v>33</v>
      </c>
      <c r="B4835" s="36">
        <v>44094</v>
      </c>
      <c r="C4835" s="4">
        <v>255</v>
      </c>
      <c r="D4835" s="21">
        <f t="shared" si="404"/>
        <v>14150</v>
      </c>
      <c r="E4835" s="4">
        <f>7+7+5+1+1</f>
        <v>21</v>
      </c>
      <c r="F4835" s="95">
        <f t="shared" si="405"/>
        <v>327</v>
      </c>
    </row>
    <row r="4836" spans="1:6" ht="15.75" thickBot="1" x14ac:dyDescent="0.3">
      <c r="A4836" s="105" t="s">
        <v>34</v>
      </c>
      <c r="B4836" s="36">
        <v>44094</v>
      </c>
      <c r="C4836" s="4">
        <v>21</v>
      </c>
      <c r="D4836" s="21">
        <f t="shared" si="404"/>
        <v>568</v>
      </c>
      <c r="F4836" s="95">
        <f t="shared" si="405"/>
        <v>4</v>
      </c>
    </row>
    <row r="4837" spans="1:6" ht="15.75" thickBot="1" x14ac:dyDescent="0.3">
      <c r="A4837" s="105" t="s">
        <v>22</v>
      </c>
      <c r="B4837" s="36">
        <v>44094</v>
      </c>
      <c r="C4837" s="4">
        <v>260</v>
      </c>
      <c r="D4837" s="21">
        <f t="shared" si="404"/>
        <v>3750</v>
      </c>
      <c r="E4837" s="4">
        <f>1</f>
        <v>1</v>
      </c>
      <c r="F4837" s="95">
        <f t="shared" si="405"/>
        <v>99</v>
      </c>
    </row>
    <row r="4838" spans="1:6" ht="15.75" thickBot="1" x14ac:dyDescent="0.3">
      <c r="A4838" s="105" t="s">
        <v>18</v>
      </c>
      <c r="B4838" s="36">
        <v>44094</v>
      </c>
      <c r="C4838" s="4">
        <v>590</v>
      </c>
      <c r="D4838" s="21">
        <f t="shared" si="404"/>
        <v>18850</v>
      </c>
      <c r="E4838" s="4">
        <f>2+2+2+2</f>
        <v>8</v>
      </c>
      <c r="F4838" s="95">
        <f t="shared" si="405"/>
        <v>179</v>
      </c>
    </row>
    <row r="4839" spans="1:6" ht="15.75" thickBot="1" x14ac:dyDescent="0.3">
      <c r="A4839" s="105" t="s">
        <v>24</v>
      </c>
      <c r="B4839" s="36">
        <v>44094</v>
      </c>
      <c r="C4839" s="4">
        <v>1</v>
      </c>
      <c r="D4839" s="21">
        <f t="shared" si="404"/>
        <v>70</v>
      </c>
      <c r="F4839" s="95">
        <f t="shared" si="405"/>
        <v>2</v>
      </c>
    </row>
    <row r="4840" spans="1:6" ht="15.75" thickBot="1" x14ac:dyDescent="0.3">
      <c r="A4840" s="105" t="s">
        <v>20</v>
      </c>
      <c r="B4840" s="36">
        <v>44094</v>
      </c>
      <c r="C4840" s="4">
        <v>155</v>
      </c>
      <c r="D4840" s="21">
        <f>C4840+D4816</f>
        <v>6012</v>
      </c>
      <c r="E4840" s="4">
        <f>2+1</f>
        <v>3</v>
      </c>
      <c r="F4840" s="95">
        <f t="shared" si="405"/>
        <v>73</v>
      </c>
    </row>
    <row r="4841" spans="1:6" ht="15.75" thickBot="1" x14ac:dyDescent="0.3">
      <c r="A4841" s="105" t="s">
        <v>19</v>
      </c>
      <c r="B4841" s="36">
        <v>44094</v>
      </c>
      <c r="C4841" s="4">
        <v>132</v>
      </c>
      <c r="D4841" s="21">
        <f>C4841+D4817</f>
        <v>10346</v>
      </c>
      <c r="F4841" s="95">
        <f t="shared" si="405"/>
        <v>195</v>
      </c>
    </row>
    <row r="4842" spans="1:6" ht="15.75" thickBot="1" x14ac:dyDescent="0.3">
      <c r="A4842" s="105" t="s">
        <v>35</v>
      </c>
      <c r="B4842" s="36">
        <v>44094</v>
      </c>
      <c r="C4842" s="4">
        <v>339</v>
      </c>
      <c r="D4842" s="21">
        <f>C4842+D4818</f>
        <v>9268</v>
      </c>
      <c r="E4842" s="4">
        <f>2+3+8+3</f>
        <v>16</v>
      </c>
      <c r="F4842" s="95">
        <f>E4842+F4818</f>
        <v>171</v>
      </c>
    </row>
    <row r="4843" spans="1:6" ht="15.75" thickBot="1" x14ac:dyDescent="0.3">
      <c r="A4843" s="105" t="s">
        <v>36</v>
      </c>
      <c r="B4843" s="36">
        <v>44094</v>
      </c>
      <c r="C4843" s="4">
        <v>8</v>
      </c>
      <c r="D4843" s="21">
        <f t="shared" ref="D4843:D4849" si="406">C4843+D4819</f>
        <v>472</v>
      </c>
      <c r="F4843" s="95">
        <f>E4843+F4819</f>
        <v>21</v>
      </c>
    </row>
    <row r="4844" spans="1:6" ht="15.75" thickBot="1" x14ac:dyDescent="0.3">
      <c r="A4844" s="105" t="s">
        <v>37</v>
      </c>
      <c r="B4844" s="36">
        <v>44094</v>
      </c>
      <c r="C4844" s="4">
        <v>26</v>
      </c>
      <c r="D4844" s="21">
        <f t="shared" si="406"/>
        <v>698</v>
      </c>
      <c r="F4844" s="95">
        <f t="shared" si="405"/>
        <v>0</v>
      </c>
    </row>
    <row r="4845" spans="1:6" ht="15.75" thickBot="1" x14ac:dyDescent="0.3">
      <c r="A4845" s="105" t="s">
        <v>38</v>
      </c>
      <c r="B4845" s="36">
        <v>44094</v>
      </c>
      <c r="C4845" s="4">
        <v>83</v>
      </c>
      <c r="D4845" s="21">
        <f t="shared" si="406"/>
        <v>3747</v>
      </c>
      <c r="F4845" s="95">
        <f>E4845+F4821</f>
        <v>44</v>
      </c>
    </row>
    <row r="4846" spans="1:6" ht="15.75" thickBot="1" x14ac:dyDescent="0.3">
      <c r="A4846" s="105" t="s">
        <v>23</v>
      </c>
      <c r="B4846" s="36">
        <v>44094</v>
      </c>
      <c r="C4846" s="4">
        <v>877</v>
      </c>
      <c r="D4846" s="21">
        <f t="shared" si="406"/>
        <v>26395</v>
      </c>
      <c r="E4846" s="4">
        <f>1+1+3</f>
        <v>5</v>
      </c>
      <c r="F4846" s="95">
        <f>E4846+F4822</f>
        <v>271</v>
      </c>
    </row>
    <row r="4847" spans="1:6" ht="15.75" thickBot="1" x14ac:dyDescent="0.3">
      <c r="A4847" s="105" t="s">
        <v>39</v>
      </c>
      <c r="B4847" s="36">
        <v>44094</v>
      </c>
      <c r="C4847" s="4">
        <v>70</v>
      </c>
      <c r="D4847" s="21">
        <f t="shared" si="406"/>
        <v>2372</v>
      </c>
      <c r="E4847" s="4">
        <f>3+1+1</f>
        <v>5</v>
      </c>
      <c r="F4847" s="95">
        <f t="shared" si="405"/>
        <v>35</v>
      </c>
    </row>
    <row r="4848" spans="1:6" ht="15.75" thickBot="1" x14ac:dyDescent="0.3">
      <c r="A4848" s="105" t="s">
        <v>40</v>
      </c>
      <c r="B4848" s="36">
        <v>44094</v>
      </c>
      <c r="C4848" s="4">
        <v>79</v>
      </c>
      <c r="D4848" s="21">
        <f t="shared" si="406"/>
        <v>3197</v>
      </c>
      <c r="E4848" s="4">
        <f>1</f>
        <v>1</v>
      </c>
      <c r="F4848" s="95">
        <f>E4848+F4824</f>
        <v>54</v>
      </c>
    </row>
    <row r="4849" spans="1:6" ht="15.75" thickBot="1" x14ac:dyDescent="0.3">
      <c r="A4849" s="106" t="s">
        <v>41</v>
      </c>
      <c r="B4849" s="36">
        <v>44094</v>
      </c>
      <c r="C4849" s="4">
        <v>272</v>
      </c>
      <c r="D4849" s="98">
        <f t="shared" si="406"/>
        <v>9525</v>
      </c>
      <c r="E4849" s="4">
        <f>21+14+11+4</f>
        <v>50</v>
      </c>
      <c r="F4849" s="96">
        <f>E4849+F4825</f>
        <v>101</v>
      </c>
    </row>
    <row r="4850" spans="1:6" ht="15.75" thickBot="1" x14ac:dyDescent="0.3">
      <c r="A4850" s="45" t="s">
        <v>17</v>
      </c>
      <c r="B4850" s="36">
        <v>44095</v>
      </c>
      <c r="C4850" s="4">
        <v>3700</v>
      </c>
      <c r="D4850" s="97">
        <f>C4850+D4826</f>
        <v>371980</v>
      </c>
      <c r="E4850" s="4">
        <v>276</v>
      </c>
      <c r="F4850" s="94">
        <f>E4850+F4826</f>
        <v>7953</v>
      </c>
    </row>
    <row r="4851" spans="1:6" ht="15.75" thickBot="1" x14ac:dyDescent="0.3">
      <c r="A4851" s="105" t="s">
        <v>44</v>
      </c>
      <c r="B4851" s="36">
        <v>44095</v>
      </c>
      <c r="C4851" s="4">
        <v>678</v>
      </c>
      <c r="D4851" s="21">
        <f t="shared" ref="D4851:D4863" si="407">C4851+D4827</f>
        <v>117952</v>
      </c>
      <c r="E4851" s="4">
        <v>30</v>
      </c>
      <c r="F4851" s="95">
        <f>E4851+F4827</f>
        <v>2933</v>
      </c>
    </row>
    <row r="4852" spans="1:6" ht="15.75" thickBot="1" x14ac:dyDescent="0.3">
      <c r="A4852" s="105" t="s">
        <v>29</v>
      </c>
      <c r="B4852" s="36">
        <v>44095</v>
      </c>
      <c r="C4852" s="4">
        <v>1</v>
      </c>
      <c r="D4852" s="21">
        <f t="shared" si="407"/>
        <v>192</v>
      </c>
      <c r="F4852" s="95">
        <f>E4852+F4828</f>
        <v>0</v>
      </c>
    </row>
    <row r="4853" spans="1:6" ht="15.75" thickBot="1" x14ac:dyDescent="0.3">
      <c r="A4853" s="105" t="s">
        <v>16</v>
      </c>
      <c r="B4853" s="36">
        <v>44095</v>
      </c>
      <c r="C4853" s="4">
        <v>69</v>
      </c>
      <c r="D4853" s="21">
        <f t="shared" si="407"/>
        <v>7479</v>
      </c>
      <c r="E4853" s="4">
        <v>7</v>
      </c>
      <c r="F4853" s="95">
        <f t="shared" ref="F4853:F4871" si="408">E4853+F4829</f>
        <v>262</v>
      </c>
    </row>
    <row r="4854" spans="1:6" ht="15.75" thickBot="1" x14ac:dyDescent="0.3">
      <c r="A4854" s="105" t="s">
        <v>30</v>
      </c>
      <c r="B4854" s="36">
        <v>44095</v>
      </c>
      <c r="C4854" s="4">
        <v>116</v>
      </c>
      <c r="D4854" s="21">
        <f t="shared" si="407"/>
        <v>2423</v>
      </c>
      <c r="F4854" s="95">
        <f t="shared" si="408"/>
        <v>25</v>
      </c>
    </row>
    <row r="4855" spans="1:6" ht="15.75" thickBot="1" x14ac:dyDescent="0.3">
      <c r="A4855" s="105" t="s">
        <v>21</v>
      </c>
      <c r="B4855" s="36">
        <v>44095</v>
      </c>
      <c r="C4855" s="4">
        <v>770</v>
      </c>
      <c r="D4855" s="21">
        <f t="shared" si="407"/>
        <v>19978</v>
      </c>
      <c r="E4855" s="4">
        <v>5</v>
      </c>
      <c r="F4855" s="95">
        <f t="shared" si="408"/>
        <v>260</v>
      </c>
    </row>
    <row r="4856" spans="1:6" ht="15.75" thickBot="1" x14ac:dyDescent="0.3">
      <c r="A4856" s="105" t="s">
        <v>31</v>
      </c>
      <c r="B4856" s="36">
        <v>44095</v>
      </c>
      <c r="C4856" s="4">
        <v>61</v>
      </c>
      <c r="D4856" s="21">
        <f t="shared" si="407"/>
        <v>1029</v>
      </c>
      <c r="E4856" s="4">
        <v>1</v>
      </c>
      <c r="F4856" s="95">
        <f>E4856+F4832</f>
        <v>15</v>
      </c>
    </row>
    <row r="4857" spans="1:6" ht="15.75" thickBot="1" x14ac:dyDescent="0.3">
      <c r="A4857" s="105" t="s">
        <v>32</v>
      </c>
      <c r="B4857" s="36">
        <v>44095</v>
      </c>
      <c r="C4857" s="4">
        <v>85</v>
      </c>
      <c r="D4857" s="21">
        <f t="shared" si="407"/>
        <v>6291</v>
      </c>
      <c r="E4857" s="4">
        <v>3</v>
      </c>
      <c r="F4857" s="95">
        <f>E4857+F4833</f>
        <v>111</v>
      </c>
    </row>
    <row r="4858" spans="1:6" ht="15.75" thickBot="1" x14ac:dyDescent="0.3">
      <c r="A4858" s="105" t="s">
        <v>42</v>
      </c>
      <c r="B4858" s="36">
        <v>44095</v>
      </c>
      <c r="C4858" s="4">
        <v>0</v>
      </c>
      <c r="D4858" s="21">
        <f t="shared" si="407"/>
        <v>101</v>
      </c>
      <c r="F4858" s="95">
        <f>E4858+F4834</f>
        <v>1</v>
      </c>
    </row>
    <row r="4859" spans="1:6" ht="15.75" thickBot="1" x14ac:dyDescent="0.3">
      <c r="A4859" s="105" t="s">
        <v>33</v>
      </c>
      <c r="B4859" s="36">
        <v>44095</v>
      </c>
      <c r="C4859" s="4">
        <v>101</v>
      </c>
      <c r="D4859" s="21">
        <f t="shared" si="407"/>
        <v>14251</v>
      </c>
      <c r="E4859" s="4">
        <v>11</v>
      </c>
      <c r="F4859" s="95">
        <f t="shared" si="408"/>
        <v>338</v>
      </c>
    </row>
    <row r="4860" spans="1:6" ht="15.75" thickBot="1" x14ac:dyDescent="0.3">
      <c r="A4860" s="105" t="s">
        <v>34</v>
      </c>
      <c r="B4860" s="36">
        <v>44095</v>
      </c>
      <c r="C4860" s="4">
        <v>18</v>
      </c>
      <c r="D4860" s="21">
        <f t="shared" si="407"/>
        <v>586</v>
      </c>
      <c r="F4860" s="95">
        <f t="shared" si="408"/>
        <v>4</v>
      </c>
    </row>
    <row r="4861" spans="1:6" ht="15.75" thickBot="1" x14ac:dyDescent="0.3">
      <c r="A4861" s="105" t="s">
        <v>22</v>
      </c>
      <c r="B4861" s="36">
        <v>44095</v>
      </c>
      <c r="C4861" s="4">
        <v>350</v>
      </c>
      <c r="D4861" s="21">
        <f t="shared" si="407"/>
        <v>4100</v>
      </c>
      <c r="E4861" s="4">
        <v>2</v>
      </c>
      <c r="F4861" s="95">
        <f t="shared" si="408"/>
        <v>101</v>
      </c>
    </row>
    <row r="4862" spans="1:6" ht="15.75" thickBot="1" x14ac:dyDescent="0.3">
      <c r="A4862" s="105" t="s">
        <v>18</v>
      </c>
      <c r="B4862" s="36">
        <v>44095</v>
      </c>
      <c r="C4862" s="4">
        <v>599</v>
      </c>
      <c r="D4862" s="21">
        <f t="shared" si="407"/>
        <v>19449</v>
      </c>
      <c r="E4862" s="4">
        <v>6</v>
      </c>
      <c r="F4862" s="95">
        <f t="shared" si="408"/>
        <v>185</v>
      </c>
    </row>
    <row r="4863" spans="1:6" ht="15.75" thickBot="1" x14ac:dyDescent="0.3">
      <c r="A4863" s="105" t="s">
        <v>24</v>
      </c>
      <c r="B4863" s="36">
        <v>44095</v>
      </c>
      <c r="C4863" s="4">
        <v>0</v>
      </c>
      <c r="D4863" s="21">
        <f t="shared" si="407"/>
        <v>70</v>
      </c>
      <c r="F4863" s="95">
        <f t="shared" si="408"/>
        <v>2</v>
      </c>
    </row>
    <row r="4864" spans="1:6" ht="15.75" thickBot="1" x14ac:dyDescent="0.3">
      <c r="A4864" s="105" t="s">
        <v>20</v>
      </c>
      <c r="B4864" s="36">
        <v>44095</v>
      </c>
      <c r="C4864" s="4">
        <v>211</v>
      </c>
      <c r="D4864" s="21">
        <f>C4864+D4840</f>
        <v>6223</v>
      </c>
      <c r="E4864" s="4">
        <v>13</v>
      </c>
      <c r="F4864" s="95">
        <f t="shared" si="408"/>
        <v>86</v>
      </c>
    </row>
    <row r="4865" spans="1:6" ht="15.75" thickBot="1" x14ac:dyDescent="0.3">
      <c r="A4865" s="105" t="s">
        <v>19</v>
      </c>
      <c r="B4865" s="36">
        <v>44095</v>
      </c>
      <c r="C4865" s="4">
        <v>132</v>
      </c>
      <c r="D4865" s="21">
        <f>C4865+D4841</f>
        <v>10478</v>
      </c>
      <c r="E4865" s="4">
        <v>21</v>
      </c>
      <c r="F4865" s="95">
        <f t="shared" si="408"/>
        <v>216</v>
      </c>
    </row>
    <row r="4866" spans="1:6" ht="15.75" thickBot="1" x14ac:dyDescent="0.3">
      <c r="A4866" s="105" t="s">
        <v>35</v>
      </c>
      <c r="B4866" s="36">
        <v>44095</v>
      </c>
      <c r="C4866" s="4">
        <v>138</v>
      </c>
      <c r="D4866" s="21">
        <f>C4866+D4842</f>
        <v>9406</v>
      </c>
      <c r="E4866" s="4">
        <v>23</v>
      </c>
      <c r="F4866" s="95">
        <f>E4866+F4842</f>
        <v>194</v>
      </c>
    </row>
    <row r="4867" spans="1:6" ht="15.75" thickBot="1" x14ac:dyDescent="0.3">
      <c r="A4867" s="105" t="s">
        <v>36</v>
      </c>
      <c r="B4867" s="36">
        <v>44095</v>
      </c>
      <c r="C4867" s="4">
        <v>18</v>
      </c>
      <c r="D4867" s="21">
        <f t="shared" ref="D4867:D4873" si="409">C4867+D4843</f>
        <v>490</v>
      </c>
      <c r="F4867" s="95">
        <f>E4867+F4843</f>
        <v>21</v>
      </c>
    </row>
    <row r="4868" spans="1:6" ht="15.75" thickBot="1" x14ac:dyDescent="0.3">
      <c r="A4868" s="105" t="s">
        <v>37</v>
      </c>
      <c r="B4868" s="36">
        <v>44095</v>
      </c>
      <c r="C4868" s="4">
        <v>83</v>
      </c>
      <c r="D4868" s="21">
        <f t="shared" si="409"/>
        <v>781</v>
      </c>
      <c r="F4868" s="95">
        <f t="shared" si="408"/>
        <v>0</v>
      </c>
    </row>
    <row r="4869" spans="1:6" ht="15.75" thickBot="1" x14ac:dyDescent="0.3">
      <c r="A4869" s="105" t="s">
        <v>38</v>
      </c>
      <c r="B4869" s="36">
        <v>44095</v>
      </c>
      <c r="C4869" s="4">
        <v>95</v>
      </c>
      <c r="D4869" s="21">
        <f t="shared" si="409"/>
        <v>3842</v>
      </c>
      <c r="E4869" s="4">
        <v>1</v>
      </c>
      <c r="F4869" s="95">
        <f>E4869+F4845</f>
        <v>45</v>
      </c>
    </row>
    <row r="4870" spans="1:6" ht="15.75" thickBot="1" x14ac:dyDescent="0.3">
      <c r="A4870" s="105" t="s">
        <v>23</v>
      </c>
      <c r="B4870" s="36">
        <v>44095</v>
      </c>
      <c r="C4870" s="4">
        <v>1215</v>
      </c>
      <c r="D4870" s="21">
        <f t="shared" si="409"/>
        <v>27610</v>
      </c>
      <c r="E4870" s="4">
        <v>27</v>
      </c>
      <c r="F4870" s="95">
        <f>E4870+F4846</f>
        <v>298</v>
      </c>
    </row>
    <row r="4871" spans="1:6" ht="15.75" thickBot="1" x14ac:dyDescent="0.3">
      <c r="A4871" s="105" t="s">
        <v>39</v>
      </c>
      <c r="B4871" s="36">
        <v>44095</v>
      </c>
      <c r="C4871" s="4">
        <v>53</v>
      </c>
      <c r="D4871" s="21">
        <f t="shared" si="409"/>
        <v>2425</v>
      </c>
      <c r="E4871" s="4">
        <v>2</v>
      </c>
      <c r="F4871" s="95">
        <f t="shared" si="408"/>
        <v>37</v>
      </c>
    </row>
    <row r="4872" spans="1:6" ht="15.75" thickBot="1" x14ac:dyDescent="0.3">
      <c r="A4872" s="105" t="s">
        <v>40</v>
      </c>
      <c r="B4872" s="36">
        <v>44095</v>
      </c>
      <c r="C4872" s="4">
        <v>81</v>
      </c>
      <c r="D4872" s="21">
        <f t="shared" si="409"/>
        <v>3278</v>
      </c>
      <c r="E4872" s="4">
        <v>1</v>
      </c>
      <c r="F4872" s="95">
        <f>E4872+F4848</f>
        <v>55</v>
      </c>
    </row>
    <row r="4873" spans="1:6" ht="15.75" thickBot="1" x14ac:dyDescent="0.3">
      <c r="A4873" s="106" t="s">
        <v>41</v>
      </c>
      <c r="B4873" s="36">
        <v>44095</v>
      </c>
      <c r="C4873" s="4">
        <v>208</v>
      </c>
      <c r="D4873" s="98">
        <f t="shared" si="409"/>
        <v>9733</v>
      </c>
      <c r="F4873" s="96">
        <f>E4873+F4849</f>
        <v>101</v>
      </c>
    </row>
    <row r="4874" spans="1:6" ht="15.75" thickBot="1" x14ac:dyDescent="0.3">
      <c r="A4874" s="45" t="s">
        <v>17</v>
      </c>
      <c r="B4874" s="36">
        <v>44096</v>
      </c>
      <c r="C4874" s="4">
        <v>5344</v>
      </c>
      <c r="D4874" s="97">
        <f>C4874+D4850</f>
        <v>377324</v>
      </c>
      <c r="E4874" s="4">
        <f>179+158</f>
        <v>337</v>
      </c>
      <c r="F4874" s="94">
        <f>E4874+F4850</f>
        <v>8290</v>
      </c>
    </row>
    <row r="4875" spans="1:6" ht="15.75" thickBot="1" x14ac:dyDescent="0.3">
      <c r="A4875" s="105" t="s">
        <v>44</v>
      </c>
      <c r="B4875" s="36">
        <v>44096</v>
      </c>
      <c r="C4875" s="4">
        <v>927</v>
      </c>
      <c r="D4875" s="21">
        <f t="shared" ref="D4875:D4887" si="410">C4875+D4851</f>
        <v>118879</v>
      </c>
      <c r="E4875" s="4">
        <f>24+20</f>
        <v>44</v>
      </c>
      <c r="F4875" s="95">
        <f>E4875+F4851</f>
        <v>2977</v>
      </c>
    </row>
    <row r="4876" spans="1:6" ht="15.75" thickBot="1" x14ac:dyDescent="0.3">
      <c r="A4876" s="105" t="s">
        <v>29</v>
      </c>
      <c r="B4876" s="36">
        <v>44096</v>
      </c>
      <c r="C4876" s="4">
        <v>-5</v>
      </c>
      <c r="D4876" s="21">
        <f t="shared" si="410"/>
        <v>187</v>
      </c>
      <c r="F4876" s="95">
        <f>E4876+F4852</f>
        <v>0</v>
      </c>
    </row>
    <row r="4877" spans="1:6" ht="15.75" thickBot="1" x14ac:dyDescent="0.3">
      <c r="A4877" s="105" t="s">
        <v>16</v>
      </c>
      <c r="B4877" s="36">
        <v>44096</v>
      </c>
      <c r="C4877" s="4">
        <v>94</v>
      </c>
      <c r="D4877" s="21">
        <f t="shared" si="410"/>
        <v>7573</v>
      </c>
      <c r="F4877" s="95">
        <f t="shared" ref="F4877:F4895" si="411">E4877+F4853</f>
        <v>262</v>
      </c>
    </row>
    <row r="4878" spans="1:6" ht="15.75" thickBot="1" x14ac:dyDescent="0.3">
      <c r="A4878" s="105" t="s">
        <v>30</v>
      </c>
      <c r="B4878" s="36">
        <v>44096</v>
      </c>
      <c r="C4878" s="4">
        <v>132</v>
      </c>
      <c r="D4878" s="21">
        <f t="shared" si="410"/>
        <v>2555</v>
      </c>
      <c r="E4878" s="4">
        <f>1+1</f>
        <v>2</v>
      </c>
      <c r="F4878" s="95">
        <f t="shared" si="411"/>
        <v>27</v>
      </c>
    </row>
    <row r="4879" spans="1:6" ht="15.75" thickBot="1" x14ac:dyDescent="0.3">
      <c r="A4879" s="105" t="s">
        <v>21</v>
      </c>
      <c r="B4879" s="36">
        <v>44096</v>
      </c>
      <c r="C4879" s="4">
        <v>1152</v>
      </c>
      <c r="D4879" s="21">
        <f t="shared" si="410"/>
        <v>21130</v>
      </c>
      <c r="E4879" s="4">
        <f>4+5</f>
        <v>9</v>
      </c>
      <c r="F4879" s="95">
        <f t="shared" si="411"/>
        <v>269</v>
      </c>
    </row>
    <row r="4880" spans="1:6" ht="15.75" thickBot="1" x14ac:dyDescent="0.3">
      <c r="A4880" s="105" t="s">
        <v>31</v>
      </c>
      <c r="B4880" s="36">
        <v>44096</v>
      </c>
      <c r="C4880" s="4">
        <v>30</v>
      </c>
      <c r="D4880" s="21">
        <f t="shared" si="410"/>
        <v>1059</v>
      </c>
      <c r="F4880" s="95">
        <f>E4880+F4856</f>
        <v>15</v>
      </c>
    </row>
    <row r="4881" spans="1:6" ht="15.75" thickBot="1" x14ac:dyDescent="0.3">
      <c r="A4881" s="105" t="s">
        <v>32</v>
      </c>
      <c r="B4881" s="36">
        <v>44096</v>
      </c>
      <c r="C4881" s="4">
        <v>121</v>
      </c>
      <c r="D4881" s="21">
        <f t="shared" si="410"/>
        <v>6412</v>
      </c>
      <c r="E4881" s="4">
        <f>6+2</f>
        <v>8</v>
      </c>
      <c r="F4881" s="95">
        <f>E4881+F4857</f>
        <v>119</v>
      </c>
    </row>
    <row r="4882" spans="1:6" ht="15.75" thickBot="1" x14ac:dyDescent="0.3">
      <c r="A4882" s="105" t="s">
        <v>42</v>
      </c>
      <c r="B4882" s="36">
        <v>44096</v>
      </c>
      <c r="C4882" s="4">
        <v>0</v>
      </c>
      <c r="D4882" s="21">
        <f t="shared" si="410"/>
        <v>101</v>
      </c>
      <c r="F4882" s="95">
        <f>E4882+F4858</f>
        <v>1</v>
      </c>
    </row>
    <row r="4883" spans="1:6" ht="15.75" thickBot="1" x14ac:dyDescent="0.3">
      <c r="A4883" s="105" t="s">
        <v>33</v>
      </c>
      <c r="B4883" s="36">
        <v>44096</v>
      </c>
      <c r="C4883" s="4">
        <v>99</v>
      </c>
      <c r="D4883" s="21">
        <f t="shared" si="410"/>
        <v>14350</v>
      </c>
      <c r="E4883" s="4">
        <f>8+5</f>
        <v>13</v>
      </c>
      <c r="F4883" s="95">
        <f t="shared" si="411"/>
        <v>351</v>
      </c>
    </row>
    <row r="4884" spans="1:6" ht="15.75" thickBot="1" x14ac:dyDescent="0.3">
      <c r="A4884" s="105" t="s">
        <v>34</v>
      </c>
      <c r="B4884" s="36">
        <v>44096</v>
      </c>
      <c r="C4884" s="4">
        <v>22</v>
      </c>
      <c r="D4884" s="21">
        <f t="shared" si="410"/>
        <v>608</v>
      </c>
      <c r="F4884" s="95">
        <f t="shared" si="411"/>
        <v>4</v>
      </c>
    </row>
    <row r="4885" spans="1:6" ht="15.75" thickBot="1" x14ac:dyDescent="0.3">
      <c r="A4885" s="105" t="s">
        <v>22</v>
      </c>
      <c r="B4885" s="36">
        <v>44096</v>
      </c>
      <c r="C4885" s="4">
        <v>120</v>
      </c>
      <c r="D4885" s="21">
        <f t="shared" si="410"/>
        <v>4220</v>
      </c>
      <c r="F4885" s="95">
        <f t="shared" si="411"/>
        <v>101</v>
      </c>
    </row>
    <row r="4886" spans="1:6" ht="15.75" thickBot="1" x14ac:dyDescent="0.3">
      <c r="A4886" s="105" t="s">
        <v>18</v>
      </c>
      <c r="B4886" s="36">
        <v>44096</v>
      </c>
      <c r="C4886" s="4">
        <v>426</v>
      </c>
      <c r="D4886" s="21">
        <f t="shared" si="410"/>
        <v>19875</v>
      </c>
      <c r="E4886" s="4">
        <f>5+5</f>
        <v>10</v>
      </c>
      <c r="F4886" s="95">
        <f t="shared" si="411"/>
        <v>195</v>
      </c>
    </row>
    <row r="4887" spans="1:6" ht="15.75" thickBot="1" x14ac:dyDescent="0.3">
      <c r="A4887" s="105" t="s">
        <v>24</v>
      </c>
      <c r="B4887" s="36">
        <v>44096</v>
      </c>
      <c r="C4887" s="4">
        <v>8</v>
      </c>
      <c r="D4887" s="21">
        <f t="shared" si="410"/>
        <v>78</v>
      </c>
      <c r="F4887" s="95">
        <f t="shared" si="411"/>
        <v>2</v>
      </c>
    </row>
    <row r="4888" spans="1:6" ht="15.75" thickBot="1" x14ac:dyDescent="0.3">
      <c r="A4888" s="105" t="s">
        <v>20</v>
      </c>
      <c r="B4888" s="36">
        <v>44096</v>
      </c>
      <c r="C4888" s="4">
        <v>218</v>
      </c>
      <c r="D4888" s="21">
        <f>C4888+D4864</f>
        <v>6441</v>
      </c>
      <c r="E4888" s="4">
        <f>4+2</f>
        <v>6</v>
      </c>
      <c r="F4888" s="95">
        <f t="shared" si="411"/>
        <v>92</v>
      </c>
    </row>
    <row r="4889" spans="1:6" ht="15.75" thickBot="1" x14ac:dyDescent="0.3">
      <c r="A4889" s="105" t="s">
        <v>19</v>
      </c>
      <c r="B4889" s="36">
        <v>44096</v>
      </c>
      <c r="C4889" s="4">
        <v>251</v>
      </c>
      <c r="D4889" s="21">
        <f>C4889+D4865</f>
        <v>10729</v>
      </c>
      <c r="E4889" s="4">
        <f>8+4</f>
        <v>12</v>
      </c>
      <c r="F4889" s="95">
        <f t="shared" si="411"/>
        <v>228</v>
      </c>
    </row>
    <row r="4890" spans="1:6" ht="15.75" thickBot="1" x14ac:dyDescent="0.3">
      <c r="A4890" s="105" t="s">
        <v>35</v>
      </c>
      <c r="B4890" s="36">
        <v>44096</v>
      </c>
      <c r="C4890" s="4">
        <v>444</v>
      </c>
      <c r="D4890" s="21">
        <f>C4890+D4866</f>
        <v>9850</v>
      </c>
      <c r="E4890" s="4">
        <f>6+6</f>
        <v>12</v>
      </c>
      <c r="F4890" s="95">
        <f>E4890+F4866</f>
        <v>206</v>
      </c>
    </row>
    <row r="4891" spans="1:6" ht="15.75" thickBot="1" x14ac:dyDescent="0.3">
      <c r="A4891" s="105" t="s">
        <v>36</v>
      </c>
      <c r="B4891" s="36">
        <v>44096</v>
      </c>
      <c r="C4891" s="4">
        <v>27</v>
      </c>
      <c r="D4891" s="21">
        <f t="shared" ref="D4891:D4897" si="412">C4891+D4867</f>
        <v>517</v>
      </c>
      <c r="F4891" s="95">
        <f>E4891+F4867</f>
        <v>21</v>
      </c>
    </row>
    <row r="4892" spans="1:6" ht="15.75" thickBot="1" x14ac:dyDescent="0.3">
      <c r="A4892" s="105" t="s">
        <v>37</v>
      </c>
      <c r="B4892" s="36">
        <v>44096</v>
      </c>
      <c r="C4892" s="4">
        <v>77</v>
      </c>
      <c r="D4892" s="21">
        <f t="shared" si="412"/>
        <v>858</v>
      </c>
      <c r="E4892" s="4">
        <f>1+2</f>
        <v>3</v>
      </c>
      <c r="F4892" s="95">
        <f t="shared" si="411"/>
        <v>3</v>
      </c>
    </row>
    <row r="4893" spans="1:6" ht="15.75" thickBot="1" x14ac:dyDescent="0.3">
      <c r="A4893" s="105" t="s">
        <v>38</v>
      </c>
      <c r="B4893" s="36">
        <v>44096</v>
      </c>
      <c r="C4893" s="4">
        <v>74</v>
      </c>
      <c r="D4893" s="21">
        <f t="shared" si="412"/>
        <v>3916</v>
      </c>
      <c r="E4893" s="4">
        <f>1</f>
        <v>1</v>
      </c>
      <c r="F4893" s="95">
        <f>E4893+F4869</f>
        <v>46</v>
      </c>
    </row>
    <row r="4894" spans="1:6" ht="15.75" thickBot="1" x14ac:dyDescent="0.3">
      <c r="A4894" s="105" t="s">
        <v>23</v>
      </c>
      <c r="B4894" s="36">
        <v>44096</v>
      </c>
      <c r="C4894" s="4">
        <v>1592</v>
      </c>
      <c r="D4894" s="21">
        <f t="shared" si="412"/>
        <v>29202</v>
      </c>
      <c r="E4894" s="4">
        <f>3+5</f>
        <v>8</v>
      </c>
      <c r="F4894" s="95">
        <f>E4894+F4870</f>
        <v>306</v>
      </c>
    </row>
    <row r="4895" spans="1:6" ht="15.75" thickBot="1" x14ac:dyDescent="0.3">
      <c r="A4895" s="105" t="s">
        <v>39</v>
      </c>
      <c r="B4895" s="36">
        <v>44096</v>
      </c>
      <c r="C4895" s="4">
        <v>75</v>
      </c>
      <c r="D4895" s="21">
        <f t="shared" si="412"/>
        <v>2500</v>
      </c>
      <c r="E4895" s="4">
        <f>1+1</f>
        <v>2</v>
      </c>
      <c r="F4895" s="95">
        <f t="shared" si="411"/>
        <v>39</v>
      </c>
    </row>
    <row r="4896" spans="1:6" ht="15.75" thickBot="1" x14ac:dyDescent="0.3">
      <c r="A4896" s="105" t="s">
        <v>40</v>
      </c>
      <c r="B4896" s="36">
        <v>44096</v>
      </c>
      <c r="C4896" s="4">
        <v>78</v>
      </c>
      <c r="D4896" s="21">
        <f t="shared" si="412"/>
        <v>3356</v>
      </c>
      <c r="E4896" s="4">
        <f>1+1</f>
        <v>2</v>
      </c>
      <c r="F4896" s="95">
        <f>E4896+F4872</f>
        <v>57</v>
      </c>
    </row>
    <row r="4897" spans="1:6" ht="15.75" thickBot="1" x14ac:dyDescent="0.3">
      <c r="A4897" s="106" t="s">
        <v>41</v>
      </c>
      <c r="B4897" s="36">
        <v>44096</v>
      </c>
      <c r="C4897" s="4">
        <v>721</v>
      </c>
      <c r="D4897" s="98">
        <f t="shared" si="412"/>
        <v>10454</v>
      </c>
      <c r="F4897" s="96">
        <f>E4897+F4873</f>
        <v>101</v>
      </c>
    </row>
    <row r="4898" spans="1:6" ht="15.75" thickBot="1" x14ac:dyDescent="0.3">
      <c r="A4898" s="45" t="s">
        <v>17</v>
      </c>
      <c r="B4898" s="36">
        <v>44097</v>
      </c>
      <c r="C4898" s="4">
        <v>5389</v>
      </c>
      <c r="D4898" s="97">
        <f>C4898+D4874</f>
        <v>382713</v>
      </c>
      <c r="E4898" s="4">
        <f>160+131</f>
        <v>291</v>
      </c>
      <c r="F4898" s="94">
        <f>E4898+F4874</f>
        <v>8581</v>
      </c>
    </row>
    <row r="4899" spans="1:6" ht="15.75" thickBot="1" x14ac:dyDescent="0.3">
      <c r="A4899" s="105" t="s">
        <v>44</v>
      </c>
      <c r="B4899" s="36">
        <v>44097</v>
      </c>
      <c r="C4899" s="4">
        <v>929</v>
      </c>
      <c r="D4899" s="21">
        <f t="shared" ref="D4899:D4911" si="413">C4899+D4875</f>
        <v>119808</v>
      </c>
      <c r="E4899" s="4">
        <f>16+18</f>
        <v>34</v>
      </c>
      <c r="F4899" s="95">
        <f>E4899+F4875</f>
        <v>3011</v>
      </c>
    </row>
    <row r="4900" spans="1:6" ht="15.75" thickBot="1" x14ac:dyDescent="0.3">
      <c r="A4900" s="105" t="s">
        <v>29</v>
      </c>
      <c r="B4900" s="36">
        <v>44097</v>
      </c>
      <c r="C4900" s="4">
        <v>6</v>
      </c>
      <c r="D4900" s="21">
        <f t="shared" si="413"/>
        <v>193</v>
      </c>
      <c r="F4900" s="95">
        <f>E4900+F4876</f>
        <v>0</v>
      </c>
    </row>
    <row r="4901" spans="1:6" ht="15.75" thickBot="1" x14ac:dyDescent="0.3">
      <c r="A4901" s="105" t="s">
        <v>16</v>
      </c>
      <c r="B4901" s="36">
        <v>44097</v>
      </c>
      <c r="C4901" s="4">
        <v>86</v>
      </c>
      <c r="D4901" s="21">
        <f t="shared" si="413"/>
        <v>7659</v>
      </c>
      <c r="E4901" s="4">
        <f>2+1</f>
        <v>3</v>
      </c>
      <c r="F4901" s="95">
        <f t="shared" ref="F4901:F4919" si="414">E4901+F4877</f>
        <v>265</v>
      </c>
    </row>
    <row r="4902" spans="1:6" ht="15.75" thickBot="1" x14ac:dyDescent="0.3">
      <c r="A4902" s="105" t="s">
        <v>30</v>
      </c>
      <c r="B4902" s="36">
        <v>44097</v>
      </c>
      <c r="C4902" s="4">
        <v>203</v>
      </c>
      <c r="D4902" s="21">
        <f t="shared" si="413"/>
        <v>2758</v>
      </c>
      <c r="E4902" s="4">
        <f>1</f>
        <v>1</v>
      </c>
      <c r="F4902" s="95">
        <f t="shared" si="414"/>
        <v>28</v>
      </c>
    </row>
    <row r="4903" spans="1:6" ht="15.75" thickBot="1" x14ac:dyDescent="0.3">
      <c r="A4903" s="105" t="s">
        <v>21</v>
      </c>
      <c r="B4903" s="36">
        <v>44097</v>
      </c>
      <c r="C4903" s="4">
        <v>1435</v>
      </c>
      <c r="D4903" s="21">
        <f t="shared" si="413"/>
        <v>22565</v>
      </c>
      <c r="E4903" s="4">
        <f>8+3</f>
        <v>11</v>
      </c>
      <c r="F4903" s="95">
        <f t="shared" si="414"/>
        <v>280</v>
      </c>
    </row>
    <row r="4904" spans="1:6" ht="15.75" thickBot="1" x14ac:dyDescent="0.3">
      <c r="A4904" s="105" t="s">
        <v>31</v>
      </c>
      <c r="B4904" s="36">
        <v>44097</v>
      </c>
      <c r="C4904" s="4">
        <v>-45</v>
      </c>
      <c r="D4904" s="21">
        <f t="shared" si="413"/>
        <v>1014</v>
      </c>
      <c r="F4904" s="95">
        <f>E4904+F4880</f>
        <v>15</v>
      </c>
    </row>
    <row r="4905" spans="1:6" ht="15.75" thickBot="1" x14ac:dyDescent="0.3">
      <c r="A4905" s="105" t="s">
        <v>32</v>
      </c>
      <c r="B4905" s="36">
        <v>44097</v>
      </c>
      <c r="C4905" s="4">
        <v>118</v>
      </c>
      <c r="D4905" s="21">
        <f t="shared" si="413"/>
        <v>6530</v>
      </c>
      <c r="E4905" s="4">
        <f>1+2</f>
        <v>3</v>
      </c>
      <c r="F4905" s="95">
        <f>E4905+F4881</f>
        <v>122</v>
      </c>
    </row>
    <row r="4906" spans="1:6" ht="15.75" thickBot="1" x14ac:dyDescent="0.3">
      <c r="A4906" s="105" t="s">
        <v>42</v>
      </c>
      <c r="B4906" s="36">
        <v>44097</v>
      </c>
      <c r="C4906" s="4">
        <v>1</v>
      </c>
      <c r="D4906" s="21">
        <f t="shared" si="413"/>
        <v>102</v>
      </c>
      <c r="F4906" s="95">
        <f>E4906+F4882</f>
        <v>1</v>
      </c>
    </row>
    <row r="4907" spans="1:6" ht="15.75" thickBot="1" x14ac:dyDescent="0.3">
      <c r="A4907" s="105" t="s">
        <v>33</v>
      </c>
      <c r="B4907" s="36">
        <v>44097</v>
      </c>
      <c r="C4907" s="4">
        <v>230</v>
      </c>
      <c r="D4907" s="21">
        <f t="shared" si="413"/>
        <v>14580</v>
      </c>
      <c r="E4907" s="4">
        <f>9+2</f>
        <v>11</v>
      </c>
      <c r="F4907" s="95">
        <f t="shared" si="414"/>
        <v>362</v>
      </c>
    </row>
    <row r="4908" spans="1:6" ht="15.75" thickBot="1" x14ac:dyDescent="0.3">
      <c r="A4908" s="105" t="s">
        <v>34</v>
      </c>
      <c r="B4908" s="36">
        <v>44097</v>
      </c>
      <c r="C4908" s="4">
        <v>15</v>
      </c>
      <c r="D4908" s="21">
        <f t="shared" si="413"/>
        <v>623</v>
      </c>
      <c r="F4908" s="95">
        <f t="shared" si="414"/>
        <v>4</v>
      </c>
    </row>
    <row r="4909" spans="1:6" ht="15.75" thickBot="1" x14ac:dyDescent="0.3">
      <c r="A4909" s="105" t="s">
        <v>22</v>
      </c>
      <c r="B4909" s="36">
        <v>44097</v>
      </c>
      <c r="C4909" s="4">
        <v>48</v>
      </c>
      <c r="D4909" s="21">
        <f t="shared" si="413"/>
        <v>4268</v>
      </c>
      <c r="F4909" s="95">
        <f t="shared" si="414"/>
        <v>101</v>
      </c>
    </row>
    <row r="4910" spans="1:6" ht="15.75" thickBot="1" x14ac:dyDescent="0.3">
      <c r="A4910" s="105" t="s">
        <v>18</v>
      </c>
      <c r="B4910" s="36">
        <v>44097</v>
      </c>
      <c r="C4910" s="4">
        <v>528</v>
      </c>
      <c r="D4910" s="21">
        <f t="shared" si="413"/>
        <v>20403</v>
      </c>
      <c r="E4910" s="4">
        <f>7+5</f>
        <v>12</v>
      </c>
      <c r="F4910" s="95">
        <f t="shared" si="414"/>
        <v>207</v>
      </c>
    </row>
    <row r="4911" spans="1:6" ht="15.75" thickBot="1" x14ac:dyDescent="0.3">
      <c r="A4911" s="105" t="s">
        <v>24</v>
      </c>
      <c r="B4911" s="36">
        <v>44097</v>
      </c>
      <c r="C4911" s="4">
        <v>4</v>
      </c>
      <c r="D4911" s="21">
        <f t="shared" si="413"/>
        <v>82</v>
      </c>
      <c r="F4911" s="95">
        <f t="shared" si="414"/>
        <v>2</v>
      </c>
    </row>
    <row r="4912" spans="1:6" ht="15.75" thickBot="1" x14ac:dyDescent="0.3">
      <c r="A4912" s="105" t="s">
        <v>20</v>
      </c>
      <c r="B4912" s="36">
        <v>44097</v>
      </c>
      <c r="C4912" s="4">
        <v>176</v>
      </c>
      <c r="D4912" s="21">
        <f>C4912+D4888</f>
        <v>6617</v>
      </c>
      <c r="E4912" s="4">
        <f>4+3</f>
        <v>7</v>
      </c>
      <c r="F4912" s="95">
        <f t="shared" si="414"/>
        <v>99</v>
      </c>
    </row>
    <row r="4913" spans="1:6" ht="15.75" thickBot="1" x14ac:dyDescent="0.3">
      <c r="A4913" s="105" t="s">
        <v>19</v>
      </c>
      <c r="B4913" s="36">
        <v>44097</v>
      </c>
      <c r="C4913" s="4">
        <v>272</v>
      </c>
      <c r="D4913" s="21">
        <f>C4913+D4889</f>
        <v>11001</v>
      </c>
      <c r="E4913" s="4">
        <f>5+3</f>
        <v>8</v>
      </c>
      <c r="F4913" s="95">
        <f t="shared" si="414"/>
        <v>236</v>
      </c>
    </row>
    <row r="4914" spans="1:6" ht="15.75" thickBot="1" x14ac:dyDescent="0.3">
      <c r="A4914" s="105" t="s">
        <v>35</v>
      </c>
      <c r="B4914" s="36">
        <v>44097</v>
      </c>
      <c r="C4914" s="4">
        <v>347</v>
      </c>
      <c r="D4914" s="21">
        <f>C4914+D4890</f>
        <v>10197</v>
      </c>
      <c r="E4914" s="4">
        <f>12+3</f>
        <v>15</v>
      </c>
      <c r="F4914" s="95">
        <f>E4914+F4890</f>
        <v>221</v>
      </c>
    </row>
    <row r="4915" spans="1:6" ht="15.75" thickBot="1" x14ac:dyDescent="0.3">
      <c r="A4915" s="105" t="s">
        <v>36</v>
      </c>
      <c r="B4915" s="36">
        <v>44097</v>
      </c>
      <c r="C4915" s="4">
        <v>19</v>
      </c>
      <c r="D4915" s="21">
        <f t="shared" ref="D4915:D4921" si="415">C4915+D4891</f>
        <v>536</v>
      </c>
      <c r="E4915" s="4">
        <f>1+3</f>
        <v>4</v>
      </c>
      <c r="F4915" s="95">
        <f>E4915+F4891</f>
        <v>25</v>
      </c>
    </row>
    <row r="4916" spans="1:6" ht="15.75" thickBot="1" x14ac:dyDescent="0.3">
      <c r="A4916" s="105" t="s">
        <v>37</v>
      </c>
      <c r="B4916" s="36">
        <v>44097</v>
      </c>
      <c r="C4916" s="4">
        <v>62</v>
      </c>
      <c r="D4916" s="21">
        <f t="shared" si="415"/>
        <v>920</v>
      </c>
      <c r="F4916" s="95">
        <f t="shared" si="414"/>
        <v>3</v>
      </c>
    </row>
    <row r="4917" spans="1:6" ht="15.75" thickBot="1" x14ac:dyDescent="0.3">
      <c r="A4917" s="105" t="s">
        <v>38</v>
      </c>
      <c r="B4917" s="36">
        <v>44097</v>
      </c>
      <c r="C4917" s="4">
        <v>114</v>
      </c>
      <c r="D4917" s="21">
        <f t="shared" si="415"/>
        <v>4030</v>
      </c>
      <c r="E4917" s="4">
        <f>1</f>
        <v>1</v>
      </c>
      <c r="F4917" s="95">
        <f>E4917+F4893</f>
        <v>47</v>
      </c>
    </row>
    <row r="4918" spans="1:6" ht="15.75" thickBot="1" x14ac:dyDescent="0.3">
      <c r="A4918" s="105" t="s">
        <v>23</v>
      </c>
      <c r="B4918" s="36">
        <v>44097</v>
      </c>
      <c r="C4918" s="4">
        <v>1682</v>
      </c>
      <c r="D4918" s="21">
        <f t="shared" si="415"/>
        <v>30884</v>
      </c>
      <c r="E4918" s="4">
        <f>11+6</f>
        <v>17</v>
      </c>
      <c r="F4918" s="95">
        <f>E4918+F4894</f>
        <v>323</v>
      </c>
    </row>
    <row r="4919" spans="1:6" ht="15.75" thickBot="1" x14ac:dyDescent="0.3">
      <c r="A4919" s="105" t="s">
        <v>39</v>
      </c>
      <c r="B4919" s="36">
        <v>44097</v>
      </c>
      <c r="C4919" s="4">
        <v>108</v>
      </c>
      <c r="D4919" s="21">
        <f t="shared" si="415"/>
        <v>2608</v>
      </c>
      <c r="E4919" s="4">
        <f>4</f>
        <v>4</v>
      </c>
      <c r="F4919" s="95">
        <f t="shared" si="414"/>
        <v>43</v>
      </c>
    </row>
    <row r="4920" spans="1:6" ht="15.75" thickBot="1" x14ac:dyDescent="0.3">
      <c r="A4920" s="105" t="s">
        <v>40</v>
      </c>
      <c r="B4920" s="36">
        <v>44097</v>
      </c>
      <c r="C4920" s="4">
        <v>79</v>
      </c>
      <c r="D4920" s="21">
        <f t="shared" si="415"/>
        <v>3435</v>
      </c>
      <c r="E4920" s="4">
        <f>2</f>
        <v>2</v>
      </c>
      <c r="F4920" s="95">
        <f>E4920+F4896</f>
        <v>59</v>
      </c>
    </row>
    <row r="4921" spans="1:6" ht="15.75" thickBot="1" x14ac:dyDescent="0.3">
      <c r="A4921" s="107" t="s">
        <v>41</v>
      </c>
      <c r="B4921" s="29">
        <v>44097</v>
      </c>
      <c r="C4921" s="30">
        <v>819</v>
      </c>
      <c r="D4921" s="59">
        <f t="shared" si="415"/>
        <v>11273</v>
      </c>
      <c r="E4921" s="30"/>
      <c r="F4921" s="104">
        <f>E4921+F4897</f>
        <v>101</v>
      </c>
    </row>
    <row r="4922" spans="1:6" x14ac:dyDescent="0.25">
      <c r="A4922" s="45" t="s">
        <v>17</v>
      </c>
      <c r="B4922" s="32">
        <v>44098</v>
      </c>
      <c r="C4922" s="33">
        <v>6122</v>
      </c>
      <c r="D4922" s="97">
        <f>C4922+D4898</f>
        <v>388835</v>
      </c>
      <c r="E4922" s="33">
        <f>162+117+3</f>
        <v>282</v>
      </c>
      <c r="F4922" s="94">
        <f>E4922+F4898</f>
        <v>8863</v>
      </c>
    </row>
    <row r="4923" spans="1:6" x14ac:dyDescent="0.25">
      <c r="A4923" s="105" t="s">
        <v>44</v>
      </c>
      <c r="B4923" s="19">
        <v>44098</v>
      </c>
      <c r="C4923" s="4">
        <v>1009</v>
      </c>
      <c r="D4923" s="21">
        <f t="shared" ref="D4923:D4935" si="416">C4923+D4899</f>
        <v>120817</v>
      </c>
      <c r="E4923" s="4">
        <f>9+10</f>
        <v>19</v>
      </c>
      <c r="F4923" s="95">
        <f>E4923+F4899</f>
        <v>3030</v>
      </c>
    </row>
    <row r="4924" spans="1:6" x14ac:dyDescent="0.25">
      <c r="A4924" s="105" t="s">
        <v>29</v>
      </c>
      <c r="B4924" s="19">
        <v>44098</v>
      </c>
      <c r="C4924" s="4">
        <v>2</v>
      </c>
      <c r="D4924" s="21">
        <f t="shared" si="416"/>
        <v>195</v>
      </c>
      <c r="F4924" s="95">
        <f>E4924+F4900</f>
        <v>0</v>
      </c>
    </row>
    <row r="4925" spans="1:6" x14ac:dyDescent="0.25">
      <c r="A4925" s="105" t="s">
        <v>16</v>
      </c>
      <c r="B4925" s="19">
        <v>44098</v>
      </c>
      <c r="C4925" s="4">
        <v>128</v>
      </c>
      <c r="D4925" s="21">
        <f t="shared" si="416"/>
        <v>7787</v>
      </c>
      <c r="E4925" s="4">
        <f>5</f>
        <v>5</v>
      </c>
      <c r="F4925" s="95">
        <f t="shared" ref="F4925:F4943" si="417">E4925+F4901</f>
        <v>270</v>
      </c>
    </row>
    <row r="4926" spans="1:6" x14ac:dyDescent="0.25">
      <c r="A4926" s="105" t="s">
        <v>30</v>
      </c>
      <c r="B4926" s="19">
        <v>44098</v>
      </c>
      <c r="C4926" s="4">
        <v>162</v>
      </c>
      <c r="D4926" s="21">
        <f t="shared" si="416"/>
        <v>2920</v>
      </c>
      <c r="F4926" s="95">
        <f t="shared" si="417"/>
        <v>28</v>
      </c>
    </row>
    <row r="4927" spans="1:6" x14ac:dyDescent="0.25">
      <c r="A4927" s="105" t="s">
        <v>21</v>
      </c>
      <c r="B4927" s="19">
        <v>44098</v>
      </c>
      <c r="C4927" s="4">
        <v>1626</v>
      </c>
      <c r="D4927" s="21">
        <f t="shared" si="416"/>
        <v>24191</v>
      </c>
      <c r="E4927" s="4">
        <f>6+7</f>
        <v>13</v>
      </c>
      <c r="F4927" s="95">
        <f t="shared" si="417"/>
        <v>293</v>
      </c>
    </row>
    <row r="4928" spans="1:6" x14ac:dyDescent="0.25">
      <c r="A4928" s="105" t="s">
        <v>31</v>
      </c>
      <c r="B4928" s="19">
        <v>44098</v>
      </c>
      <c r="C4928" s="4">
        <v>-4</v>
      </c>
      <c r="D4928" s="21">
        <f t="shared" si="416"/>
        <v>1010</v>
      </c>
      <c r="E4928" s="4">
        <f>1</f>
        <v>1</v>
      </c>
      <c r="F4928" s="95">
        <f>E4928+F4904</f>
        <v>16</v>
      </c>
    </row>
    <row r="4929" spans="1:6" x14ac:dyDescent="0.25">
      <c r="A4929" s="105" t="s">
        <v>32</v>
      </c>
      <c r="B4929" s="19">
        <v>44098</v>
      </c>
      <c r="C4929" s="4">
        <v>115</v>
      </c>
      <c r="D4929" s="21">
        <f t="shared" si="416"/>
        <v>6645</v>
      </c>
      <c r="E4929" s="4">
        <f>2+1</f>
        <v>3</v>
      </c>
      <c r="F4929" s="95">
        <f>E4929+F4905</f>
        <v>125</v>
      </c>
    </row>
    <row r="4930" spans="1:6" x14ac:dyDescent="0.25">
      <c r="A4930" s="105" t="s">
        <v>42</v>
      </c>
      <c r="B4930" s="19">
        <v>44098</v>
      </c>
      <c r="C4930" s="4">
        <v>0</v>
      </c>
      <c r="D4930" s="21">
        <f t="shared" si="416"/>
        <v>102</v>
      </c>
      <c r="F4930" s="95">
        <f>E4930+F4906</f>
        <v>1</v>
      </c>
    </row>
    <row r="4931" spans="1:6" x14ac:dyDescent="0.25">
      <c r="A4931" s="105" t="s">
        <v>33</v>
      </c>
      <c r="B4931" s="19">
        <v>44098</v>
      </c>
      <c r="C4931" s="4">
        <v>223</v>
      </c>
      <c r="D4931" s="21">
        <f t="shared" si="416"/>
        <v>14803</v>
      </c>
      <c r="E4931" s="4">
        <f>9+2</f>
        <v>11</v>
      </c>
      <c r="F4931" s="95">
        <f>E4931+F4907</f>
        <v>373</v>
      </c>
    </row>
    <row r="4932" spans="1:6" x14ac:dyDescent="0.25">
      <c r="A4932" s="105" t="s">
        <v>34</v>
      </c>
      <c r="B4932" s="19">
        <v>44098</v>
      </c>
      <c r="C4932" s="4">
        <v>34</v>
      </c>
      <c r="D4932" s="21">
        <f t="shared" si="416"/>
        <v>657</v>
      </c>
      <c r="F4932" s="95">
        <f t="shared" si="417"/>
        <v>4</v>
      </c>
    </row>
    <row r="4933" spans="1:6" x14ac:dyDescent="0.25">
      <c r="A4933" s="105" t="s">
        <v>22</v>
      </c>
      <c r="B4933" s="19">
        <v>44098</v>
      </c>
      <c r="C4933" s="4">
        <v>100</v>
      </c>
      <c r="D4933" s="21">
        <f t="shared" si="416"/>
        <v>4368</v>
      </c>
      <c r="F4933" s="95">
        <f t="shared" si="417"/>
        <v>101</v>
      </c>
    </row>
    <row r="4934" spans="1:6" x14ac:dyDescent="0.25">
      <c r="A4934" s="105" t="s">
        <v>18</v>
      </c>
      <c r="B4934" s="19">
        <v>44098</v>
      </c>
      <c r="C4934" s="4">
        <v>656</v>
      </c>
      <c r="D4934" s="21">
        <f t="shared" si="416"/>
        <v>21059</v>
      </c>
      <c r="E4934" s="4">
        <f>2+4</f>
        <v>6</v>
      </c>
      <c r="F4934" s="95">
        <f t="shared" si="417"/>
        <v>213</v>
      </c>
    </row>
    <row r="4935" spans="1:6" x14ac:dyDescent="0.25">
      <c r="A4935" s="105" t="s">
        <v>24</v>
      </c>
      <c r="B4935" s="19">
        <v>44098</v>
      </c>
      <c r="C4935" s="4">
        <v>3</v>
      </c>
      <c r="D4935" s="21">
        <f t="shared" si="416"/>
        <v>85</v>
      </c>
      <c r="F4935" s="95">
        <f t="shared" si="417"/>
        <v>2</v>
      </c>
    </row>
    <row r="4936" spans="1:6" x14ac:dyDescent="0.25">
      <c r="A4936" s="105" t="s">
        <v>20</v>
      </c>
      <c r="B4936" s="19">
        <v>44098</v>
      </c>
      <c r="C4936" s="4">
        <v>253</v>
      </c>
      <c r="D4936" s="21">
        <f>C4936+D4912</f>
        <v>6870</v>
      </c>
      <c r="E4936" s="4">
        <f>1+1</f>
        <v>2</v>
      </c>
      <c r="F4936" s="95">
        <f t="shared" si="417"/>
        <v>101</v>
      </c>
    </row>
    <row r="4937" spans="1:6" x14ac:dyDescent="0.25">
      <c r="A4937" s="105" t="s">
        <v>19</v>
      </c>
      <c r="B4937" s="19">
        <v>44098</v>
      </c>
      <c r="C4937" s="4">
        <v>247</v>
      </c>
      <c r="D4937" s="21">
        <f>C4937+D4913</f>
        <v>11248</v>
      </c>
      <c r="E4937" s="4">
        <f>6+4</f>
        <v>10</v>
      </c>
      <c r="F4937" s="95">
        <f t="shared" si="417"/>
        <v>246</v>
      </c>
    </row>
    <row r="4938" spans="1:6" x14ac:dyDescent="0.25">
      <c r="A4938" s="105" t="s">
        <v>35</v>
      </c>
      <c r="B4938" s="19">
        <v>44098</v>
      </c>
      <c r="C4938" s="4">
        <v>286</v>
      </c>
      <c r="D4938" s="21">
        <f>C4938+D4914</f>
        <v>10483</v>
      </c>
      <c r="E4938" s="4">
        <f>10+4</f>
        <v>14</v>
      </c>
      <c r="F4938" s="95">
        <f>E4938+F4914</f>
        <v>235</v>
      </c>
    </row>
    <row r="4939" spans="1:6" x14ac:dyDescent="0.25">
      <c r="A4939" s="105" t="s">
        <v>36</v>
      </c>
      <c r="B4939" s="19">
        <v>44098</v>
      </c>
      <c r="C4939" s="4">
        <v>12</v>
      </c>
      <c r="D4939" s="21">
        <f t="shared" ref="D4939:D4945" si="418">C4939+D4915</f>
        <v>548</v>
      </c>
      <c r="F4939" s="95">
        <f>E4939+F4915</f>
        <v>25</v>
      </c>
    </row>
    <row r="4940" spans="1:6" x14ac:dyDescent="0.25">
      <c r="A4940" s="105" t="s">
        <v>37</v>
      </c>
      <c r="B4940" s="19">
        <v>44098</v>
      </c>
      <c r="C4940" s="4">
        <v>71</v>
      </c>
      <c r="D4940" s="21">
        <f t="shared" si="418"/>
        <v>991</v>
      </c>
      <c r="F4940" s="95">
        <f t="shared" si="417"/>
        <v>3</v>
      </c>
    </row>
    <row r="4941" spans="1:6" x14ac:dyDescent="0.25">
      <c r="A4941" s="105" t="s">
        <v>38</v>
      </c>
      <c r="B4941" s="19">
        <v>44098</v>
      </c>
      <c r="C4941" s="4">
        <v>86</v>
      </c>
      <c r="D4941" s="21">
        <f t="shared" si="418"/>
        <v>4116</v>
      </c>
      <c r="E4941" s="4">
        <f>2</f>
        <v>2</v>
      </c>
      <c r="F4941" s="95">
        <f>E4941+F4917</f>
        <v>49</v>
      </c>
    </row>
    <row r="4942" spans="1:6" x14ac:dyDescent="0.25">
      <c r="A4942" s="105" t="s">
        <v>23</v>
      </c>
      <c r="B4942" s="19">
        <v>44098</v>
      </c>
      <c r="C4942" s="4">
        <v>1928</v>
      </c>
      <c r="D4942" s="21">
        <f t="shared" si="418"/>
        <v>32812</v>
      </c>
      <c r="E4942" s="4">
        <f>10+10</f>
        <v>20</v>
      </c>
      <c r="F4942" s="95">
        <f>E4942+F4918</f>
        <v>343</v>
      </c>
    </row>
    <row r="4943" spans="1:6" x14ac:dyDescent="0.25">
      <c r="A4943" s="105" t="s">
        <v>39</v>
      </c>
      <c r="B4943" s="19">
        <v>44098</v>
      </c>
      <c r="C4943" s="4">
        <v>116</v>
      </c>
      <c r="D4943" s="21">
        <f t="shared" si="418"/>
        <v>2724</v>
      </c>
      <c r="E4943" s="4">
        <f>1</f>
        <v>1</v>
      </c>
      <c r="F4943" s="95">
        <f t="shared" si="417"/>
        <v>44</v>
      </c>
    </row>
    <row r="4944" spans="1:6" x14ac:dyDescent="0.25">
      <c r="A4944" s="105" t="s">
        <v>40</v>
      </c>
      <c r="B4944" s="19">
        <v>44098</v>
      </c>
      <c r="C4944" s="4">
        <v>68</v>
      </c>
      <c r="D4944" s="21">
        <f t="shared" si="418"/>
        <v>3503</v>
      </c>
      <c r="E4944" s="4">
        <f>1</f>
        <v>1</v>
      </c>
      <c r="F4944" s="95">
        <f>E4944+F4920</f>
        <v>60</v>
      </c>
    </row>
    <row r="4945" spans="1:6" ht="15.75" thickBot="1" x14ac:dyDescent="0.3">
      <c r="A4945" s="106" t="s">
        <v>41</v>
      </c>
      <c r="B4945" s="36">
        <v>44098</v>
      </c>
      <c r="C4945" s="37">
        <v>224</v>
      </c>
      <c r="D4945" s="98">
        <f t="shared" si="418"/>
        <v>11497</v>
      </c>
      <c r="E4945" s="37">
        <f>1</f>
        <v>1</v>
      </c>
      <c r="F4945" s="96">
        <f>E4945+F4921</f>
        <v>102</v>
      </c>
    </row>
    <row r="4946" spans="1:6" x14ac:dyDescent="0.25">
      <c r="A4946" s="45" t="s">
        <v>17</v>
      </c>
      <c r="B4946" s="102">
        <v>44099</v>
      </c>
      <c r="C4946" s="31">
        <v>5600</v>
      </c>
      <c r="D4946" s="97">
        <f>C4946+D4922</f>
        <v>394435</v>
      </c>
      <c r="E4946" s="31">
        <f>122+118</f>
        <v>240</v>
      </c>
      <c r="F4946" s="94">
        <f>E4946+F4922</f>
        <v>9103</v>
      </c>
    </row>
    <row r="4947" spans="1:6" x14ac:dyDescent="0.25">
      <c r="A4947" s="105" t="s">
        <v>44</v>
      </c>
      <c r="B4947" s="102">
        <v>44099</v>
      </c>
      <c r="C4947" s="4">
        <v>926</v>
      </c>
      <c r="D4947" s="21">
        <f t="shared" ref="D4947:D4959" si="419">C4947+D4923</f>
        <v>121743</v>
      </c>
      <c r="E4947" s="4">
        <f>27+20</f>
        <v>47</v>
      </c>
      <c r="F4947" s="95">
        <f>E4947+F4923</f>
        <v>3077</v>
      </c>
    </row>
    <row r="4948" spans="1:6" x14ac:dyDescent="0.25">
      <c r="A4948" s="105" t="s">
        <v>29</v>
      </c>
      <c r="B4948" s="102">
        <v>44099</v>
      </c>
      <c r="C4948" s="4">
        <v>6</v>
      </c>
      <c r="D4948" s="21">
        <f t="shared" si="419"/>
        <v>201</v>
      </c>
      <c r="F4948" s="95">
        <f>E4948+F4924</f>
        <v>0</v>
      </c>
    </row>
    <row r="4949" spans="1:6" x14ac:dyDescent="0.25">
      <c r="A4949" s="105" t="s">
        <v>16</v>
      </c>
      <c r="B4949" s="102">
        <v>44099</v>
      </c>
      <c r="C4949" s="4">
        <v>120</v>
      </c>
      <c r="D4949" s="21">
        <f t="shared" si="419"/>
        <v>7907</v>
      </c>
      <c r="E4949" s="4">
        <f>4+1</f>
        <v>5</v>
      </c>
      <c r="F4949" s="95">
        <f t="shared" ref="F4949:F4967" si="420">E4949+F4925</f>
        <v>275</v>
      </c>
    </row>
    <row r="4950" spans="1:6" x14ac:dyDescent="0.25">
      <c r="A4950" s="105" t="s">
        <v>30</v>
      </c>
      <c r="B4950" s="102">
        <v>44099</v>
      </c>
      <c r="C4950" s="4">
        <v>207</v>
      </c>
      <c r="D4950" s="21">
        <f t="shared" si="419"/>
        <v>3127</v>
      </c>
      <c r="E4950" s="4">
        <f>1</f>
        <v>1</v>
      </c>
      <c r="F4950" s="95">
        <f t="shared" si="420"/>
        <v>29</v>
      </c>
    </row>
    <row r="4951" spans="1:6" x14ac:dyDescent="0.25">
      <c r="A4951" s="105" t="s">
        <v>21</v>
      </c>
      <c r="B4951" s="102">
        <v>44099</v>
      </c>
      <c r="C4951" s="4">
        <v>1575</v>
      </c>
      <c r="D4951" s="21">
        <f t="shared" si="419"/>
        <v>25766</v>
      </c>
      <c r="E4951" s="4">
        <f>10+7</f>
        <v>17</v>
      </c>
      <c r="F4951" s="95">
        <f t="shared" si="420"/>
        <v>310</v>
      </c>
    </row>
    <row r="4952" spans="1:6" x14ac:dyDescent="0.25">
      <c r="A4952" s="105" t="s">
        <v>31</v>
      </c>
      <c r="B4952" s="102">
        <v>44099</v>
      </c>
      <c r="C4952" s="4">
        <v>-8</v>
      </c>
      <c r="D4952" s="21">
        <f t="shared" si="419"/>
        <v>1002</v>
      </c>
      <c r="F4952" s="95">
        <f>E4952+F4928</f>
        <v>16</v>
      </c>
    </row>
    <row r="4953" spans="1:6" x14ac:dyDescent="0.25">
      <c r="A4953" s="105" t="s">
        <v>32</v>
      </c>
      <c r="B4953" s="102">
        <v>44099</v>
      </c>
      <c r="C4953" s="4">
        <v>165</v>
      </c>
      <c r="D4953" s="21">
        <f t="shared" si="419"/>
        <v>6810</v>
      </c>
      <c r="E4953" s="4">
        <f>2</f>
        <v>2</v>
      </c>
      <c r="F4953" s="95">
        <f>E4953+F4929</f>
        <v>127</v>
      </c>
    </row>
    <row r="4954" spans="1:6" x14ac:dyDescent="0.25">
      <c r="A4954" s="105" t="s">
        <v>42</v>
      </c>
      <c r="B4954" s="102">
        <v>44099</v>
      </c>
      <c r="C4954" s="4">
        <v>0</v>
      </c>
      <c r="D4954" s="21">
        <f t="shared" si="419"/>
        <v>102</v>
      </c>
      <c r="F4954" s="95">
        <f>E4954+F4930</f>
        <v>1</v>
      </c>
    </row>
    <row r="4955" spans="1:6" x14ac:dyDescent="0.25">
      <c r="A4955" s="105" t="s">
        <v>33</v>
      </c>
      <c r="B4955" s="102">
        <v>44099</v>
      </c>
      <c r="C4955" s="4">
        <v>193</v>
      </c>
      <c r="D4955" s="21">
        <f t="shared" si="419"/>
        <v>14996</v>
      </c>
      <c r="E4955" s="4">
        <f>16+5</f>
        <v>21</v>
      </c>
      <c r="F4955" s="95">
        <f>E4955+F4931</f>
        <v>394</v>
      </c>
    </row>
    <row r="4956" spans="1:6" x14ac:dyDescent="0.25">
      <c r="A4956" s="105" t="s">
        <v>34</v>
      </c>
      <c r="B4956" s="102">
        <v>44099</v>
      </c>
      <c r="C4956" s="4">
        <v>25</v>
      </c>
      <c r="D4956" s="21">
        <f t="shared" si="419"/>
        <v>682</v>
      </c>
      <c r="F4956" s="95">
        <f t="shared" si="420"/>
        <v>4</v>
      </c>
    </row>
    <row r="4957" spans="1:6" x14ac:dyDescent="0.25">
      <c r="A4957" s="105" t="s">
        <v>22</v>
      </c>
      <c r="B4957" s="102">
        <v>44099</v>
      </c>
      <c r="C4957" s="4">
        <v>106</v>
      </c>
      <c r="D4957" s="21">
        <f t="shared" si="419"/>
        <v>4474</v>
      </c>
      <c r="F4957" s="95">
        <f t="shared" si="420"/>
        <v>101</v>
      </c>
    </row>
    <row r="4958" spans="1:6" x14ac:dyDescent="0.25">
      <c r="A4958" s="105" t="s">
        <v>18</v>
      </c>
      <c r="B4958" s="102">
        <v>44099</v>
      </c>
      <c r="C4958" s="4">
        <v>768</v>
      </c>
      <c r="D4958" s="21">
        <f t="shared" si="419"/>
        <v>21827</v>
      </c>
      <c r="E4958" s="4">
        <f>7+8</f>
        <v>15</v>
      </c>
      <c r="F4958" s="95">
        <f t="shared" si="420"/>
        <v>228</v>
      </c>
    </row>
    <row r="4959" spans="1:6" x14ac:dyDescent="0.25">
      <c r="A4959" s="105" t="s">
        <v>24</v>
      </c>
      <c r="B4959" s="102">
        <v>44099</v>
      </c>
      <c r="C4959" s="4">
        <v>2</v>
      </c>
      <c r="D4959" s="21">
        <f t="shared" si="419"/>
        <v>87</v>
      </c>
      <c r="F4959" s="95">
        <f t="shared" si="420"/>
        <v>2</v>
      </c>
    </row>
    <row r="4960" spans="1:6" x14ac:dyDescent="0.25">
      <c r="A4960" s="105" t="s">
        <v>20</v>
      </c>
      <c r="B4960" s="102">
        <v>44099</v>
      </c>
      <c r="C4960" s="4">
        <v>105</v>
      </c>
      <c r="D4960" s="21">
        <f>C4960+D4936</f>
        <v>6975</v>
      </c>
      <c r="E4960" s="4">
        <f>3</f>
        <v>3</v>
      </c>
      <c r="F4960" s="95">
        <f t="shared" si="420"/>
        <v>104</v>
      </c>
    </row>
    <row r="4961" spans="1:6" x14ac:dyDescent="0.25">
      <c r="A4961" s="105" t="s">
        <v>19</v>
      </c>
      <c r="B4961" s="102">
        <v>44099</v>
      </c>
      <c r="C4961" s="4">
        <v>227</v>
      </c>
      <c r="D4961" s="21">
        <f>C4961+D4937</f>
        <v>11475</v>
      </c>
      <c r="E4961" s="4">
        <v>10</v>
      </c>
      <c r="F4961" s="95">
        <f t="shared" si="420"/>
        <v>256</v>
      </c>
    </row>
    <row r="4962" spans="1:6" x14ac:dyDescent="0.25">
      <c r="A4962" s="105" t="s">
        <v>35</v>
      </c>
      <c r="B4962" s="102">
        <v>44099</v>
      </c>
      <c r="C4962" s="4">
        <v>469</v>
      </c>
      <c r="D4962" s="21">
        <f>C4962+D4938</f>
        <v>10952</v>
      </c>
      <c r="E4962" s="4">
        <f>24+19</f>
        <v>43</v>
      </c>
      <c r="F4962" s="95">
        <f>E4962+F4938</f>
        <v>278</v>
      </c>
    </row>
    <row r="4963" spans="1:6" x14ac:dyDescent="0.25">
      <c r="A4963" s="105" t="s">
        <v>36</v>
      </c>
      <c r="B4963" s="102">
        <v>44099</v>
      </c>
      <c r="C4963" s="4">
        <v>8</v>
      </c>
      <c r="D4963" s="21">
        <f t="shared" ref="D4963:D4969" si="421">C4963+D4939</f>
        <v>556</v>
      </c>
      <c r="F4963" s="95">
        <f>E4963+F4939</f>
        <v>25</v>
      </c>
    </row>
    <row r="4964" spans="1:6" x14ac:dyDescent="0.25">
      <c r="A4964" s="105" t="s">
        <v>37</v>
      </c>
      <c r="B4964" s="102">
        <v>44099</v>
      </c>
      <c r="C4964" s="4">
        <v>94</v>
      </c>
      <c r="D4964" s="21">
        <f t="shared" si="421"/>
        <v>1085</v>
      </c>
      <c r="E4964" s="4">
        <f>1</f>
        <v>1</v>
      </c>
      <c r="F4964" s="95">
        <f t="shared" si="420"/>
        <v>4</v>
      </c>
    </row>
    <row r="4965" spans="1:6" x14ac:dyDescent="0.25">
      <c r="A4965" s="105" t="s">
        <v>38</v>
      </c>
      <c r="B4965" s="102">
        <v>44099</v>
      </c>
      <c r="C4965" s="4">
        <v>139</v>
      </c>
      <c r="D4965" s="21">
        <f t="shared" si="421"/>
        <v>4255</v>
      </c>
      <c r="E4965" s="4">
        <f>1</f>
        <v>1</v>
      </c>
      <c r="F4965" s="95">
        <f>E4965+F4941</f>
        <v>50</v>
      </c>
    </row>
    <row r="4966" spans="1:6" x14ac:dyDescent="0.25">
      <c r="A4966" s="105" t="s">
        <v>23</v>
      </c>
      <c r="B4966" s="102">
        <v>44099</v>
      </c>
      <c r="C4966" s="4">
        <v>1728</v>
      </c>
      <c r="D4966" s="21">
        <f t="shared" si="421"/>
        <v>34540</v>
      </c>
      <c r="E4966" s="4">
        <f>13+13</f>
        <v>26</v>
      </c>
      <c r="F4966" s="95">
        <f>E4966+F4942</f>
        <v>369</v>
      </c>
    </row>
    <row r="4967" spans="1:6" x14ac:dyDescent="0.25">
      <c r="A4967" s="105" t="s">
        <v>39</v>
      </c>
      <c r="B4967" s="102">
        <v>44099</v>
      </c>
      <c r="C4967" s="4">
        <v>94</v>
      </c>
      <c r="D4967" s="21">
        <f t="shared" si="421"/>
        <v>2818</v>
      </c>
      <c r="E4967" s="4">
        <f>1+2</f>
        <v>3</v>
      </c>
      <c r="F4967" s="95">
        <f t="shared" si="420"/>
        <v>47</v>
      </c>
    </row>
    <row r="4968" spans="1:6" x14ac:dyDescent="0.25">
      <c r="A4968" s="105" t="s">
        <v>40</v>
      </c>
      <c r="B4968" s="102">
        <v>44099</v>
      </c>
      <c r="C4968" s="4">
        <v>37</v>
      </c>
      <c r="D4968" s="21">
        <f t="shared" si="421"/>
        <v>3540</v>
      </c>
      <c r="E4968" s="4">
        <f>1+1</f>
        <v>2</v>
      </c>
      <c r="F4968" s="95">
        <f>E4968+F4944</f>
        <v>62</v>
      </c>
    </row>
    <row r="4969" spans="1:6" ht="15.75" thickBot="1" x14ac:dyDescent="0.3">
      <c r="A4969" s="106" t="s">
        <v>41</v>
      </c>
      <c r="B4969" s="102">
        <v>44099</v>
      </c>
      <c r="C4969" s="4">
        <v>383</v>
      </c>
      <c r="D4969" s="98">
        <f t="shared" si="421"/>
        <v>11880</v>
      </c>
      <c r="E4969" s="4">
        <f>4+1</f>
        <v>5</v>
      </c>
      <c r="F4969" s="96">
        <f>E4969+F4945</f>
        <v>107</v>
      </c>
    </row>
    <row r="4970" spans="1:6" x14ac:dyDescent="0.25">
      <c r="A4970" s="45" t="s">
        <v>17</v>
      </c>
      <c r="B4970" s="102">
        <v>44100</v>
      </c>
      <c r="C4970" s="4">
        <v>4480</v>
      </c>
      <c r="D4970" s="97">
        <f>C4970+D4946</f>
        <v>398915</v>
      </c>
      <c r="E4970" s="4">
        <f>86+87</f>
        <v>173</v>
      </c>
      <c r="F4970" s="94">
        <f>E4970+F4946</f>
        <v>9276</v>
      </c>
    </row>
    <row r="4971" spans="1:6" x14ac:dyDescent="0.25">
      <c r="A4971" s="105" t="s">
        <v>44</v>
      </c>
      <c r="B4971" s="102">
        <v>44100</v>
      </c>
      <c r="C4971" s="4">
        <v>917</v>
      </c>
      <c r="D4971" s="21">
        <f t="shared" ref="D4971:D4983" si="422">C4971+D4947</f>
        <v>122660</v>
      </c>
      <c r="E4971" s="4">
        <f>30+29</f>
        <v>59</v>
      </c>
      <c r="F4971" s="95">
        <f>E4971+F4947</f>
        <v>3136</v>
      </c>
    </row>
    <row r="4972" spans="1:6" x14ac:dyDescent="0.25">
      <c r="A4972" s="105" t="s">
        <v>29</v>
      </c>
      <c r="B4972" s="102">
        <v>44100</v>
      </c>
      <c r="C4972" s="4">
        <v>4</v>
      </c>
      <c r="D4972" s="21">
        <f t="shared" si="422"/>
        <v>205</v>
      </c>
      <c r="F4972" s="95">
        <f>E4972+F4948</f>
        <v>0</v>
      </c>
    </row>
    <row r="4973" spans="1:6" x14ac:dyDescent="0.25">
      <c r="A4973" s="105" t="s">
        <v>16</v>
      </c>
      <c r="B4973" s="102">
        <v>44100</v>
      </c>
      <c r="C4973" s="4">
        <v>160</v>
      </c>
      <c r="D4973" s="21">
        <f t="shared" si="422"/>
        <v>8067</v>
      </c>
      <c r="E4973" s="4">
        <f>1+1</f>
        <v>2</v>
      </c>
      <c r="F4973" s="95">
        <f t="shared" ref="F4973:F4991" si="423">E4973+F4949</f>
        <v>277</v>
      </c>
    </row>
    <row r="4974" spans="1:6" x14ac:dyDescent="0.25">
      <c r="A4974" s="105" t="s">
        <v>30</v>
      </c>
      <c r="B4974" s="102">
        <v>44100</v>
      </c>
      <c r="C4974" s="4">
        <v>182</v>
      </c>
      <c r="D4974" s="21">
        <f t="shared" si="422"/>
        <v>3309</v>
      </c>
      <c r="E4974" s="4">
        <f>2+1</f>
        <v>3</v>
      </c>
      <c r="F4974" s="95">
        <f t="shared" si="423"/>
        <v>32</v>
      </c>
    </row>
    <row r="4975" spans="1:6" x14ac:dyDescent="0.25">
      <c r="A4975" s="105" t="s">
        <v>21</v>
      </c>
      <c r="B4975" s="102">
        <v>44100</v>
      </c>
      <c r="C4975" s="4">
        <v>1867</v>
      </c>
      <c r="D4975" s="21">
        <f t="shared" si="422"/>
        <v>27633</v>
      </c>
      <c r="E4975" s="4">
        <f>12+6</f>
        <v>18</v>
      </c>
      <c r="F4975" s="95">
        <f t="shared" si="423"/>
        <v>328</v>
      </c>
    </row>
    <row r="4976" spans="1:6" x14ac:dyDescent="0.25">
      <c r="A4976" s="105" t="s">
        <v>31</v>
      </c>
      <c r="B4976" s="102">
        <v>44100</v>
      </c>
      <c r="C4976" s="4">
        <v>12</v>
      </c>
      <c r="D4976" s="21">
        <f t="shared" si="422"/>
        <v>1014</v>
      </c>
      <c r="F4976" s="95">
        <f>E4976+F4952</f>
        <v>16</v>
      </c>
    </row>
    <row r="4977" spans="1:6" x14ac:dyDescent="0.25">
      <c r="A4977" s="105" t="s">
        <v>32</v>
      </c>
      <c r="B4977" s="102">
        <v>44100</v>
      </c>
      <c r="C4977" s="4">
        <v>146</v>
      </c>
      <c r="D4977" s="21">
        <f t="shared" si="422"/>
        <v>6956</v>
      </c>
      <c r="E4977" s="4">
        <f>1+1</f>
        <v>2</v>
      </c>
      <c r="F4977" s="95">
        <f>E4977+F4953</f>
        <v>129</v>
      </c>
    </row>
    <row r="4978" spans="1:6" x14ac:dyDescent="0.25">
      <c r="A4978" s="105" t="s">
        <v>42</v>
      </c>
      <c r="B4978" s="102">
        <v>44100</v>
      </c>
      <c r="C4978" s="4">
        <v>2</v>
      </c>
      <c r="D4978" s="21">
        <f t="shared" si="422"/>
        <v>104</v>
      </c>
      <c r="F4978" s="95">
        <f>E4978+F4954</f>
        <v>1</v>
      </c>
    </row>
    <row r="4979" spans="1:6" x14ac:dyDescent="0.25">
      <c r="A4979" s="105" t="s">
        <v>33</v>
      </c>
      <c r="B4979" s="102">
        <v>44100</v>
      </c>
      <c r="C4979" s="4">
        <v>209</v>
      </c>
      <c r="D4979" s="21">
        <f t="shared" si="422"/>
        <v>15205</v>
      </c>
      <c r="E4979" s="4">
        <f>11+8</f>
        <v>19</v>
      </c>
      <c r="F4979" s="95">
        <f>E4979+F4955</f>
        <v>413</v>
      </c>
    </row>
    <row r="4980" spans="1:6" x14ac:dyDescent="0.25">
      <c r="A4980" s="105" t="s">
        <v>34</v>
      </c>
      <c r="B4980" s="102">
        <v>44100</v>
      </c>
      <c r="C4980" s="4">
        <v>2</v>
      </c>
      <c r="D4980" s="21">
        <f t="shared" si="422"/>
        <v>684</v>
      </c>
      <c r="E4980" s="4">
        <f>1</f>
        <v>1</v>
      </c>
      <c r="F4980" s="95">
        <f t="shared" si="423"/>
        <v>5</v>
      </c>
    </row>
    <row r="4981" spans="1:6" x14ac:dyDescent="0.25">
      <c r="A4981" s="105" t="s">
        <v>22</v>
      </c>
      <c r="B4981" s="102">
        <v>44100</v>
      </c>
      <c r="C4981" s="4">
        <v>22</v>
      </c>
      <c r="D4981" s="21">
        <f t="shared" si="422"/>
        <v>4496</v>
      </c>
      <c r="F4981" s="95">
        <f t="shared" si="423"/>
        <v>101</v>
      </c>
    </row>
    <row r="4982" spans="1:6" x14ac:dyDescent="0.25">
      <c r="A4982" s="105" t="s">
        <v>18</v>
      </c>
      <c r="B4982" s="102">
        <v>44100</v>
      </c>
      <c r="C4982" s="4">
        <v>656</v>
      </c>
      <c r="D4982" s="21">
        <f t="shared" si="422"/>
        <v>22483</v>
      </c>
      <c r="E4982" s="4">
        <f>9+5</f>
        <v>14</v>
      </c>
      <c r="F4982" s="95">
        <f t="shared" si="423"/>
        <v>242</v>
      </c>
    </row>
    <row r="4983" spans="1:6" x14ac:dyDescent="0.25">
      <c r="A4983" s="105" t="s">
        <v>24</v>
      </c>
      <c r="B4983" s="102">
        <v>44100</v>
      </c>
      <c r="C4983" s="4">
        <v>-5</v>
      </c>
      <c r="D4983" s="21">
        <f t="shared" si="422"/>
        <v>82</v>
      </c>
      <c r="F4983" s="95">
        <f t="shared" si="423"/>
        <v>2</v>
      </c>
    </row>
    <row r="4984" spans="1:6" x14ac:dyDescent="0.25">
      <c r="A4984" s="105" t="s">
        <v>20</v>
      </c>
      <c r="B4984" s="102">
        <v>44100</v>
      </c>
      <c r="C4984" s="4">
        <v>180</v>
      </c>
      <c r="D4984" s="21">
        <f>C4984+D4960</f>
        <v>7155</v>
      </c>
      <c r="E4984" s="4">
        <f>5</f>
        <v>5</v>
      </c>
      <c r="F4984" s="95">
        <f t="shared" si="423"/>
        <v>109</v>
      </c>
    </row>
    <row r="4985" spans="1:6" x14ac:dyDescent="0.25">
      <c r="A4985" s="105" t="s">
        <v>19</v>
      </c>
      <c r="B4985" s="102">
        <v>44100</v>
      </c>
      <c r="C4985" s="4">
        <v>243</v>
      </c>
      <c r="D4985" s="21">
        <f>C4985+D4961</f>
        <v>11718</v>
      </c>
      <c r="E4985" s="4">
        <f>1</f>
        <v>1</v>
      </c>
      <c r="F4985" s="95">
        <f t="shared" si="423"/>
        <v>257</v>
      </c>
    </row>
    <row r="4986" spans="1:6" x14ac:dyDescent="0.25">
      <c r="A4986" s="105" t="s">
        <v>35</v>
      </c>
      <c r="B4986" s="102">
        <v>44100</v>
      </c>
      <c r="C4986" s="4">
        <v>301</v>
      </c>
      <c r="D4986" s="21">
        <f>C4986+D4962</f>
        <v>11253</v>
      </c>
      <c r="E4986" s="4">
        <f>12+3</f>
        <v>15</v>
      </c>
      <c r="F4986" s="95">
        <f>E4986+F4962</f>
        <v>293</v>
      </c>
    </row>
    <row r="4987" spans="1:6" x14ac:dyDescent="0.25">
      <c r="A4987" s="105" t="s">
        <v>36</v>
      </c>
      <c r="B4987" s="102">
        <v>44100</v>
      </c>
      <c r="C4987" s="4">
        <v>2</v>
      </c>
      <c r="D4987" s="21">
        <f t="shared" ref="D4987:D4993" si="424">C4987+D4963</f>
        <v>558</v>
      </c>
      <c r="E4987" s="4">
        <f>1+2</f>
        <v>3</v>
      </c>
      <c r="F4987" s="95">
        <f>E4987+F4963</f>
        <v>28</v>
      </c>
    </row>
    <row r="4988" spans="1:6" x14ac:dyDescent="0.25">
      <c r="A4988" s="105" t="s">
        <v>37</v>
      </c>
      <c r="B4988" s="102">
        <v>44100</v>
      </c>
      <c r="C4988" s="4">
        <v>1</v>
      </c>
      <c r="D4988" s="21">
        <f t="shared" si="424"/>
        <v>1086</v>
      </c>
      <c r="F4988" s="95">
        <f t="shared" si="423"/>
        <v>4</v>
      </c>
    </row>
    <row r="4989" spans="1:6" x14ac:dyDescent="0.25">
      <c r="A4989" s="105" t="s">
        <v>38</v>
      </c>
      <c r="B4989" s="102">
        <v>44100</v>
      </c>
      <c r="C4989" s="4">
        <v>125</v>
      </c>
      <c r="D4989" s="21">
        <f t="shared" si="424"/>
        <v>4380</v>
      </c>
      <c r="E4989" s="4">
        <f>3+2</f>
        <v>5</v>
      </c>
      <c r="F4989" s="95">
        <f>E4989+F4965</f>
        <v>55</v>
      </c>
    </row>
    <row r="4990" spans="1:6" x14ac:dyDescent="0.25">
      <c r="A4990" s="105" t="s">
        <v>23</v>
      </c>
      <c r="B4990" s="102">
        <v>44100</v>
      </c>
      <c r="C4990" s="4">
        <v>1311</v>
      </c>
      <c r="D4990" s="21">
        <f t="shared" si="424"/>
        <v>35851</v>
      </c>
      <c r="E4990" s="4">
        <f>7+8</f>
        <v>15</v>
      </c>
      <c r="F4990" s="95">
        <f>E4990+F4966</f>
        <v>384</v>
      </c>
    </row>
    <row r="4991" spans="1:6" x14ac:dyDescent="0.25">
      <c r="A4991" s="105" t="s">
        <v>39</v>
      </c>
      <c r="B4991" s="102">
        <v>44100</v>
      </c>
      <c r="C4991" s="4">
        <v>71</v>
      </c>
      <c r="D4991" s="21">
        <f t="shared" si="424"/>
        <v>2889</v>
      </c>
      <c r="E4991" s="4">
        <f>2</f>
        <v>2</v>
      </c>
      <c r="F4991" s="95">
        <f t="shared" si="423"/>
        <v>49</v>
      </c>
    </row>
    <row r="4992" spans="1:6" x14ac:dyDescent="0.25">
      <c r="A4992" s="105" t="s">
        <v>40</v>
      </c>
      <c r="B4992" s="102">
        <v>44100</v>
      </c>
      <c r="C4992" s="4">
        <v>102</v>
      </c>
      <c r="D4992" s="21">
        <f t="shared" si="424"/>
        <v>3642</v>
      </c>
      <c r="F4992" s="95">
        <f>E4992+F4968</f>
        <v>62</v>
      </c>
    </row>
    <row r="4993" spans="1:6" ht="15.75" thickBot="1" x14ac:dyDescent="0.3">
      <c r="A4993" s="106" t="s">
        <v>41</v>
      </c>
      <c r="B4993" s="102">
        <v>44100</v>
      </c>
      <c r="C4993" s="4">
        <v>249</v>
      </c>
      <c r="D4993" s="98">
        <f t="shared" si="424"/>
        <v>12129</v>
      </c>
      <c r="F4993" s="96">
        <f>E4993+F4969</f>
        <v>107</v>
      </c>
    </row>
    <row r="4994" spans="1:6" x14ac:dyDescent="0.25">
      <c r="A4994" s="45" t="s">
        <v>17</v>
      </c>
      <c r="B4994" s="102">
        <v>44101</v>
      </c>
      <c r="C4994" s="4">
        <v>2947</v>
      </c>
      <c r="D4994" s="97">
        <f>C4994+D4970</f>
        <v>401862</v>
      </c>
      <c r="E4994" s="4">
        <f>35+33</f>
        <v>68</v>
      </c>
      <c r="F4994" s="94">
        <f>E4994+F4970</f>
        <v>9344</v>
      </c>
    </row>
    <row r="4995" spans="1:6" x14ac:dyDescent="0.25">
      <c r="A4995" s="105" t="s">
        <v>44</v>
      </c>
      <c r="B4995" s="102">
        <v>44101</v>
      </c>
      <c r="C4995" s="4">
        <v>628</v>
      </c>
      <c r="D4995" s="21">
        <f t="shared" ref="D4995:D5007" si="425">C4995+D4971</f>
        <v>123288</v>
      </c>
      <c r="E4995" s="4">
        <f>30+32</f>
        <v>62</v>
      </c>
      <c r="F4995" s="95">
        <f>E4995+F4971</f>
        <v>3198</v>
      </c>
    </row>
    <row r="4996" spans="1:6" x14ac:dyDescent="0.25">
      <c r="A4996" s="105" t="s">
        <v>29</v>
      </c>
      <c r="B4996" s="102">
        <v>44101</v>
      </c>
      <c r="C4996" s="4">
        <v>67</v>
      </c>
      <c r="D4996" s="21">
        <f t="shared" si="425"/>
        <v>272</v>
      </c>
      <c r="E4996" s="4">
        <f>0</f>
        <v>0</v>
      </c>
      <c r="F4996" s="95">
        <f>E4996+F4972</f>
        <v>0</v>
      </c>
    </row>
    <row r="4997" spans="1:6" x14ac:dyDescent="0.25">
      <c r="A4997" s="105" t="s">
        <v>16</v>
      </c>
      <c r="B4997" s="102">
        <v>44101</v>
      </c>
      <c r="C4997" s="4">
        <v>111</v>
      </c>
      <c r="D4997" s="21">
        <f t="shared" si="425"/>
        <v>8178</v>
      </c>
      <c r="E4997" s="4">
        <f>1</f>
        <v>1</v>
      </c>
      <c r="F4997" s="95">
        <f t="shared" ref="F4997:F5015" si="426">E4997+F4973</f>
        <v>278</v>
      </c>
    </row>
    <row r="4998" spans="1:6" x14ac:dyDescent="0.25">
      <c r="A4998" s="105" t="s">
        <v>30</v>
      </c>
      <c r="B4998" s="102">
        <v>44101</v>
      </c>
      <c r="C4998" s="4">
        <v>100</v>
      </c>
      <c r="D4998" s="21">
        <f t="shared" si="425"/>
        <v>3409</v>
      </c>
      <c r="F4998" s="95">
        <f t="shared" si="426"/>
        <v>32</v>
      </c>
    </row>
    <row r="4999" spans="1:6" x14ac:dyDescent="0.25">
      <c r="A4999" s="105" t="s">
        <v>21</v>
      </c>
      <c r="B4999" s="102">
        <v>44101</v>
      </c>
      <c r="C4999" s="4">
        <v>1577</v>
      </c>
      <c r="D4999" s="21">
        <f t="shared" si="425"/>
        <v>29210</v>
      </c>
      <c r="E4999" s="4">
        <f>7+10</f>
        <v>17</v>
      </c>
      <c r="F4999" s="95">
        <f t="shared" si="426"/>
        <v>345</v>
      </c>
    </row>
    <row r="5000" spans="1:6" x14ac:dyDescent="0.25">
      <c r="A5000" s="105" t="s">
        <v>31</v>
      </c>
      <c r="B5000" s="102">
        <v>44101</v>
      </c>
      <c r="C5000" s="4">
        <v>49</v>
      </c>
      <c r="D5000" s="21">
        <f t="shared" si="425"/>
        <v>1063</v>
      </c>
      <c r="E5000" s="4">
        <f>3</f>
        <v>3</v>
      </c>
      <c r="F5000" s="95">
        <f>E5000+F4976</f>
        <v>19</v>
      </c>
    </row>
    <row r="5001" spans="1:6" x14ac:dyDescent="0.25">
      <c r="A5001" s="105" t="s">
        <v>32</v>
      </c>
      <c r="B5001" s="102">
        <v>44101</v>
      </c>
      <c r="C5001" s="4">
        <v>85</v>
      </c>
      <c r="D5001" s="21">
        <f t="shared" si="425"/>
        <v>7041</v>
      </c>
      <c r="E5001" s="4">
        <f>2</f>
        <v>2</v>
      </c>
      <c r="F5001" s="95">
        <f>E5001+F4977</f>
        <v>131</v>
      </c>
    </row>
    <row r="5002" spans="1:6" x14ac:dyDescent="0.25">
      <c r="A5002" s="105" t="s">
        <v>42</v>
      </c>
      <c r="B5002" s="102">
        <v>44101</v>
      </c>
      <c r="C5002" s="4">
        <v>1</v>
      </c>
      <c r="D5002" s="21">
        <f t="shared" si="425"/>
        <v>105</v>
      </c>
      <c r="F5002" s="95">
        <f>E5002+F4978</f>
        <v>1</v>
      </c>
    </row>
    <row r="5003" spans="1:6" x14ac:dyDescent="0.25">
      <c r="A5003" s="105" t="s">
        <v>33</v>
      </c>
      <c r="B5003" s="102">
        <v>44101</v>
      </c>
      <c r="C5003" s="4">
        <v>97</v>
      </c>
      <c r="D5003" s="21">
        <f t="shared" si="425"/>
        <v>15302</v>
      </c>
      <c r="E5003" s="4">
        <f>11+7</f>
        <v>18</v>
      </c>
      <c r="F5003" s="95">
        <f>E5003+F4979</f>
        <v>431</v>
      </c>
    </row>
    <row r="5004" spans="1:6" x14ac:dyDescent="0.25">
      <c r="A5004" s="105" t="s">
        <v>34</v>
      </c>
      <c r="B5004" s="102">
        <v>44101</v>
      </c>
      <c r="C5004" s="4">
        <v>10</v>
      </c>
      <c r="D5004" s="21">
        <f t="shared" si="425"/>
        <v>694</v>
      </c>
      <c r="E5004" s="4">
        <f>2</f>
        <v>2</v>
      </c>
      <c r="F5004" s="95">
        <f t="shared" si="426"/>
        <v>7</v>
      </c>
    </row>
    <row r="5005" spans="1:6" x14ac:dyDescent="0.25">
      <c r="A5005" s="105" t="s">
        <v>22</v>
      </c>
      <c r="B5005" s="102">
        <v>44101</v>
      </c>
      <c r="C5005" s="4">
        <v>86</v>
      </c>
      <c r="D5005" s="21">
        <f t="shared" si="425"/>
        <v>4582</v>
      </c>
      <c r="F5005" s="95">
        <f t="shared" si="426"/>
        <v>101</v>
      </c>
    </row>
    <row r="5006" spans="1:6" x14ac:dyDescent="0.25">
      <c r="A5006" s="105" t="s">
        <v>18</v>
      </c>
      <c r="B5006" s="102">
        <v>44101</v>
      </c>
      <c r="C5006" s="4">
        <v>558</v>
      </c>
      <c r="D5006" s="21">
        <f t="shared" si="425"/>
        <v>23041</v>
      </c>
      <c r="E5006" s="4">
        <f>2</f>
        <v>2</v>
      </c>
      <c r="F5006" s="95">
        <f t="shared" si="426"/>
        <v>244</v>
      </c>
    </row>
    <row r="5007" spans="1:6" x14ac:dyDescent="0.25">
      <c r="A5007" s="105" t="s">
        <v>24</v>
      </c>
      <c r="B5007" s="102">
        <v>44101</v>
      </c>
      <c r="C5007" s="4">
        <v>3</v>
      </c>
      <c r="D5007" s="21">
        <f t="shared" si="425"/>
        <v>85</v>
      </c>
      <c r="F5007" s="95">
        <f t="shared" si="426"/>
        <v>2</v>
      </c>
    </row>
    <row r="5008" spans="1:6" x14ac:dyDescent="0.25">
      <c r="A5008" s="105" t="s">
        <v>20</v>
      </c>
      <c r="B5008" s="102">
        <v>44101</v>
      </c>
      <c r="C5008" s="4">
        <v>181</v>
      </c>
      <c r="D5008" s="21">
        <f>C5008+D4984</f>
        <v>7336</v>
      </c>
      <c r="E5008" s="4">
        <f>2</f>
        <v>2</v>
      </c>
      <c r="F5008" s="95">
        <f t="shared" si="426"/>
        <v>111</v>
      </c>
    </row>
    <row r="5009" spans="1:6" x14ac:dyDescent="0.25">
      <c r="A5009" s="105" t="s">
        <v>19</v>
      </c>
      <c r="B5009" s="102">
        <v>44101</v>
      </c>
      <c r="C5009" s="4">
        <v>200</v>
      </c>
      <c r="D5009" s="21">
        <f>C5009+D4985</f>
        <v>11918</v>
      </c>
      <c r="E5009" s="4">
        <f>6+2</f>
        <v>8</v>
      </c>
      <c r="F5009" s="95">
        <f t="shared" si="426"/>
        <v>265</v>
      </c>
    </row>
    <row r="5010" spans="1:6" x14ac:dyDescent="0.25">
      <c r="A5010" s="105" t="s">
        <v>35</v>
      </c>
      <c r="B5010" s="102">
        <v>44101</v>
      </c>
      <c r="C5010" s="4">
        <v>244</v>
      </c>
      <c r="D5010" s="21">
        <f>C5010+D4986</f>
        <v>11497</v>
      </c>
      <c r="E5010" s="4">
        <f>2+1</f>
        <v>3</v>
      </c>
      <c r="F5010" s="95">
        <f>E5010+F4986</f>
        <v>296</v>
      </c>
    </row>
    <row r="5011" spans="1:6" x14ac:dyDescent="0.25">
      <c r="A5011" s="105" t="s">
        <v>36</v>
      </c>
      <c r="B5011" s="102">
        <v>44101</v>
      </c>
      <c r="C5011" s="4">
        <v>65</v>
      </c>
      <c r="D5011" s="21">
        <f t="shared" ref="D5011:D5017" si="427">C5011+D4987</f>
        <v>623</v>
      </c>
      <c r="F5011" s="95">
        <f>E5011+F4987</f>
        <v>28</v>
      </c>
    </row>
    <row r="5012" spans="1:6" x14ac:dyDescent="0.25">
      <c r="A5012" s="105" t="s">
        <v>37</v>
      </c>
      <c r="B5012" s="102">
        <v>44101</v>
      </c>
      <c r="C5012" s="4">
        <v>5</v>
      </c>
      <c r="D5012" s="21">
        <f t="shared" si="427"/>
        <v>1091</v>
      </c>
      <c r="F5012" s="95">
        <f t="shared" si="426"/>
        <v>4</v>
      </c>
    </row>
    <row r="5013" spans="1:6" x14ac:dyDescent="0.25">
      <c r="A5013" s="105" t="s">
        <v>38</v>
      </c>
      <c r="B5013" s="102">
        <v>44101</v>
      </c>
      <c r="C5013" s="4">
        <v>77</v>
      </c>
      <c r="D5013" s="21">
        <f t="shared" si="427"/>
        <v>4457</v>
      </c>
      <c r="E5013" s="4">
        <f>1+1</f>
        <v>2</v>
      </c>
      <c r="F5013" s="95">
        <f>E5013+F4989</f>
        <v>57</v>
      </c>
    </row>
    <row r="5014" spans="1:6" x14ac:dyDescent="0.25">
      <c r="A5014" s="105" t="s">
        <v>23</v>
      </c>
      <c r="B5014" s="102">
        <v>44101</v>
      </c>
      <c r="C5014" s="4">
        <v>944</v>
      </c>
      <c r="D5014" s="21">
        <f t="shared" si="427"/>
        <v>36795</v>
      </c>
      <c r="E5014" s="4">
        <f>6+7</f>
        <v>13</v>
      </c>
      <c r="F5014" s="95">
        <f>E5014+F4990</f>
        <v>397</v>
      </c>
    </row>
    <row r="5015" spans="1:6" x14ac:dyDescent="0.25">
      <c r="A5015" s="105" t="s">
        <v>39</v>
      </c>
      <c r="B5015" s="102">
        <v>44101</v>
      </c>
      <c r="C5015" s="4">
        <v>168</v>
      </c>
      <c r="D5015" s="21">
        <f t="shared" si="427"/>
        <v>3057</v>
      </c>
      <c r="E5015" s="4">
        <f>2+1</f>
        <v>3</v>
      </c>
      <c r="F5015" s="95">
        <f t="shared" si="426"/>
        <v>52</v>
      </c>
    </row>
    <row r="5016" spans="1:6" x14ac:dyDescent="0.25">
      <c r="A5016" s="105" t="s">
        <v>40</v>
      </c>
      <c r="B5016" s="102">
        <v>44101</v>
      </c>
      <c r="C5016" s="4">
        <v>86</v>
      </c>
      <c r="D5016" s="21">
        <f t="shared" si="427"/>
        <v>3728</v>
      </c>
      <c r="F5016" s="95">
        <f>E5016+F4992</f>
        <v>62</v>
      </c>
    </row>
    <row r="5017" spans="1:6" ht="15.75" thickBot="1" x14ac:dyDescent="0.3">
      <c r="A5017" s="107" t="s">
        <v>41</v>
      </c>
      <c r="B5017" s="103">
        <v>44101</v>
      </c>
      <c r="C5017" s="30">
        <v>552</v>
      </c>
      <c r="D5017" s="59">
        <f t="shared" si="427"/>
        <v>12681</v>
      </c>
      <c r="E5017" s="30"/>
      <c r="F5017" s="104">
        <f>E5017+F4993</f>
        <v>107</v>
      </c>
    </row>
    <row r="5018" spans="1:6" x14ac:dyDescent="0.25">
      <c r="A5018" s="45" t="s">
        <v>17</v>
      </c>
      <c r="B5018" s="32">
        <v>44102</v>
      </c>
      <c r="C5018" s="33">
        <v>4544</v>
      </c>
      <c r="D5018" s="97">
        <f>C5018+D4994</f>
        <v>406406</v>
      </c>
      <c r="E5018" s="33">
        <v>192</v>
      </c>
      <c r="F5018" s="94">
        <f>E5018+F4994</f>
        <v>9536</v>
      </c>
    </row>
    <row r="5019" spans="1:6" x14ac:dyDescent="0.25">
      <c r="A5019" s="105" t="s">
        <v>44</v>
      </c>
      <c r="B5019" s="102">
        <v>44102</v>
      </c>
      <c r="C5019" s="4">
        <v>787</v>
      </c>
      <c r="D5019" s="21">
        <f t="shared" ref="D5019:D5031" si="428">C5019+D4995</f>
        <v>124075</v>
      </c>
      <c r="E5019" s="4">
        <v>39</v>
      </c>
      <c r="F5019" s="95">
        <f>E5019+F4995</f>
        <v>3237</v>
      </c>
    </row>
    <row r="5020" spans="1:6" x14ac:dyDescent="0.25">
      <c r="A5020" s="105" t="s">
        <v>29</v>
      </c>
      <c r="B5020" s="102">
        <v>44102</v>
      </c>
      <c r="C5020" s="4">
        <v>3</v>
      </c>
      <c r="D5020" s="21">
        <f t="shared" si="428"/>
        <v>275</v>
      </c>
      <c r="F5020" s="95">
        <f>E5020+F4996</f>
        <v>0</v>
      </c>
    </row>
    <row r="5021" spans="1:6" x14ac:dyDescent="0.25">
      <c r="A5021" s="105" t="s">
        <v>16</v>
      </c>
      <c r="B5021" s="102">
        <v>44102</v>
      </c>
      <c r="C5021" s="4">
        <v>65</v>
      </c>
      <c r="D5021" s="21">
        <f t="shared" si="428"/>
        <v>8243</v>
      </c>
      <c r="E5021" s="4">
        <v>2</v>
      </c>
      <c r="F5021" s="95">
        <f t="shared" ref="F5021:F5039" si="429">E5021+F4997</f>
        <v>280</v>
      </c>
    </row>
    <row r="5022" spans="1:6" x14ac:dyDescent="0.25">
      <c r="A5022" s="105" t="s">
        <v>30</v>
      </c>
      <c r="B5022" s="102">
        <v>44102</v>
      </c>
      <c r="C5022" s="4">
        <v>181</v>
      </c>
      <c r="D5022" s="21">
        <f t="shared" si="428"/>
        <v>3590</v>
      </c>
      <c r="E5022" s="4">
        <v>5</v>
      </c>
      <c r="F5022" s="95">
        <f t="shared" si="429"/>
        <v>37</v>
      </c>
    </row>
    <row r="5023" spans="1:6" x14ac:dyDescent="0.25">
      <c r="A5023" s="105" t="s">
        <v>21</v>
      </c>
      <c r="B5023" s="102">
        <v>44102</v>
      </c>
      <c r="C5023" s="4">
        <v>1475</v>
      </c>
      <c r="D5023" s="21">
        <f t="shared" si="428"/>
        <v>30685</v>
      </c>
      <c r="E5023" s="4">
        <v>12</v>
      </c>
      <c r="F5023" s="95">
        <f t="shared" si="429"/>
        <v>357</v>
      </c>
    </row>
    <row r="5024" spans="1:6" x14ac:dyDescent="0.25">
      <c r="A5024" s="105" t="s">
        <v>31</v>
      </c>
      <c r="B5024" s="102">
        <v>44102</v>
      </c>
      <c r="C5024" s="4">
        <v>22</v>
      </c>
      <c r="D5024" s="21">
        <f t="shared" si="428"/>
        <v>1085</v>
      </c>
      <c r="E5024" s="4">
        <v>4</v>
      </c>
      <c r="F5024" s="95">
        <f>E5024+F5000</f>
        <v>23</v>
      </c>
    </row>
    <row r="5025" spans="1:6" x14ac:dyDescent="0.25">
      <c r="A5025" s="105" t="s">
        <v>32</v>
      </c>
      <c r="B5025" s="102">
        <v>44102</v>
      </c>
      <c r="C5025" s="4">
        <v>103</v>
      </c>
      <c r="D5025" s="21">
        <f t="shared" si="428"/>
        <v>7144</v>
      </c>
      <c r="E5025" s="4">
        <v>1</v>
      </c>
      <c r="F5025" s="95">
        <f>E5025+F5001</f>
        <v>132</v>
      </c>
    </row>
    <row r="5026" spans="1:6" x14ac:dyDescent="0.25">
      <c r="A5026" s="105" t="s">
        <v>42</v>
      </c>
      <c r="B5026" s="102">
        <v>44102</v>
      </c>
      <c r="C5026" s="4">
        <v>-1</v>
      </c>
      <c r="D5026" s="21">
        <f t="shared" si="428"/>
        <v>104</v>
      </c>
      <c r="F5026" s="95">
        <f>E5026+F5002</f>
        <v>1</v>
      </c>
    </row>
    <row r="5027" spans="1:6" x14ac:dyDescent="0.25">
      <c r="A5027" s="105" t="s">
        <v>33</v>
      </c>
      <c r="B5027" s="102">
        <v>44102</v>
      </c>
      <c r="C5027" s="4">
        <v>109</v>
      </c>
      <c r="D5027" s="21">
        <f t="shared" si="428"/>
        <v>15411</v>
      </c>
      <c r="E5027" s="4">
        <v>33</v>
      </c>
      <c r="F5027" s="95">
        <f>E5027+F5003</f>
        <v>464</v>
      </c>
    </row>
    <row r="5028" spans="1:6" x14ac:dyDescent="0.25">
      <c r="A5028" s="105" t="s">
        <v>34</v>
      </c>
      <c r="B5028" s="102">
        <v>44102</v>
      </c>
      <c r="C5028" s="4">
        <v>25</v>
      </c>
      <c r="D5028" s="21">
        <f t="shared" si="428"/>
        <v>719</v>
      </c>
      <c r="F5028" s="95">
        <f t="shared" si="429"/>
        <v>7</v>
      </c>
    </row>
    <row r="5029" spans="1:6" x14ac:dyDescent="0.25">
      <c r="A5029" s="105" t="s">
        <v>22</v>
      </c>
      <c r="B5029" s="102">
        <v>44102</v>
      </c>
      <c r="C5029" s="4">
        <v>69</v>
      </c>
      <c r="D5029" s="21">
        <f t="shared" si="428"/>
        <v>4651</v>
      </c>
      <c r="F5029" s="95">
        <f t="shared" si="429"/>
        <v>101</v>
      </c>
    </row>
    <row r="5030" spans="1:6" x14ac:dyDescent="0.25">
      <c r="A5030" s="105" t="s">
        <v>18</v>
      </c>
      <c r="B5030" s="102">
        <v>44102</v>
      </c>
      <c r="C5030" s="4">
        <v>649</v>
      </c>
      <c r="D5030" s="21">
        <f t="shared" si="428"/>
        <v>23690</v>
      </c>
      <c r="E5030" s="4">
        <v>2</v>
      </c>
      <c r="F5030" s="95">
        <f t="shared" si="429"/>
        <v>246</v>
      </c>
    </row>
    <row r="5031" spans="1:6" x14ac:dyDescent="0.25">
      <c r="A5031" s="105" t="s">
        <v>24</v>
      </c>
      <c r="B5031" s="102">
        <v>44102</v>
      </c>
      <c r="C5031" s="4">
        <v>-6</v>
      </c>
      <c r="D5031" s="21">
        <f t="shared" si="428"/>
        <v>79</v>
      </c>
      <c r="E5031" s="4">
        <v>1</v>
      </c>
      <c r="F5031" s="95">
        <f t="shared" si="429"/>
        <v>3</v>
      </c>
    </row>
    <row r="5032" spans="1:6" x14ac:dyDescent="0.25">
      <c r="A5032" s="105" t="s">
        <v>20</v>
      </c>
      <c r="B5032" s="102">
        <v>44102</v>
      </c>
      <c r="C5032" s="4">
        <v>288</v>
      </c>
      <c r="D5032" s="21">
        <f>C5032+D5008</f>
        <v>7624</v>
      </c>
      <c r="E5032" s="4">
        <v>3</v>
      </c>
      <c r="F5032" s="95">
        <f t="shared" si="429"/>
        <v>114</v>
      </c>
    </row>
    <row r="5033" spans="1:6" x14ac:dyDescent="0.25">
      <c r="A5033" s="105" t="s">
        <v>19</v>
      </c>
      <c r="B5033" s="102">
        <v>44102</v>
      </c>
      <c r="C5033" s="4">
        <v>213</v>
      </c>
      <c r="D5033" s="21">
        <f>C5033+D5009</f>
        <v>12131</v>
      </c>
      <c r="E5033" s="4">
        <v>6</v>
      </c>
      <c r="F5033" s="95">
        <f t="shared" si="429"/>
        <v>271</v>
      </c>
    </row>
    <row r="5034" spans="1:6" x14ac:dyDescent="0.25">
      <c r="A5034" s="105" t="s">
        <v>35</v>
      </c>
      <c r="B5034" s="102">
        <v>44102</v>
      </c>
      <c r="C5034" s="4">
        <v>234</v>
      </c>
      <c r="D5034" s="21">
        <f>C5034+D5010</f>
        <v>11731</v>
      </c>
      <c r="E5034" s="4">
        <v>19</v>
      </c>
      <c r="F5034" s="95">
        <f>E5034+F5010</f>
        <v>315</v>
      </c>
    </row>
    <row r="5035" spans="1:6" x14ac:dyDescent="0.25">
      <c r="A5035" s="105" t="s">
        <v>36</v>
      </c>
      <c r="B5035" s="102">
        <v>44102</v>
      </c>
      <c r="C5035" s="4">
        <v>72</v>
      </c>
      <c r="D5035" s="21">
        <f t="shared" ref="D5035:D5041" si="430">C5035+D5011</f>
        <v>695</v>
      </c>
      <c r="F5035" s="95">
        <f>E5035+F5011</f>
        <v>28</v>
      </c>
    </row>
    <row r="5036" spans="1:6" x14ac:dyDescent="0.25">
      <c r="A5036" s="105" t="s">
        <v>37</v>
      </c>
      <c r="B5036" s="102">
        <v>44102</v>
      </c>
      <c r="C5036" s="4">
        <v>100</v>
      </c>
      <c r="D5036" s="21">
        <f t="shared" si="430"/>
        <v>1191</v>
      </c>
      <c r="E5036" s="4">
        <v>1</v>
      </c>
      <c r="F5036" s="95">
        <f t="shared" si="429"/>
        <v>5</v>
      </c>
    </row>
    <row r="5037" spans="1:6" x14ac:dyDescent="0.25">
      <c r="A5037" s="105" t="s">
        <v>38</v>
      </c>
      <c r="B5037" s="102">
        <v>44102</v>
      </c>
      <c r="C5037" s="4">
        <v>129</v>
      </c>
      <c r="D5037" s="21">
        <f t="shared" si="430"/>
        <v>4586</v>
      </c>
      <c r="E5037" s="4">
        <v>1</v>
      </c>
      <c r="F5037" s="95">
        <f>E5037+F5013</f>
        <v>58</v>
      </c>
    </row>
    <row r="5038" spans="1:6" x14ac:dyDescent="0.25">
      <c r="A5038" s="105" t="s">
        <v>23</v>
      </c>
      <c r="B5038" s="102">
        <v>44102</v>
      </c>
      <c r="C5038" s="4">
        <v>1575</v>
      </c>
      <c r="D5038" s="21">
        <f t="shared" si="430"/>
        <v>38370</v>
      </c>
      <c r="E5038" s="4">
        <v>24</v>
      </c>
      <c r="F5038" s="95">
        <f>E5038+F5014</f>
        <v>421</v>
      </c>
    </row>
    <row r="5039" spans="1:6" x14ac:dyDescent="0.25">
      <c r="A5039" s="105" t="s">
        <v>39</v>
      </c>
      <c r="B5039" s="102">
        <v>44102</v>
      </c>
      <c r="C5039" s="4">
        <v>124</v>
      </c>
      <c r="D5039" s="21">
        <f t="shared" si="430"/>
        <v>3181</v>
      </c>
      <c r="E5039" s="4">
        <v>5</v>
      </c>
      <c r="F5039" s="95">
        <f t="shared" si="429"/>
        <v>57</v>
      </c>
    </row>
    <row r="5040" spans="1:6" x14ac:dyDescent="0.25">
      <c r="A5040" s="105" t="s">
        <v>40</v>
      </c>
      <c r="B5040" s="102">
        <v>44102</v>
      </c>
      <c r="C5040" s="4">
        <v>158</v>
      </c>
      <c r="D5040" s="21">
        <f t="shared" si="430"/>
        <v>3886</v>
      </c>
      <c r="E5040" s="4">
        <v>3</v>
      </c>
      <c r="F5040" s="95">
        <f>E5040+F5016</f>
        <v>65</v>
      </c>
    </row>
    <row r="5041" spans="1:6" ht="15.75" thickBot="1" x14ac:dyDescent="0.3">
      <c r="A5041" s="106" t="s">
        <v>41</v>
      </c>
      <c r="B5041" s="109">
        <v>44102</v>
      </c>
      <c r="C5041" s="37">
        <v>889</v>
      </c>
      <c r="D5041" s="98">
        <f t="shared" si="430"/>
        <v>13570</v>
      </c>
      <c r="E5041" s="37">
        <v>12</v>
      </c>
      <c r="F5041" s="96">
        <f>E5041+F5017</f>
        <v>119</v>
      </c>
    </row>
    <row r="5042" spans="1:6" x14ac:dyDescent="0.25">
      <c r="A5042" s="45" t="s">
        <v>17</v>
      </c>
      <c r="B5042" s="102">
        <v>44103</v>
      </c>
      <c r="C5042" s="31">
        <v>5328</v>
      </c>
      <c r="D5042" s="97">
        <f>C5042+D5018</f>
        <v>411734</v>
      </c>
      <c r="E5042" s="31">
        <v>249</v>
      </c>
      <c r="F5042" s="94">
        <f>E5042+F5018</f>
        <v>9785</v>
      </c>
    </row>
    <row r="5043" spans="1:6" x14ac:dyDescent="0.25">
      <c r="A5043" s="105" t="s">
        <v>44</v>
      </c>
      <c r="B5043" s="102">
        <v>44103</v>
      </c>
      <c r="C5043" s="4">
        <v>993</v>
      </c>
      <c r="D5043" s="21">
        <f t="shared" ref="D5043:D5055" si="431">C5043+D5019</f>
        <v>125068</v>
      </c>
      <c r="E5043" s="4">
        <v>52</v>
      </c>
      <c r="F5043" s="95">
        <f>E5043+F5019</f>
        <v>3289</v>
      </c>
    </row>
    <row r="5044" spans="1:6" x14ac:dyDescent="0.25">
      <c r="A5044" s="105" t="s">
        <v>29</v>
      </c>
      <c r="B5044" s="102">
        <v>44103</v>
      </c>
      <c r="C5044" s="4">
        <v>4</v>
      </c>
      <c r="D5044" s="21">
        <f t="shared" si="431"/>
        <v>279</v>
      </c>
      <c r="F5044" s="95">
        <f>E5044+F5020</f>
        <v>0</v>
      </c>
    </row>
    <row r="5045" spans="1:6" x14ac:dyDescent="0.25">
      <c r="A5045" s="105" t="s">
        <v>16</v>
      </c>
      <c r="B5045" s="102">
        <v>44103</v>
      </c>
      <c r="C5045" s="4">
        <v>143</v>
      </c>
      <c r="D5045" s="21">
        <f t="shared" si="431"/>
        <v>8386</v>
      </c>
      <c r="E5045" s="4">
        <v>1</v>
      </c>
      <c r="F5045" s="95">
        <f t="shared" ref="F5045:F5063" si="432">E5045+F5021</f>
        <v>281</v>
      </c>
    </row>
    <row r="5046" spans="1:6" x14ac:dyDescent="0.25">
      <c r="A5046" s="105" t="s">
        <v>30</v>
      </c>
      <c r="B5046" s="102">
        <v>44103</v>
      </c>
      <c r="C5046" s="4">
        <v>209</v>
      </c>
      <c r="D5046" s="21">
        <f t="shared" si="431"/>
        <v>3799</v>
      </c>
      <c r="E5046" s="4">
        <v>7</v>
      </c>
      <c r="F5046" s="95">
        <f t="shared" si="432"/>
        <v>44</v>
      </c>
    </row>
    <row r="5047" spans="1:6" x14ac:dyDescent="0.25">
      <c r="A5047" s="105" t="s">
        <v>21</v>
      </c>
      <c r="B5047" s="102">
        <v>44103</v>
      </c>
      <c r="C5047" s="4">
        <v>1800</v>
      </c>
      <c r="D5047" s="21">
        <f t="shared" si="431"/>
        <v>32485</v>
      </c>
      <c r="E5047" s="4">
        <v>21</v>
      </c>
      <c r="F5047" s="95">
        <f t="shared" si="432"/>
        <v>378</v>
      </c>
    </row>
    <row r="5048" spans="1:6" x14ac:dyDescent="0.25">
      <c r="A5048" s="105" t="s">
        <v>31</v>
      </c>
      <c r="B5048" s="102">
        <v>44103</v>
      </c>
      <c r="C5048" s="4">
        <v>-12</v>
      </c>
      <c r="D5048" s="21">
        <f t="shared" si="431"/>
        <v>1073</v>
      </c>
      <c r="E5048" s="4">
        <v>-1</v>
      </c>
      <c r="F5048" s="95">
        <f>E5048+F5024</f>
        <v>22</v>
      </c>
    </row>
    <row r="5049" spans="1:6" x14ac:dyDescent="0.25">
      <c r="A5049" s="105" t="s">
        <v>32</v>
      </c>
      <c r="B5049" s="102">
        <v>44103</v>
      </c>
      <c r="C5049" s="4">
        <v>162</v>
      </c>
      <c r="D5049" s="21">
        <f t="shared" si="431"/>
        <v>7306</v>
      </c>
      <c r="E5049" s="4">
        <v>6</v>
      </c>
      <c r="F5049" s="95">
        <f>E5049+F5025</f>
        <v>138</v>
      </c>
    </row>
    <row r="5050" spans="1:6" x14ac:dyDescent="0.25">
      <c r="A5050" s="105" t="s">
        <v>42</v>
      </c>
      <c r="B5050" s="102">
        <v>44103</v>
      </c>
      <c r="C5050" s="4">
        <v>0</v>
      </c>
      <c r="D5050" s="21">
        <f t="shared" si="431"/>
        <v>104</v>
      </c>
      <c r="E5050" s="4">
        <v>0</v>
      </c>
      <c r="F5050" s="95">
        <f>E5050+F5026</f>
        <v>1</v>
      </c>
    </row>
    <row r="5051" spans="1:6" x14ac:dyDescent="0.25">
      <c r="A5051" s="105" t="s">
        <v>33</v>
      </c>
      <c r="B5051" s="102">
        <v>44103</v>
      </c>
      <c r="C5051" s="4">
        <v>102</v>
      </c>
      <c r="D5051" s="21">
        <f t="shared" si="431"/>
        <v>15513</v>
      </c>
      <c r="E5051" s="4">
        <v>4</v>
      </c>
      <c r="F5051" s="95">
        <f>E5051+F5027</f>
        <v>468</v>
      </c>
    </row>
    <row r="5052" spans="1:6" x14ac:dyDescent="0.25">
      <c r="A5052" s="105" t="s">
        <v>34</v>
      </c>
      <c r="B5052" s="102">
        <v>44103</v>
      </c>
      <c r="C5052" s="4">
        <v>19</v>
      </c>
      <c r="D5052" s="21">
        <f t="shared" si="431"/>
        <v>738</v>
      </c>
      <c r="E5052" s="4">
        <v>0</v>
      </c>
      <c r="F5052" s="95">
        <f t="shared" si="432"/>
        <v>7</v>
      </c>
    </row>
    <row r="5053" spans="1:6" x14ac:dyDescent="0.25">
      <c r="A5053" s="105" t="s">
        <v>22</v>
      </c>
      <c r="B5053" s="102">
        <v>44103</v>
      </c>
      <c r="C5053" s="4">
        <v>51</v>
      </c>
      <c r="D5053" s="21">
        <f t="shared" si="431"/>
        <v>4702</v>
      </c>
      <c r="E5053" s="4">
        <v>0</v>
      </c>
      <c r="F5053" s="95">
        <f t="shared" si="432"/>
        <v>101</v>
      </c>
    </row>
    <row r="5054" spans="1:6" x14ac:dyDescent="0.25">
      <c r="A5054" s="105" t="s">
        <v>18</v>
      </c>
      <c r="B5054" s="102">
        <v>44103</v>
      </c>
      <c r="C5054" s="4">
        <v>668</v>
      </c>
      <c r="D5054" s="21">
        <f t="shared" si="431"/>
        <v>24358</v>
      </c>
      <c r="E5054" s="4">
        <v>7</v>
      </c>
      <c r="F5054" s="95">
        <f t="shared" si="432"/>
        <v>253</v>
      </c>
    </row>
    <row r="5055" spans="1:6" x14ac:dyDescent="0.25">
      <c r="A5055" s="105" t="s">
        <v>24</v>
      </c>
      <c r="B5055" s="102">
        <v>44103</v>
      </c>
      <c r="C5055" s="4">
        <v>8</v>
      </c>
      <c r="D5055" s="21">
        <f t="shared" si="431"/>
        <v>87</v>
      </c>
      <c r="E5055" s="4">
        <v>0</v>
      </c>
      <c r="F5055" s="95">
        <f t="shared" si="432"/>
        <v>3</v>
      </c>
    </row>
    <row r="5056" spans="1:6" x14ac:dyDescent="0.25">
      <c r="A5056" s="105" t="s">
        <v>20</v>
      </c>
      <c r="B5056" s="102">
        <v>44103</v>
      </c>
      <c r="C5056" s="4">
        <v>77</v>
      </c>
      <c r="D5056" s="21">
        <f>C5056+D5032</f>
        <v>7701</v>
      </c>
      <c r="E5056" s="4">
        <v>2</v>
      </c>
      <c r="F5056" s="95">
        <f t="shared" si="432"/>
        <v>116</v>
      </c>
    </row>
    <row r="5057" spans="1:6" x14ac:dyDescent="0.25">
      <c r="A5057" s="105" t="s">
        <v>19</v>
      </c>
      <c r="B5057" s="102">
        <v>44103</v>
      </c>
      <c r="C5057" s="4">
        <v>339</v>
      </c>
      <c r="D5057" s="21">
        <f>C5057+D5033</f>
        <v>12470</v>
      </c>
      <c r="E5057" s="4">
        <v>8</v>
      </c>
      <c r="F5057" s="95">
        <f t="shared" si="432"/>
        <v>279</v>
      </c>
    </row>
    <row r="5058" spans="1:6" x14ac:dyDescent="0.25">
      <c r="A5058" s="105" t="s">
        <v>35</v>
      </c>
      <c r="B5058" s="102">
        <v>44103</v>
      </c>
      <c r="C5058" s="4">
        <v>324</v>
      </c>
      <c r="D5058" s="21">
        <f>C5058+D5034</f>
        <v>12055</v>
      </c>
      <c r="E5058" s="4">
        <v>11</v>
      </c>
      <c r="F5058" s="95">
        <f>E5058+F5034</f>
        <v>326</v>
      </c>
    </row>
    <row r="5059" spans="1:6" x14ac:dyDescent="0.25">
      <c r="A5059" s="105" t="s">
        <v>36</v>
      </c>
      <c r="B5059" s="102">
        <v>44103</v>
      </c>
      <c r="C5059" s="4">
        <v>20</v>
      </c>
      <c r="D5059" s="21">
        <f t="shared" ref="D5059:D5065" si="433">C5059+D5035</f>
        <v>715</v>
      </c>
      <c r="E5059" s="4">
        <v>4</v>
      </c>
      <c r="F5059" s="95">
        <f>E5059+F5035</f>
        <v>32</v>
      </c>
    </row>
    <row r="5060" spans="1:6" x14ac:dyDescent="0.25">
      <c r="A5060" s="105" t="s">
        <v>37</v>
      </c>
      <c r="B5060" s="102">
        <v>44103</v>
      </c>
      <c r="C5060" s="4">
        <v>150</v>
      </c>
      <c r="D5060" s="21">
        <f t="shared" si="433"/>
        <v>1341</v>
      </c>
      <c r="E5060" s="4">
        <v>0</v>
      </c>
      <c r="F5060" s="95">
        <f t="shared" si="432"/>
        <v>5</v>
      </c>
    </row>
    <row r="5061" spans="1:6" x14ac:dyDescent="0.25">
      <c r="A5061" s="105" t="s">
        <v>38</v>
      </c>
      <c r="B5061" s="102">
        <v>44103</v>
      </c>
      <c r="C5061" s="4">
        <v>113</v>
      </c>
      <c r="D5061" s="21">
        <f t="shared" si="433"/>
        <v>4699</v>
      </c>
      <c r="E5061" s="4">
        <v>3</v>
      </c>
      <c r="F5061" s="95">
        <f>E5061+F5037</f>
        <v>61</v>
      </c>
    </row>
    <row r="5062" spans="1:6" x14ac:dyDescent="0.25">
      <c r="A5062" s="105" t="s">
        <v>23</v>
      </c>
      <c r="B5062" s="102">
        <v>44103</v>
      </c>
      <c r="C5062" s="4">
        <v>2011</v>
      </c>
      <c r="D5062" s="21">
        <f t="shared" si="433"/>
        <v>40381</v>
      </c>
      <c r="E5062" s="4">
        <v>15</v>
      </c>
      <c r="F5062" s="95">
        <f>E5062+F5038</f>
        <v>436</v>
      </c>
    </row>
    <row r="5063" spans="1:6" x14ac:dyDescent="0.25">
      <c r="A5063" s="105" t="s">
        <v>39</v>
      </c>
      <c r="B5063" s="102">
        <v>44103</v>
      </c>
      <c r="C5063" s="4">
        <v>142</v>
      </c>
      <c r="D5063" s="21">
        <f t="shared" si="433"/>
        <v>3323</v>
      </c>
      <c r="E5063" s="4">
        <v>1</v>
      </c>
      <c r="F5063" s="95">
        <f t="shared" si="432"/>
        <v>58</v>
      </c>
    </row>
    <row r="5064" spans="1:6" x14ac:dyDescent="0.25">
      <c r="A5064" s="105" t="s">
        <v>40</v>
      </c>
      <c r="B5064" s="102">
        <v>44103</v>
      </c>
      <c r="C5064" s="4">
        <v>221</v>
      </c>
      <c r="D5064" s="21">
        <f t="shared" si="433"/>
        <v>4107</v>
      </c>
      <c r="E5064" s="4">
        <v>2</v>
      </c>
      <c r="F5064" s="95">
        <f>E5064+F5040</f>
        <v>67</v>
      </c>
    </row>
    <row r="5065" spans="1:6" ht="15.75" thickBot="1" x14ac:dyDescent="0.3">
      <c r="A5065" s="106" t="s">
        <v>41</v>
      </c>
      <c r="B5065" s="102">
        <v>44103</v>
      </c>
      <c r="C5065" s="4">
        <v>605</v>
      </c>
      <c r="D5065" s="98">
        <f t="shared" si="433"/>
        <v>14175</v>
      </c>
      <c r="E5065" s="4">
        <v>13</v>
      </c>
      <c r="F5065" s="96">
        <f>E5065+F5041</f>
        <v>132</v>
      </c>
    </row>
    <row r="5066" spans="1:6" x14ac:dyDescent="0.25">
      <c r="A5066" s="45" t="s">
        <v>17</v>
      </c>
      <c r="B5066" s="102">
        <v>44104</v>
      </c>
      <c r="C5066" s="4">
        <v>5943</v>
      </c>
      <c r="D5066" s="97">
        <f>C5066+D5042</f>
        <v>417677</v>
      </c>
      <c r="E5066" s="4">
        <f>92+84</f>
        <v>176</v>
      </c>
      <c r="F5066" s="94">
        <f>E5066+F5042</f>
        <v>9961</v>
      </c>
    </row>
    <row r="5067" spans="1:6" x14ac:dyDescent="0.25">
      <c r="A5067" s="105" t="s">
        <v>44</v>
      </c>
      <c r="B5067" s="102">
        <v>44104</v>
      </c>
      <c r="C5067" s="4">
        <v>898</v>
      </c>
      <c r="D5067" s="21">
        <f t="shared" ref="D5067:D5079" si="434">C5067+D5043</f>
        <v>125966</v>
      </c>
      <c r="E5067" s="4">
        <f>55+63</f>
        <v>118</v>
      </c>
      <c r="F5067" s="95">
        <f>E5067+F5043</f>
        <v>3407</v>
      </c>
    </row>
    <row r="5068" spans="1:6" x14ac:dyDescent="0.25">
      <c r="A5068" s="105" t="s">
        <v>29</v>
      </c>
      <c r="B5068" s="102">
        <v>44104</v>
      </c>
      <c r="C5068" s="4">
        <v>8</v>
      </c>
      <c r="D5068" s="21">
        <f t="shared" si="434"/>
        <v>287</v>
      </c>
      <c r="F5068" s="95">
        <f>E5068+F5044</f>
        <v>0</v>
      </c>
    </row>
    <row r="5069" spans="1:6" x14ac:dyDescent="0.25">
      <c r="A5069" s="105" t="s">
        <v>16</v>
      </c>
      <c r="B5069" s="102">
        <v>44104</v>
      </c>
      <c r="C5069" s="4">
        <v>157</v>
      </c>
      <c r="D5069" s="21">
        <f t="shared" si="434"/>
        <v>8543</v>
      </c>
      <c r="E5069" s="4">
        <f>2+2</f>
        <v>4</v>
      </c>
      <c r="F5069" s="95">
        <f t="shared" ref="F5069:F5087" si="435">E5069+F5045</f>
        <v>285</v>
      </c>
    </row>
    <row r="5070" spans="1:6" x14ac:dyDescent="0.25">
      <c r="A5070" s="105" t="s">
        <v>30</v>
      </c>
      <c r="B5070" s="102">
        <v>44104</v>
      </c>
      <c r="C5070" s="4">
        <v>156</v>
      </c>
      <c r="D5070" s="21">
        <f t="shared" si="434"/>
        <v>3955</v>
      </c>
      <c r="E5070" s="4">
        <f>3+3</f>
        <v>6</v>
      </c>
      <c r="F5070" s="95">
        <f t="shared" si="435"/>
        <v>50</v>
      </c>
    </row>
    <row r="5071" spans="1:6" x14ac:dyDescent="0.25">
      <c r="A5071" s="105" t="s">
        <v>21</v>
      </c>
      <c r="B5071" s="102">
        <v>44104</v>
      </c>
      <c r="C5071" s="4">
        <v>1718</v>
      </c>
      <c r="D5071" s="21">
        <f t="shared" si="434"/>
        <v>34203</v>
      </c>
      <c r="E5071" s="4">
        <f>8+11</f>
        <v>19</v>
      </c>
      <c r="F5071" s="95">
        <f t="shared" si="435"/>
        <v>397</v>
      </c>
    </row>
    <row r="5072" spans="1:6" x14ac:dyDescent="0.25">
      <c r="A5072" s="105" t="s">
        <v>31</v>
      </c>
      <c r="B5072" s="102">
        <v>44104</v>
      </c>
      <c r="C5072" s="4">
        <v>20</v>
      </c>
      <c r="D5072" s="21">
        <f t="shared" si="434"/>
        <v>1093</v>
      </c>
      <c r="F5072" s="95">
        <f>E5072+F5048</f>
        <v>22</v>
      </c>
    </row>
    <row r="5073" spans="1:6" x14ac:dyDescent="0.25">
      <c r="A5073" s="105" t="s">
        <v>32</v>
      </c>
      <c r="B5073" s="102">
        <v>44104</v>
      </c>
      <c r="C5073" s="4">
        <v>177</v>
      </c>
      <c r="D5073" s="21">
        <f t="shared" si="434"/>
        <v>7483</v>
      </c>
      <c r="E5073" s="4">
        <f>1+1</f>
        <v>2</v>
      </c>
      <c r="F5073" s="95">
        <f>E5073+F5049</f>
        <v>140</v>
      </c>
    </row>
    <row r="5074" spans="1:6" x14ac:dyDescent="0.25">
      <c r="A5074" s="105" t="s">
        <v>42</v>
      </c>
      <c r="B5074" s="102">
        <v>44104</v>
      </c>
      <c r="C5074" s="4">
        <v>0</v>
      </c>
      <c r="D5074" s="21">
        <f t="shared" si="434"/>
        <v>104</v>
      </c>
      <c r="F5074" s="95">
        <f>E5074+F5050</f>
        <v>1</v>
      </c>
    </row>
    <row r="5075" spans="1:6" x14ac:dyDescent="0.25">
      <c r="A5075" s="105" t="s">
        <v>33</v>
      </c>
      <c r="B5075" s="102">
        <v>44104</v>
      </c>
      <c r="C5075" s="4">
        <v>157</v>
      </c>
      <c r="D5075" s="21">
        <f t="shared" si="434"/>
        <v>15670</v>
      </c>
      <c r="E5075" s="4">
        <f>26+10</f>
        <v>36</v>
      </c>
      <c r="F5075" s="95">
        <f>E5075+F5051</f>
        <v>504</v>
      </c>
    </row>
    <row r="5076" spans="1:6" x14ac:dyDescent="0.25">
      <c r="A5076" s="105" t="s">
        <v>34</v>
      </c>
      <c r="B5076" s="102">
        <v>44104</v>
      </c>
      <c r="C5076" s="4">
        <v>25</v>
      </c>
      <c r="D5076" s="21">
        <f t="shared" si="434"/>
        <v>763</v>
      </c>
      <c r="F5076" s="95">
        <f t="shared" si="435"/>
        <v>7</v>
      </c>
    </row>
    <row r="5077" spans="1:6" x14ac:dyDescent="0.25">
      <c r="A5077" s="105" t="s">
        <v>22</v>
      </c>
      <c r="B5077" s="102">
        <v>44104</v>
      </c>
      <c r="C5077" s="4">
        <v>126</v>
      </c>
      <c r="D5077" s="21">
        <f t="shared" si="434"/>
        <v>4828</v>
      </c>
      <c r="F5077" s="95">
        <f t="shared" si="435"/>
        <v>101</v>
      </c>
    </row>
    <row r="5078" spans="1:6" x14ac:dyDescent="0.25">
      <c r="A5078" s="105" t="s">
        <v>18</v>
      </c>
      <c r="B5078" s="102">
        <v>44104</v>
      </c>
      <c r="C5078" s="4">
        <v>691</v>
      </c>
      <c r="D5078" s="21">
        <f t="shared" si="434"/>
        <v>25049</v>
      </c>
      <c r="E5078" s="4">
        <f>10+4</f>
        <v>14</v>
      </c>
      <c r="F5078" s="95">
        <f t="shared" si="435"/>
        <v>267</v>
      </c>
    </row>
    <row r="5079" spans="1:6" x14ac:dyDescent="0.25">
      <c r="A5079" s="105" t="s">
        <v>24</v>
      </c>
      <c r="B5079" s="102">
        <v>44104</v>
      </c>
      <c r="C5079" s="4">
        <v>9</v>
      </c>
      <c r="D5079" s="21">
        <f t="shared" si="434"/>
        <v>96</v>
      </c>
      <c r="F5079" s="95">
        <f t="shared" si="435"/>
        <v>3</v>
      </c>
    </row>
    <row r="5080" spans="1:6" x14ac:dyDescent="0.25">
      <c r="A5080" s="105" t="s">
        <v>20</v>
      </c>
      <c r="B5080" s="102">
        <v>44104</v>
      </c>
      <c r="C5080" s="4">
        <v>192</v>
      </c>
      <c r="D5080" s="21">
        <f>C5080+D5056</f>
        <v>7893</v>
      </c>
      <c r="E5080" s="4">
        <f>1</f>
        <v>1</v>
      </c>
      <c r="F5080" s="95">
        <f t="shared" si="435"/>
        <v>117</v>
      </c>
    </row>
    <row r="5081" spans="1:6" x14ac:dyDescent="0.25">
      <c r="A5081" s="105" t="s">
        <v>19</v>
      </c>
      <c r="B5081" s="102">
        <v>44104</v>
      </c>
      <c r="C5081" s="4">
        <v>369</v>
      </c>
      <c r="D5081" s="21">
        <f>C5081+D5057</f>
        <v>12839</v>
      </c>
      <c r="E5081" s="4">
        <f>5+6</f>
        <v>11</v>
      </c>
      <c r="F5081" s="95">
        <f t="shared" si="435"/>
        <v>290</v>
      </c>
    </row>
    <row r="5082" spans="1:6" x14ac:dyDescent="0.25">
      <c r="A5082" s="105" t="s">
        <v>35</v>
      </c>
      <c r="B5082" s="102">
        <v>44104</v>
      </c>
      <c r="C5082" s="4">
        <v>360</v>
      </c>
      <c r="D5082" s="21">
        <f>C5082+D5058</f>
        <v>12415</v>
      </c>
      <c r="E5082" s="4">
        <f>5+7</f>
        <v>12</v>
      </c>
      <c r="F5082" s="95">
        <f>E5082+F5058</f>
        <v>338</v>
      </c>
    </row>
    <row r="5083" spans="1:6" x14ac:dyDescent="0.25">
      <c r="A5083" s="105" t="s">
        <v>36</v>
      </c>
      <c r="B5083" s="102">
        <v>44104</v>
      </c>
      <c r="C5083" s="4">
        <v>2</v>
      </c>
      <c r="D5083" s="21">
        <f t="shared" ref="D5083:D5089" si="436">C5083+D5059</f>
        <v>717</v>
      </c>
      <c r="E5083" s="4">
        <f>1+2</f>
        <v>3</v>
      </c>
      <c r="F5083" s="95">
        <f>E5083+F5059</f>
        <v>35</v>
      </c>
    </row>
    <row r="5084" spans="1:6" x14ac:dyDescent="0.25">
      <c r="A5084" s="105" t="s">
        <v>37</v>
      </c>
      <c r="B5084" s="102">
        <v>44104</v>
      </c>
      <c r="C5084" s="4">
        <v>131</v>
      </c>
      <c r="D5084" s="21">
        <f t="shared" si="436"/>
        <v>1472</v>
      </c>
      <c r="E5084" s="4">
        <f>1</f>
        <v>1</v>
      </c>
      <c r="F5084" s="95">
        <f t="shared" si="435"/>
        <v>6</v>
      </c>
    </row>
    <row r="5085" spans="1:6" x14ac:dyDescent="0.25">
      <c r="A5085" s="105" t="s">
        <v>38</v>
      </c>
      <c r="B5085" s="102">
        <v>44104</v>
      </c>
      <c r="C5085" s="4">
        <v>145</v>
      </c>
      <c r="D5085" s="21">
        <f t="shared" si="436"/>
        <v>4844</v>
      </c>
      <c r="E5085" s="4">
        <f>1</f>
        <v>1</v>
      </c>
      <c r="F5085" s="95">
        <f>E5085+F5061</f>
        <v>62</v>
      </c>
    </row>
    <row r="5086" spans="1:6" x14ac:dyDescent="0.25">
      <c r="A5086" s="105" t="s">
        <v>23</v>
      </c>
      <c r="B5086" s="102">
        <v>44104</v>
      </c>
      <c r="C5086" s="4">
        <v>2017</v>
      </c>
      <c r="D5086" s="21">
        <f t="shared" si="436"/>
        <v>42398</v>
      </c>
      <c r="E5086" s="4">
        <f>5+5</f>
        <v>10</v>
      </c>
      <c r="F5086" s="95">
        <f>E5086+F5062</f>
        <v>446</v>
      </c>
    </row>
    <row r="5087" spans="1:6" x14ac:dyDescent="0.25">
      <c r="A5087" s="105" t="s">
        <v>39</v>
      </c>
      <c r="B5087" s="102">
        <v>44104</v>
      </c>
      <c r="C5087" s="4">
        <v>96</v>
      </c>
      <c r="D5087" s="21">
        <f t="shared" si="436"/>
        <v>3419</v>
      </c>
      <c r="E5087" s="4">
        <f>2+2</f>
        <v>4</v>
      </c>
      <c r="F5087" s="95">
        <f t="shared" si="435"/>
        <v>62</v>
      </c>
    </row>
    <row r="5088" spans="1:6" x14ac:dyDescent="0.25">
      <c r="A5088" s="105" t="s">
        <v>40</v>
      </c>
      <c r="B5088" s="102">
        <v>44104</v>
      </c>
      <c r="C5088" s="4">
        <v>256</v>
      </c>
      <c r="D5088" s="21">
        <f t="shared" si="436"/>
        <v>4363</v>
      </c>
      <c r="F5088" s="95">
        <f t="shared" ref="F5088:F5099" si="437">E5088+F5064</f>
        <v>67</v>
      </c>
    </row>
    <row r="5089" spans="1:6" ht="15.75" thickBot="1" x14ac:dyDescent="0.3">
      <c r="A5089" s="107" t="s">
        <v>41</v>
      </c>
      <c r="B5089" s="103">
        <v>44104</v>
      </c>
      <c r="C5089" s="30">
        <v>739</v>
      </c>
      <c r="D5089" s="59">
        <f t="shared" si="436"/>
        <v>14914</v>
      </c>
      <c r="E5089" s="30"/>
      <c r="F5089" s="104">
        <f t="shared" si="437"/>
        <v>132</v>
      </c>
    </row>
    <row r="5090" spans="1:6" x14ac:dyDescent="0.25">
      <c r="A5090" s="45" t="s">
        <v>17</v>
      </c>
      <c r="B5090" s="32">
        <v>44105</v>
      </c>
      <c r="C5090" s="33">
        <v>5407</v>
      </c>
      <c r="D5090" s="97">
        <f>C5090+D5066</f>
        <v>423084</v>
      </c>
      <c r="E5090" s="33">
        <v>3155</v>
      </c>
      <c r="F5090" s="94">
        <f t="shared" si="437"/>
        <v>13116</v>
      </c>
    </row>
    <row r="5091" spans="1:6" x14ac:dyDescent="0.25">
      <c r="A5091" s="105" t="s">
        <v>44</v>
      </c>
      <c r="B5091" s="102">
        <v>44105</v>
      </c>
      <c r="C5091" s="4">
        <v>924</v>
      </c>
      <c r="D5091" s="21">
        <f t="shared" ref="D5091:D5103" si="438">C5091+D5067</f>
        <v>126890</v>
      </c>
      <c r="E5091" s="4">
        <v>95</v>
      </c>
      <c r="F5091" s="95">
        <f t="shared" si="437"/>
        <v>3502</v>
      </c>
    </row>
    <row r="5092" spans="1:6" x14ac:dyDescent="0.25">
      <c r="A5092" s="105" t="s">
        <v>29</v>
      </c>
      <c r="B5092" s="102">
        <v>44105</v>
      </c>
      <c r="C5092" s="4">
        <v>5</v>
      </c>
      <c r="D5092" s="21">
        <f t="shared" si="438"/>
        <v>292</v>
      </c>
      <c r="E5092" s="4">
        <v>0</v>
      </c>
      <c r="F5092" s="95">
        <f t="shared" si="437"/>
        <v>0</v>
      </c>
    </row>
    <row r="5093" spans="1:6" x14ac:dyDescent="0.25">
      <c r="A5093" s="105" t="s">
        <v>16</v>
      </c>
      <c r="B5093" s="102">
        <v>44105</v>
      </c>
      <c r="C5093" s="4">
        <v>200</v>
      </c>
      <c r="D5093" s="21">
        <f t="shared" si="438"/>
        <v>8743</v>
      </c>
      <c r="E5093" s="4">
        <v>4</v>
      </c>
      <c r="F5093" s="95">
        <f t="shared" si="437"/>
        <v>289</v>
      </c>
    </row>
    <row r="5094" spans="1:6" x14ac:dyDescent="0.25">
      <c r="A5094" s="105" t="s">
        <v>30</v>
      </c>
      <c r="B5094" s="102">
        <v>44105</v>
      </c>
      <c r="C5094" s="4">
        <v>188</v>
      </c>
      <c r="D5094" s="21">
        <f t="shared" si="438"/>
        <v>4143</v>
      </c>
      <c r="E5094" s="4">
        <v>6</v>
      </c>
      <c r="F5094" s="95">
        <f t="shared" si="437"/>
        <v>56</v>
      </c>
    </row>
    <row r="5095" spans="1:6" x14ac:dyDescent="0.25">
      <c r="A5095" s="105" t="s">
        <v>21</v>
      </c>
      <c r="B5095" s="102">
        <v>44105</v>
      </c>
      <c r="C5095" s="4">
        <v>1966</v>
      </c>
      <c r="D5095" s="21">
        <f t="shared" si="438"/>
        <v>36169</v>
      </c>
      <c r="E5095" s="4">
        <v>17</v>
      </c>
      <c r="F5095" s="95">
        <f t="shared" si="437"/>
        <v>414</v>
      </c>
    </row>
    <row r="5096" spans="1:6" x14ac:dyDescent="0.25">
      <c r="A5096" s="105" t="s">
        <v>31</v>
      </c>
      <c r="B5096" s="102">
        <v>44105</v>
      </c>
      <c r="C5096" s="4">
        <v>7</v>
      </c>
      <c r="D5096" s="21">
        <f t="shared" si="438"/>
        <v>1100</v>
      </c>
      <c r="E5096" s="4">
        <v>0</v>
      </c>
      <c r="F5096" s="95">
        <f t="shared" si="437"/>
        <v>22</v>
      </c>
    </row>
    <row r="5097" spans="1:6" x14ac:dyDescent="0.25">
      <c r="A5097" s="105" t="s">
        <v>32</v>
      </c>
      <c r="B5097" s="102">
        <v>44105</v>
      </c>
      <c r="C5097" s="4">
        <v>186</v>
      </c>
      <c r="D5097" s="21">
        <f t="shared" si="438"/>
        <v>7669</v>
      </c>
      <c r="E5097" s="4">
        <v>0</v>
      </c>
      <c r="F5097" s="95">
        <f t="shared" si="437"/>
        <v>140</v>
      </c>
    </row>
    <row r="5098" spans="1:6" x14ac:dyDescent="0.25">
      <c r="A5098" s="105" t="s">
        <v>42</v>
      </c>
      <c r="B5098" s="102">
        <v>44105</v>
      </c>
      <c r="C5098" s="4">
        <v>0</v>
      </c>
      <c r="D5098" s="21">
        <f t="shared" si="438"/>
        <v>104</v>
      </c>
      <c r="E5098" s="4">
        <v>0</v>
      </c>
      <c r="F5098" s="95">
        <f t="shared" si="437"/>
        <v>1</v>
      </c>
    </row>
    <row r="5099" spans="1:6" x14ac:dyDescent="0.25">
      <c r="A5099" s="105" t="s">
        <v>33</v>
      </c>
      <c r="B5099" s="102">
        <v>44105</v>
      </c>
      <c r="C5099" s="4">
        <v>175</v>
      </c>
      <c r="D5099" s="21">
        <f t="shared" si="438"/>
        <v>15845</v>
      </c>
      <c r="E5099" s="4">
        <v>16</v>
      </c>
      <c r="F5099" s="95">
        <f t="shared" si="437"/>
        <v>520</v>
      </c>
    </row>
    <row r="5100" spans="1:6" x14ac:dyDescent="0.25">
      <c r="A5100" s="105" t="s">
        <v>34</v>
      </c>
      <c r="B5100" s="102">
        <v>44105</v>
      </c>
      <c r="C5100" s="4">
        <v>28</v>
      </c>
      <c r="D5100" s="21">
        <f t="shared" si="438"/>
        <v>791</v>
      </c>
      <c r="E5100" s="4">
        <v>0</v>
      </c>
      <c r="F5100" s="95">
        <f t="shared" ref="F5100:F5111" si="439">E5100+F5076</f>
        <v>7</v>
      </c>
    </row>
    <row r="5101" spans="1:6" x14ac:dyDescent="0.25">
      <c r="A5101" s="105" t="s">
        <v>22</v>
      </c>
      <c r="B5101" s="102">
        <v>44105</v>
      </c>
      <c r="C5101" s="4">
        <v>22</v>
      </c>
      <c r="D5101" s="21">
        <f t="shared" si="438"/>
        <v>4850</v>
      </c>
      <c r="E5101" s="4">
        <v>4</v>
      </c>
      <c r="F5101" s="95">
        <f t="shared" si="439"/>
        <v>105</v>
      </c>
    </row>
    <row r="5102" spans="1:6" x14ac:dyDescent="0.25">
      <c r="A5102" s="105" t="s">
        <v>18</v>
      </c>
      <c r="B5102" s="102">
        <v>44105</v>
      </c>
      <c r="C5102" s="4">
        <v>799</v>
      </c>
      <c r="D5102" s="21">
        <f t="shared" si="438"/>
        <v>25848</v>
      </c>
      <c r="E5102" s="4">
        <v>7</v>
      </c>
      <c r="F5102" s="95">
        <f t="shared" si="439"/>
        <v>274</v>
      </c>
    </row>
    <row r="5103" spans="1:6" x14ac:dyDescent="0.25">
      <c r="A5103" s="105" t="s">
        <v>24</v>
      </c>
      <c r="B5103" s="102">
        <v>44105</v>
      </c>
      <c r="C5103" s="4">
        <v>-2</v>
      </c>
      <c r="D5103" s="21">
        <f t="shared" si="438"/>
        <v>94</v>
      </c>
      <c r="E5103" s="4">
        <v>0</v>
      </c>
      <c r="F5103" s="95">
        <f t="shared" si="439"/>
        <v>3</v>
      </c>
    </row>
    <row r="5104" spans="1:6" x14ac:dyDescent="0.25">
      <c r="A5104" s="105" t="s">
        <v>20</v>
      </c>
      <c r="B5104" s="102">
        <v>44105</v>
      </c>
      <c r="C5104" s="4">
        <v>186</v>
      </c>
      <c r="D5104" s="21">
        <f>C5104+D5080</f>
        <v>8079</v>
      </c>
      <c r="E5104" s="4">
        <v>1</v>
      </c>
      <c r="F5104" s="95">
        <f t="shared" si="439"/>
        <v>118</v>
      </c>
    </row>
    <row r="5105" spans="1:6" x14ac:dyDescent="0.25">
      <c r="A5105" s="105" t="s">
        <v>19</v>
      </c>
      <c r="B5105" s="102">
        <v>44105</v>
      </c>
      <c r="C5105" s="4">
        <v>287</v>
      </c>
      <c r="D5105" s="21">
        <f>C5105+D5081</f>
        <v>13126</v>
      </c>
      <c r="E5105" s="4">
        <v>9</v>
      </c>
      <c r="F5105" s="95">
        <f t="shared" si="439"/>
        <v>299</v>
      </c>
    </row>
    <row r="5106" spans="1:6" x14ac:dyDescent="0.25">
      <c r="A5106" s="105" t="s">
        <v>35</v>
      </c>
      <c r="B5106" s="102">
        <v>44105</v>
      </c>
      <c r="C5106" s="4">
        <v>359</v>
      </c>
      <c r="D5106" s="21">
        <f>C5106+D5082</f>
        <v>12774</v>
      </c>
      <c r="E5106" s="4">
        <v>11</v>
      </c>
      <c r="F5106" s="95">
        <f>E5106+F5082</f>
        <v>349</v>
      </c>
    </row>
    <row r="5107" spans="1:6" x14ac:dyDescent="0.25">
      <c r="A5107" s="105" t="s">
        <v>36</v>
      </c>
      <c r="B5107" s="102">
        <v>44105</v>
      </c>
      <c r="C5107" s="4">
        <v>34</v>
      </c>
      <c r="D5107" s="21">
        <f t="shared" ref="D5107:D5113" si="440">C5107+D5083</f>
        <v>751</v>
      </c>
      <c r="E5107" s="4">
        <v>1</v>
      </c>
      <c r="F5107" s="95">
        <f>E5107+F5083</f>
        <v>36</v>
      </c>
    </row>
    <row r="5108" spans="1:6" x14ac:dyDescent="0.25">
      <c r="A5108" s="105" t="s">
        <v>37</v>
      </c>
      <c r="B5108" s="102">
        <v>44105</v>
      </c>
      <c r="C5108" s="4">
        <v>93</v>
      </c>
      <c r="D5108" s="21">
        <f t="shared" si="440"/>
        <v>1565</v>
      </c>
      <c r="E5108" s="4">
        <v>1</v>
      </c>
      <c r="F5108" s="95">
        <f t="shared" si="439"/>
        <v>7</v>
      </c>
    </row>
    <row r="5109" spans="1:6" x14ac:dyDescent="0.25">
      <c r="A5109" s="105" t="s">
        <v>38</v>
      </c>
      <c r="B5109" s="102">
        <v>44105</v>
      </c>
      <c r="C5109" s="4">
        <v>142</v>
      </c>
      <c r="D5109" s="21">
        <f t="shared" si="440"/>
        <v>4986</v>
      </c>
      <c r="E5109" s="4">
        <v>3</v>
      </c>
      <c r="F5109" s="95">
        <f>E5109+F5085</f>
        <v>65</v>
      </c>
    </row>
    <row r="5110" spans="1:6" x14ac:dyDescent="0.25">
      <c r="A5110" s="105" t="s">
        <v>23</v>
      </c>
      <c r="B5110" s="102">
        <v>44105</v>
      </c>
      <c r="C5110" s="4">
        <v>2073</v>
      </c>
      <c r="D5110" s="21">
        <f t="shared" si="440"/>
        <v>44471</v>
      </c>
      <c r="E5110" s="4">
        <v>21</v>
      </c>
      <c r="F5110" s="95">
        <f>E5110+F5086</f>
        <v>467</v>
      </c>
    </row>
    <row r="5111" spans="1:6" x14ac:dyDescent="0.25">
      <c r="A5111" s="105" t="s">
        <v>39</v>
      </c>
      <c r="B5111" s="102">
        <v>44105</v>
      </c>
      <c r="C5111" s="4">
        <v>126</v>
      </c>
      <c r="D5111" s="21">
        <f t="shared" si="440"/>
        <v>3545</v>
      </c>
      <c r="E5111" s="4">
        <v>0</v>
      </c>
      <c r="F5111" s="95">
        <f t="shared" si="439"/>
        <v>62</v>
      </c>
    </row>
    <row r="5112" spans="1:6" x14ac:dyDescent="0.25">
      <c r="A5112" s="105" t="s">
        <v>40</v>
      </c>
      <c r="B5112" s="102">
        <v>44105</v>
      </c>
      <c r="C5112" s="4">
        <v>164</v>
      </c>
      <c r="D5112" s="21">
        <f t="shared" si="440"/>
        <v>4527</v>
      </c>
      <c r="E5112" s="4">
        <v>0</v>
      </c>
      <c r="F5112" s="95">
        <f t="shared" ref="F5112:F5123" si="441">E5112+F5088</f>
        <v>67</v>
      </c>
    </row>
    <row r="5113" spans="1:6" ht="15.75" thickBot="1" x14ac:dyDescent="0.3">
      <c r="A5113" s="106" t="s">
        <v>41</v>
      </c>
      <c r="B5113" s="109">
        <v>44105</v>
      </c>
      <c r="C5113" s="37">
        <v>632</v>
      </c>
      <c r="D5113" s="98">
        <f t="shared" si="440"/>
        <v>15546</v>
      </c>
      <c r="E5113" s="37">
        <v>0</v>
      </c>
      <c r="F5113" s="96">
        <f t="shared" si="441"/>
        <v>132</v>
      </c>
    </row>
    <row r="5114" spans="1:6" ht="15.75" thickBot="1" x14ac:dyDescent="0.3">
      <c r="A5114" s="45" t="s">
        <v>17</v>
      </c>
      <c r="B5114" s="109">
        <v>44106</v>
      </c>
      <c r="C5114" s="31">
        <v>5695</v>
      </c>
      <c r="D5114" s="97">
        <f>C5114+D5090</f>
        <v>428779</v>
      </c>
      <c r="E5114" s="31">
        <v>149</v>
      </c>
      <c r="F5114" s="94">
        <f t="shared" si="441"/>
        <v>13265</v>
      </c>
    </row>
    <row r="5115" spans="1:6" ht="15.75" thickBot="1" x14ac:dyDescent="0.3">
      <c r="A5115" s="105" t="s">
        <v>44</v>
      </c>
      <c r="B5115" s="109">
        <v>44106</v>
      </c>
      <c r="C5115" s="4">
        <v>1050</v>
      </c>
      <c r="D5115" s="21">
        <f t="shared" ref="D5115:D5127" si="442">C5115+D5091</f>
        <v>127940</v>
      </c>
      <c r="E5115" s="4">
        <v>44</v>
      </c>
      <c r="F5115" s="95">
        <f t="shared" si="441"/>
        <v>3546</v>
      </c>
    </row>
    <row r="5116" spans="1:6" ht="15.75" thickBot="1" x14ac:dyDescent="0.3">
      <c r="A5116" s="105" t="s">
        <v>29</v>
      </c>
      <c r="B5116" s="109">
        <v>44106</v>
      </c>
      <c r="C5116" s="4">
        <v>7</v>
      </c>
      <c r="D5116" s="21">
        <f t="shared" si="442"/>
        <v>299</v>
      </c>
      <c r="F5116" s="95">
        <f t="shared" si="441"/>
        <v>0</v>
      </c>
    </row>
    <row r="5117" spans="1:6" ht="15.75" thickBot="1" x14ac:dyDescent="0.3">
      <c r="A5117" s="105" t="s">
        <v>16</v>
      </c>
      <c r="B5117" s="109">
        <v>44106</v>
      </c>
      <c r="C5117" s="4">
        <v>200</v>
      </c>
      <c r="D5117" s="21">
        <f t="shared" si="442"/>
        <v>8943</v>
      </c>
      <c r="E5117" s="4">
        <v>8</v>
      </c>
      <c r="F5117" s="95">
        <f t="shared" si="441"/>
        <v>297</v>
      </c>
    </row>
    <row r="5118" spans="1:6" ht="15.75" thickBot="1" x14ac:dyDescent="0.3">
      <c r="A5118" s="105" t="s">
        <v>30</v>
      </c>
      <c r="B5118" s="109">
        <v>44106</v>
      </c>
      <c r="C5118" s="4">
        <v>214</v>
      </c>
      <c r="D5118" s="21">
        <f t="shared" si="442"/>
        <v>4357</v>
      </c>
      <c r="E5118" s="4">
        <v>2</v>
      </c>
      <c r="F5118" s="95">
        <f t="shared" si="441"/>
        <v>58</v>
      </c>
    </row>
    <row r="5119" spans="1:6" ht="15.75" thickBot="1" x14ac:dyDescent="0.3">
      <c r="A5119" s="105" t="s">
        <v>21</v>
      </c>
      <c r="B5119" s="109">
        <v>44106</v>
      </c>
      <c r="C5119" s="4">
        <v>1776</v>
      </c>
      <c r="D5119" s="21">
        <f t="shared" si="442"/>
        <v>37945</v>
      </c>
      <c r="E5119" s="4">
        <v>14</v>
      </c>
      <c r="F5119" s="95">
        <f t="shared" si="441"/>
        <v>428</v>
      </c>
    </row>
    <row r="5120" spans="1:6" ht="15.75" thickBot="1" x14ac:dyDescent="0.3">
      <c r="A5120" s="105" t="s">
        <v>31</v>
      </c>
      <c r="B5120" s="109">
        <v>44106</v>
      </c>
      <c r="C5120" s="4">
        <v>67</v>
      </c>
      <c r="D5120" s="21">
        <f t="shared" si="442"/>
        <v>1167</v>
      </c>
      <c r="E5120" s="4">
        <v>4</v>
      </c>
      <c r="F5120" s="95">
        <f t="shared" si="441"/>
        <v>26</v>
      </c>
    </row>
    <row r="5121" spans="1:6" ht="15.75" thickBot="1" x14ac:dyDescent="0.3">
      <c r="A5121" s="105" t="s">
        <v>32</v>
      </c>
      <c r="B5121" s="109">
        <v>44106</v>
      </c>
      <c r="C5121" s="4">
        <v>173</v>
      </c>
      <c r="D5121" s="21">
        <f t="shared" si="442"/>
        <v>7842</v>
      </c>
      <c r="E5121" s="4">
        <v>2</v>
      </c>
      <c r="F5121" s="95">
        <f t="shared" si="441"/>
        <v>142</v>
      </c>
    </row>
    <row r="5122" spans="1:6" ht="15.75" thickBot="1" x14ac:dyDescent="0.3">
      <c r="A5122" s="105" t="s">
        <v>42</v>
      </c>
      <c r="B5122" s="109">
        <v>44106</v>
      </c>
      <c r="C5122" s="4">
        <v>2</v>
      </c>
      <c r="D5122" s="21">
        <f t="shared" si="442"/>
        <v>106</v>
      </c>
      <c r="F5122" s="95">
        <f t="shared" si="441"/>
        <v>1</v>
      </c>
    </row>
    <row r="5123" spans="1:6" ht="15.75" thickBot="1" x14ac:dyDescent="0.3">
      <c r="A5123" s="105" t="s">
        <v>33</v>
      </c>
      <c r="B5123" s="109">
        <v>44106</v>
      </c>
      <c r="C5123" s="4">
        <v>116</v>
      </c>
      <c r="D5123" s="21">
        <f t="shared" si="442"/>
        <v>15961</v>
      </c>
      <c r="E5123" s="4">
        <v>9</v>
      </c>
      <c r="F5123" s="95">
        <f t="shared" si="441"/>
        <v>529</v>
      </c>
    </row>
    <row r="5124" spans="1:6" ht="15.75" thickBot="1" x14ac:dyDescent="0.3">
      <c r="A5124" s="105" t="s">
        <v>34</v>
      </c>
      <c r="B5124" s="109">
        <v>44106</v>
      </c>
      <c r="C5124" s="4">
        <v>13</v>
      </c>
      <c r="D5124" s="21">
        <f t="shared" si="442"/>
        <v>804</v>
      </c>
      <c r="E5124" s="4">
        <v>2</v>
      </c>
      <c r="F5124" s="95">
        <f t="shared" ref="F5124:F5135" si="443">E5124+F5100</f>
        <v>9</v>
      </c>
    </row>
    <row r="5125" spans="1:6" ht="15.75" thickBot="1" x14ac:dyDescent="0.3">
      <c r="A5125" s="105" t="s">
        <v>22</v>
      </c>
      <c r="B5125" s="109">
        <v>44106</v>
      </c>
      <c r="C5125" s="4">
        <v>142</v>
      </c>
      <c r="D5125" s="21">
        <f t="shared" si="442"/>
        <v>4992</v>
      </c>
      <c r="F5125" s="95">
        <f t="shared" si="443"/>
        <v>105</v>
      </c>
    </row>
    <row r="5126" spans="1:6" ht="15.75" thickBot="1" x14ac:dyDescent="0.3">
      <c r="A5126" s="105" t="s">
        <v>18</v>
      </c>
      <c r="B5126" s="109">
        <v>44106</v>
      </c>
      <c r="C5126" s="4">
        <v>759</v>
      </c>
      <c r="D5126" s="21">
        <f t="shared" si="442"/>
        <v>26607</v>
      </c>
      <c r="E5126" s="4">
        <v>14</v>
      </c>
      <c r="F5126" s="95">
        <f t="shared" si="443"/>
        <v>288</v>
      </c>
    </row>
    <row r="5127" spans="1:6" ht="15.75" thickBot="1" x14ac:dyDescent="0.3">
      <c r="A5127" s="105" t="s">
        <v>24</v>
      </c>
      <c r="B5127" s="109">
        <v>44106</v>
      </c>
      <c r="C5127" s="4">
        <v>5</v>
      </c>
      <c r="D5127" s="21">
        <f t="shared" si="442"/>
        <v>99</v>
      </c>
      <c r="E5127" s="4">
        <v>1</v>
      </c>
      <c r="F5127" s="95">
        <f t="shared" si="443"/>
        <v>4</v>
      </c>
    </row>
    <row r="5128" spans="1:6" ht="15.75" thickBot="1" x14ac:dyDescent="0.3">
      <c r="A5128" s="105" t="s">
        <v>20</v>
      </c>
      <c r="B5128" s="109">
        <v>44106</v>
      </c>
      <c r="C5128" s="4">
        <v>270</v>
      </c>
      <c r="D5128" s="21">
        <f>C5128+D5104</f>
        <v>8349</v>
      </c>
      <c r="E5128" s="4">
        <v>2</v>
      </c>
      <c r="F5128" s="95">
        <f t="shared" si="443"/>
        <v>120</v>
      </c>
    </row>
    <row r="5129" spans="1:6" ht="15.75" thickBot="1" x14ac:dyDescent="0.3">
      <c r="A5129" s="105" t="s">
        <v>19</v>
      </c>
      <c r="B5129" s="109">
        <v>44106</v>
      </c>
      <c r="C5129" s="4">
        <v>371</v>
      </c>
      <c r="D5129" s="21">
        <f>C5129+D5105</f>
        <v>13497</v>
      </c>
      <c r="E5129" s="4">
        <v>4</v>
      </c>
      <c r="F5129" s="95">
        <f t="shared" si="443"/>
        <v>303</v>
      </c>
    </row>
    <row r="5130" spans="1:6" ht="15.75" thickBot="1" x14ac:dyDescent="0.3">
      <c r="A5130" s="105" t="s">
        <v>35</v>
      </c>
      <c r="B5130" s="109">
        <v>44106</v>
      </c>
      <c r="C5130" s="4">
        <v>327</v>
      </c>
      <c r="D5130" s="21">
        <f>C5130+D5106</f>
        <v>13101</v>
      </c>
      <c r="E5130" s="4">
        <v>14</v>
      </c>
      <c r="F5130" s="95">
        <f>E5130+F5106</f>
        <v>363</v>
      </c>
    </row>
    <row r="5131" spans="1:6" ht="15.75" thickBot="1" x14ac:dyDescent="0.3">
      <c r="A5131" s="105" t="s">
        <v>36</v>
      </c>
      <c r="B5131" s="109">
        <v>44106</v>
      </c>
      <c r="C5131" s="4">
        <v>3</v>
      </c>
      <c r="D5131" s="21">
        <f t="shared" ref="D5131:D5137" si="444">C5131+D5107</f>
        <v>754</v>
      </c>
      <c r="E5131" s="4">
        <v>4</v>
      </c>
      <c r="F5131" s="95">
        <f>E5131+F5107</f>
        <v>40</v>
      </c>
    </row>
    <row r="5132" spans="1:6" ht="15.75" thickBot="1" x14ac:dyDescent="0.3">
      <c r="A5132" s="105" t="s">
        <v>37</v>
      </c>
      <c r="B5132" s="109">
        <v>44106</v>
      </c>
      <c r="C5132" s="4">
        <v>73</v>
      </c>
      <c r="D5132" s="21">
        <f t="shared" si="444"/>
        <v>1638</v>
      </c>
      <c r="F5132" s="95">
        <f t="shared" si="443"/>
        <v>7</v>
      </c>
    </row>
    <row r="5133" spans="1:6" ht="15.75" thickBot="1" x14ac:dyDescent="0.3">
      <c r="A5133" s="105" t="s">
        <v>38</v>
      </c>
      <c r="B5133" s="109">
        <v>44106</v>
      </c>
      <c r="C5133" s="4">
        <v>137</v>
      </c>
      <c r="D5133" s="21">
        <f t="shared" si="444"/>
        <v>5123</v>
      </c>
      <c r="E5133" s="4">
        <v>2</v>
      </c>
      <c r="F5133" s="95">
        <f>E5133+F5109</f>
        <v>67</v>
      </c>
    </row>
    <row r="5134" spans="1:6" ht="15.75" thickBot="1" x14ac:dyDescent="0.3">
      <c r="A5134" s="105" t="s">
        <v>23</v>
      </c>
      <c r="B5134" s="109">
        <v>44106</v>
      </c>
      <c r="C5134" s="4">
        <v>2244</v>
      </c>
      <c r="D5134" s="21">
        <f t="shared" si="444"/>
        <v>46715</v>
      </c>
      <c r="E5134" s="4">
        <v>24</v>
      </c>
      <c r="F5134" s="95">
        <f>E5134+F5110</f>
        <v>491</v>
      </c>
    </row>
    <row r="5135" spans="1:6" ht="15.75" thickBot="1" x14ac:dyDescent="0.3">
      <c r="A5135" s="105" t="s">
        <v>39</v>
      </c>
      <c r="B5135" s="109">
        <v>44106</v>
      </c>
      <c r="C5135" s="4">
        <v>176</v>
      </c>
      <c r="D5135" s="21">
        <f t="shared" si="444"/>
        <v>3721</v>
      </c>
      <c r="E5135" s="4">
        <v>2</v>
      </c>
      <c r="F5135" s="95">
        <f t="shared" si="443"/>
        <v>64</v>
      </c>
    </row>
    <row r="5136" spans="1:6" ht="15.75" thickBot="1" x14ac:dyDescent="0.3">
      <c r="A5136" s="105" t="s">
        <v>40</v>
      </c>
      <c r="B5136" s="109">
        <v>44106</v>
      </c>
      <c r="C5136" s="4">
        <v>193</v>
      </c>
      <c r="D5136" s="21">
        <f t="shared" si="444"/>
        <v>4720</v>
      </c>
      <c r="E5136" s="4">
        <v>3</v>
      </c>
      <c r="F5136" s="95">
        <f t="shared" ref="F5136:F5147" si="445">E5136+F5112</f>
        <v>70</v>
      </c>
    </row>
    <row r="5137" spans="1:6" ht="15.75" thickBot="1" x14ac:dyDescent="0.3">
      <c r="A5137" s="106" t="s">
        <v>41</v>
      </c>
      <c r="B5137" s="109">
        <v>44106</v>
      </c>
      <c r="C5137" s="4">
        <v>674</v>
      </c>
      <c r="D5137" s="98">
        <f t="shared" si="444"/>
        <v>16220</v>
      </c>
      <c r="E5137" s="4">
        <v>8</v>
      </c>
      <c r="F5137" s="96">
        <f t="shared" si="445"/>
        <v>140</v>
      </c>
    </row>
    <row r="5138" spans="1:6" ht="15.75" thickBot="1" x14ac:dyDescent="0.3">
      <c r="A5138" s="45" t="s">
        <v>17</v>
      </c>
      <c r="B5138" s="109">
        <v>44107</v>
      </c>
      <c r="C5138" s="4">
        <v>4507</v>
      </c>
      <c r="D5138" s="97">
        <f>C5138+D5114</f>
        <v>433286</v>
      </c>
      <c r="E5138" s="4">
        <v>92</v>
      </c>
      <c r="F5138" s="94">
        <f t="shared" si="445"/>
        <v>13357</v>
      </c>
    </row>
    <row r="5139" spans="1:6" ht="15.75" thickBot="1" x14ac:dyDescent="0.3">
      <c r="A5139" s="105" t="s">
        <v>44</v>
      </c>
      <c r="B5139" s="109">
        <v>44107</v>
      </c>
      <c r="C5139" s="4">
        <v>801</v>
      </c>
      <c r="D5139" s="21">
        <f t="shared" ref="D5139:D5151" si="446">C5139+D5115</f>
        <v>128741</v>
      </c>
      <c r="E5139" s="4">
        <f>8+12</f>
        <v>20</v>
      </c>
      <c r="F5139" s="95">
        <f t="shared" si="445"/>
        <v>3566</v>
      </c>
    </row>
    <row r="5140" spans="1:6" ht="15.75" thickBot="1" x14ac:dyDescent="0.3">
      <c r="A5140" s="105" t="s">
        <v>29</v>
      </c>
      <c r="B5140" s="109">
        <v>44107</v>
      </c>
      <c r="C5140" s="4">
        <v>6</v>
      </c>
      <c r="D5140" s="21">
        <f t="shared" si="446"/>
        <v>305</v>
      </c>
      <c r="F5140" s="95">
        <f t="shared" si="445"/>
        <v>0</v>
      </c>
    </row>
    <row r="5141" spans="1:6" ht="15.75" thickBot="1" x14ac:dyDescent="0.3">
      <c r="A5141" s="105" t="s">
        <v>16</v>
      </c>
      <c r="B5141" s="109">
        <v>44107</v>
      </c>
      <c r="C5141" s="4">
        <v>120</v>
      </c>
      <c r="D5141" s="21">
        <f t="shared" si="446"/>
        <v>9063</v>
      </c>
      <c r="E5141" s="4">
        <f>1</f>
        <v>1</v>
      </c>
      <c r="F5141" s="95">
        <f t="shared" si="445"/>
        <v>298</v>
      </c>
    </row>
    <row r="5142" spans="1:6" ht="15.75" thickBot="1" x14ac:dyDescent="0.3">
      <c r="A5142" s="105" t="s">
        <v>30</v>
      </c>
      <c r="B5142" s="109">
        <v>44107</v>
      </c>
      <c r="C5142" s="4">
        <v>149</v>
      </c>
      <c r="D5142" s="21">
        <f t="shared" si="446"/>
        <v>4506</v>
      </c>
      <c r="F5142" s="95">
        <f t="shared" si="445"/>
        <v>58</v>
      </c>
    </row>
    <row r="5143" spans="1:6" ht="15.75" thickBot="1" x14ac:dyDescent="0.3">
      <c r="A5143" s="105" t="s">
        <v>21</v>
      </c>
      <c r="B5143" s="109">
        <v>44107</v>
      </c>
      <c r="C5143" s="4">
        <v>1451</v>
      </c>
      <c r="D5143" s="21">
        <f t="shared" si="446"/>
        <v>39396</v>
      </c>
      <c r="E5143" s="4">
        <f>12+7</f>
        <v>19</v>
      </c>
      <c r="F5143" s="95">
        <f t="shared" si="445"/>
        <v>447</v>
      </c>
    </row>
    <row r="5144" spans="1:6" ht="15.75" thickBot="1" x14ac:dyDescent="0.3">
      <c r="A5144" s="105" t="s">
        <v>31</v>
      </c>
      <c r="B5144" s="109">
        <v>44107</v>
      </c>
      <c r="C5144" s="4">
        <v>3</v>
      </c>
      <c r="D5144" s="21">
        <f t="shared" si="446"/>
        <v>1170</v>
      </c>
      <c r="E5144" s="4">
        <f>1</f>
        <v>1</v>
      </c>
      <c r="F5144" s="95">
        <f t="shared" si="445"/>
        <v>27</v>
      </c>
    </row>
    <row r="5145" spans="1:6" ht="15.75" thickBot="1" x14ac:dyDescent="0.3">
      <c r="A5145" s="105" t="s">
        <v>32</v>
      </c>
      <c r="B5145" s="109">
        <v>44107</v>
      </c>
      <c r="C5145" s="4">
        <v>152</v>
      </c>
      <c r="D5145" s="21">
        <f t="shared" si="446"/>
        <v>7994</v>
      </c>
      <c r="E5145" s="4">
        <f>1</f>
        <v>1</v>
      </c>
      <c r="F5145" s="95">
        <f t="shared" si="445"/>
        <v>143</v>
      </c>
    </row>
    <row r="5146" spans="1:6" ht="15.75" thickBot="1" x14ac:dyDescent="0.3">
      <c r="A5146" s="105" t="s">
        <v>42</v>
      </c>
      <c r="B5146" s="109">
        <v>44107</v>
      </c>
      <c r="C5146" s="4">
        <v>-1</v>
      </c>
      <c r="D5146" s="21">
        <f t="shared" si="446"/>
        <v>105</v>
      </c>
      <c r="F5146" s="95">
        <f t="shared" si="445"/>
        <v>1</v>
      </c>
    </row>
    <row r="5147" spans="1:6" ht="15.75" thickBot="1" x14ac:dyDescent="0.3">
      <c r="A5147" s="105" t="s">
        <v>33</v>
      </c>
      <c r="B5147" s="109">
        <v>44107</v>
      </c>
      <c r="C5147" s="4">
        <v>122</v>
      </c>
      <c r="D5147" s="21">
        <f t="shared" si="446"/>
        <v>16083</v>
      </c>
      <c r="E5147" s="4">
        <f>8+2</f>
        <v>10</v>
      </c>
      <c r="F5147" s="95">
        <f t="shared" si="445"/>
        <v>539</v>
      </c>
    </row>
    <row r="5148" spans="1:6" ht="15.75" thickBot="1" x14ac:dyDescent="0.3">
      <c r="A5148" s="105" t="s">
        <v>34</v>
      </c>
      <c r="B5148" s="109">
        <v>44107</v>
      </c>
      <c r="C5148" s="4">
        <v>27</v>
      </c>
      <c r="D5148" s="21">
        <f t="shared" si="446"/>
        <v>831</v>
      </c>
      <c r="F5148" s="95">
        <f t="shared" ref="F5148:F5159" si="447">E5148+F5124</f>
        <v>9</v>
      </c>
    </row>
    <row r="5149" spans="1:6" ht="15.75" thickBot="1" x14ac:dyDescent="0.3">
      <c r="A5149" s="105" t="s">
        <v>22</v>
      </c>
      <c r="B5149" s="109">
        <v>44107</v>
      </c>
      <c r="C5149" s="4">
        <v>62</v>
      </c>
      <c r="D5149" s="21">
        <f t="shared" si="446"/>
        <v>5054</v>
      </c>
      <c r="F5149" s="95">
        <f t="shared" si="447"/>
        <v>105</v>
      </c>
    </row>
    <row r="5150" spans="1:6" ht="15.75" thickBot="1" x14ac:dyDescent="0.3">
      <c r="A5150" s="105" t="s">
        <v>18</v>
      </c>
      <c r="B5150" s="109">
        <v>44107</v>
      </c>
      <c r="C5150" s="4">
        <v>517</v>
      </c>
      <c r="D5150" s="21">
        <f t="shared" si="446"/>
        <v>27124</v>
      </c>
      <c r="E5150" s="4">
        <f>12+4</f>
        <v>16</v>
      </c>
      <c r="F5150" s="95">
        <f t="shared" si="447"/>
        <v>304</v>
      </c>
    </row>
    <row r="5151" spans="1:6" ht="15.75" thickBot="1" x14ac:dyDescent="0.3">
      <c r="A5151" s="105" t="s">
        <v>24</v>
      </c>
      <c r="B5151" s="109">
        <v>44107</v>
      </c>
      <c r="C5151" s="4">
        <v>5</v>
      </c>
      <c r="D5151" s="21">
        <f t="shared" si="446"/>
        <v>104</v>
      </c>
      <c r="F5151" s="95">
        <f t="shared" si="447"/>
        <v>4</v>
      </c>
    </row>
    <row r="5152" spans="1:6" ht="15.75" thickBot="1" x14ac:dyDescent="0.3">
      <c r="A5152" s="105" t="s">
        <v>20</v>
      </c>
      <c r="B5152" s="109">
        <v>44107</v>
      </c>
      <c r="C5152" s="4">
        <v>264</v>
      </c>
      <c r="D5152" s="21">
        <f>C5152+D5128</f>
        <v>8613</v>
      </c>
      <c r="E5152" s="4">
        <f>1</f>
        <v>1</v>
      </c>
      <c r="F5152" s="95">
        <f t="shared" si="447"/>
        <v>121</v>
      </c>
    </row>
    <row r="5153" spans="1:6" ht="15.75" thickBot="1" x14ac:dyDescent="0.3">
      <c r="A5153" s="105" t="s">
        <v>19</v>
      </c>
      <c r="B5153" s="109">
        <v>44107</v>
      </c>
      <c r="C5153" s="4">
        <v>330</v>
      </c>
      <c r="D5153" s="21">
        <f>C5153+D5129</f>
        <v>13827</v>
      </c>
      <c r="E5153" s="4">
        <f>2+2</f>
        <v>4</v>
      </c>
      <c r="F5153" s="95">
        <f t="shared" si="447"/>
        <v>307</v>
      </c>
    </row>
    <row r="5154" spans="1:6" ht="15.75" thickBot="1" x14ac:dyDescent="0.3">
      <c r="A5154" s="105" t="s">
        <v>35</v>
      </c>
      <c r="B5154" s="109">
        <v>44107</v>
      </c>
      <c r="C5154" s="4">
        <v>134</v>
      </c>
      <c r="D5154" s="21">
        <f>C5154+D5130</f>
        <v>13235</v>
      </c>
      <c r="E5154" s="4">
        <f>2+1</f>
        <v>3</v>
      </c>
      <c r="F5154" s="95">
        <f>E5154+F5130</f>
        <v>366</v>
      </c>
    </row>
    <row r="5155" spans="1:6" ht="15.75" thickBot="1" x14ac:dyDescent="0.3">
      <c r="A5155" s="105" t="s">
        <v>36</v>
      </c>
      <c r="B5155" s="109">
        <v>44107</v>
      </c>
      <c r="C5155" s="4">
        <v>75</v>
      </c>
      <c r="D5155" s="21">
        <f t="shared" ref="D5155:D5161" si="448">C5155+D5131</f>
        <v>829</v>
      </c>
      <c r="F5155" s="95">
        <f>E5155+F5131</f>
        <v>40</v>
      </c>
    </row>
    <row r="5156" spans="1:6" ht="15.75" thickBot="1" x14ac:dyDescent="0.3">
      <c r="A5156" s="105" t="s">
        <v>37</v>
      </c>
      <c r="B5156" s="109">
        <v>44107</v>
      </c>
      <c r="C5156" s="4">
        <v>11</v>
      </c>
      <c r="D5156" s="21">
        <f t="shared" si="448"/>
        <v>1649</v>
      </c>
      <c r="E5156" s="4">
        <f>7+5</f>
        <v>12</v>
      </c>
      <c r="F5156" s="95">
        <f t="shared" si="447"/>
        <v>19</v>
      </c>
    </row>
    <row r="5157" spans="1:6" ht="15.75" thickBot="1" x14ac:dyDescent="0.3">
      <c r="A5157" s="105" t="s">
        <v>38</v>
      </c>
      <c r="B5157" s="109">
        <v>44107</v>
      </c>
      <c r="C5157" s="4">
        <v>221</v>
      </c>
      <c r="D5157" s="21">
        <f t="shared" si="448"/>
        <v>5344</v>
      </c>
      <c r="F5157" s="95">
        <f>E5157+F5133</f>
        <v>67</v>
      </c>
    </row>
    <row r="5158" spans="1:6" ht="15.75" thickBot="1" x14ac:dyDescent="0.3">
      <c r="A5158" s="105" t="s">
        <v>23</v>
      </c>
      <c r="B5158" s="109">
        <v>44107</v>
      </c>
      <c r="C5158" s="4">
        <v>1450</v>
      </c>
      <c r="D5158" s="21">
        <f t="shared" si="448"/>
        <v>48165</v>
      </c>
      <c r="E5158" s="4">
        <f>7+8</f>
        <v>15</v>
      </c>
      <c r="F5158" s="95">
        <f>E5158+F5134</f>
        <v>506</v>
      </c>
    </row>
    <row r="5159" spans="1:6" ht="15.75" thickBot="1" x14ac:dyDescent="0.3">
      <c r="A5159" s="105" t="s">
        <v>39</v>
      </c>
      <c r="B5159" s="109">
        <v>44107</v>
      </c>
      <c r="C5159" s="4">
        <v>123</v>
      </c>
      <c r="D5159" s="21">
        <f t="shared" si="448"/>
        <v>3844</v>
      </c>
      <c r="E5159" s="4">
        <f>1</f>
        <v>1</v>
      </c>
      <c r="F5159" s="95">
        <f t="shared" si="447"/>
        <v>65</v>
      </c>
    </row>
    <row r="5160" spans="1:6" ht="15.75" thickBot="1" x14ac:dyDescent="0.3">
      <c r="A5160" s="105" t="s">
        <v>40</v>
      </c>
      <c r="B5160" s="109">
        <v>44107</v>
      </c>
      <c r="C5160" s="4">
        <v>188</v>
      </c>
      <c r="D5160" s="21">
        <f t="shared" si="448"/>
        <v>4908</v>
      </c>
      <c r="E5160" s="4">
        <f>1</f>
        <v>1</v>
      </c>
      <c r="F5160" s="95">
        <f t="shared" ref="F5160:F5171" si="449">E5160+F5136</f>
        <v>71</v>
      </c>
    </row>
    <row r="5161" spans="1:6" ht="15.75" thickBot="1" x14ac:dyDescent="0.3">
      <c r="A5161" s="106" t="s">
        <v>41</v>
      </c>
      <c r="B5161" s="109">
        <v>44107</v>
      </c>
      <c r="C5161" s="4">
        <v>412</v>
      </c>
      <c r="D5161" s="98">
        <f t="shared" si="448"/>
        <v>16632</v>
      </c>
      <c r="F5161" s="96">
        <f t="shared" si="449"/>
        <v>140</v>
      </c>
    </row>
    <row r="5162" spans="1:6" ht="15.75" thickBot="1" x14ac:dyDescent="0.3">
      <c r="A5162" s="45" t="s">
        <v>17</v>
      </c>
      <c r="B5162" s="109">
        <v>44108</v>
      </c>
      <c r="C5162" s="4">
        <v>2648</v>
      </c>
      <c r="D5162" s="97">
        <f>C5162+D5138</f>
        <v>435934</v>
      </c>
      <c r="E5162" s="4">
        <v>59</v>
      </c>
      <c r="F5162" s="94">
        <f t="shared" si="449"/>
        <v>13416</v>
      </c>
    </row>
    <row r="5163" spans="1:6" ht="15.75" thickBot="1" x14ac:dyDescent="0.3">
      <c r="A5163" s="105" t="s">
        <v>44</v>
      </c>
      <c r="B5163" s="109">
        <v>44108</v>
      </c>
      <c r="C5163" s="4">
        <v>533</v>
      </c>
      <c r="D5163" s="21">
        <f t="shared" ref="D5163:D5175" si="450">C5163+D5139</f>
        <v>129274</v>
      </c>
      <c r="E5163" s="4">
        <f>30+27</f>
        <v>57</v>
      </c>
      <c r="F5163" s="95">
        <f t="shared" si="449"/>
        <v>3623</v>
      </c>
    </row>
    <row r="5164" spans="1:6" ht="15.75" thickBot="1" x14ac:dyDescent="0.3">
      <c r="A5164" s="105" t="s">
        <v>29</v>
      </c>
      <c r="B5164" s="109">
        <v>44108</v>
      </c>
      <c r="C5164" s="4">
        <v>13</v>
      </c>
      <c r="D5164" s="21">
        <f t="shared" si="450"/>
        <v>318</v>
      </c>
      <c r="F5164" s="95">
        <f t="shared" si="449"/>
        <v>0</v>
      </c>
    </row>
    <row r="5165" spans="1:6" ht="15.75" thickBot="1" x14ac:dyDescent="0.3">
      <c r="A5165" s="105" t="s">
        <v>16</v>
      </c>
      <c r="B5165" s="109">
        <v>44108</v>
      </c>
      <c r="C5165" s="4">
        <v>177</v>
      </c>
      <c r="D5165" s="21">
        <f t="shared" si="450"/>
        <v>9240</v>
      </c>
      <c r="E5165" s="4">
        <f>2</f>
        <v>2</v>
      </c>
      <c r="F5165" s="95">
        <f t="shared" si="449"/>
        <v>300</v>
      </c>
    </row>
    <row r="5166" spans="1:6" ht="15.75" thickBot="1" x14ac:dyDescent="0.3">
      <c r="A5166" s="105" t="s">
        <v>30</v>
      </c>
      <c r="B5166" s="109">
        <v>44108</v>
      </c>
      <c r="C5166" s="4">
        <v>181</v>
      </c>
      <c r="D5166" s="21">
        <f t="shared" si="450"/>
        <v>4687</v>
      </c>
      <c r="F5166" s="95">
        <f t="shared" si="449"/>
        <v>58</v>
      </c>
    </row>
    <row r="5167" spans="1:6" ht="15.75" thickBot="1" x14ac:dyDescent="0.3">
      <c r="A5167" s="105" t="s">
        <v>21</v>
      </c>
      <c r="B5167" s="109">
        <v>44108</v>
      </c>
      <c r="C5167" s="4">
        <v>1154</v>
      </c>
      <c r="D5167" s="21">
        <f t="shared" si="450"/>
        <v>40550</v>
      </c>
      <c r="E5167" s="4">
        <f>9+16</f>
        <v>25</v>
      </c>
      <c r="F5167" s="95">
        <f t="shared" si="449"/>
        <v>472</v>
      </c>
    </row>
    <row r="5168" spans="1:6" ht="15.75" thickBot="1" x14ac:dyDescent="0.3">
      <c r="A5168" s="105" t="s">
        <v>31</v>
      </c>
      <c r="B5168" s="109">
        <v>44108</v>
      </c>
      <c r="C5168" s="4">
        <v>4</v>
      </c>
      <c r="D5168" s="21">
        <f t="shared" si="450"/>
        <v>1174</v>
      </c>
      <c r="F5168" s="95">
        <f t="shared" si="449"/>
        <v>27</v>
      </c>
    </row>
    <row r="5169" spans="1:6" ht="15.75" thickBot="1" x14ac:dyDescent="0.3">
      <c r="A5169" s="105" t="s">
        <v>32</v>
      </c>
      <c r="B5169" s="109">
        <v>44108</v>
      </c>
      <c r="C5169" s="4">
        <v>125</v>
      </c>
      <c r="D5169" s="21">
        <f t="shared" si="450"/>
        <v>8119</v>
      </c>
      <c r="F5169" s="95">
        <f t="shared" si="449"/>
        <v>143</v>
      </c>
    </row>
    <row r="5170" spans="1:6" ht="15.75" thickBot="1" x14ac:dyDescent="0.3">
      <c r="A5170" s="105" t="s">
        <v>42</v>
      </c>
      <c r="B5170" s="109">
        <v>44108</v>
      </c>
      <c r="C5170" s="4">
        <v>0</v>
      </c>
      <c r="D5170" s="21">
        <f t="shared" si="450"/>
        <v>105</v>
      </c>
      <c r="F5170" s="95">
        <f t="shared" si="449"/>
        <v>1</v>
      </c>
    </row>
    <row r="5171" spans="1:6" ht="15.75" thickBot="1" x14ac:dyDescent="0.3">
      <c r="A5171" s="105" t="s">
        <v>33</v>
      </c>
      <c r="B5171" s="109">
        <v>44108</v>
      </c>
      <c r="C5171" s="4">
        <v>37</v>
      </c>
      <c r="D5171" s="21">
        <f t="shared" si="450"/>
        <v>16120</v>
      </c>
      <c r="E5171" s="4">
        <f>16+5</f>
        <v>21</v>
      </c>
      <c r="F5171" s="95">
        <f t="shared" si="449"/>
        <v>560</v>
      </c>
    </row>
    <row r="5172" spans="1:6" ht="15.75" thickBot="1" x14ac:dyDescent="0.3">
      <c r="A5172" s="105" t="s">
        <v>34</v>
      </c>
      <c r="B5172" s="109">
        <v>44108</v>
      </c>
      <c r="C5172" s="4">
        <v>24</v>
      </c>
      <c r="D5172" s="21">
        <f t="shared" si="450"/>
        <v>855</v>
      </c>
      <c r="E5172" s="4">
        <f>2</f>
        <v>2</v>
      </c>
      <c r="F5172" s="95">
        <f t="shared" ref="F5172:F5183" si="451">E5172+F5148</f>
        <v>11</v>
      </c>
    </row>
    <row r="5173" spans="1:6" ht="15.75" thickBot="1" x14ac:dyDescent="0.3">
      <c r="A5173" s="105" t="s">
        <v>22</v>
      </c>
      <c r="B5173" s="109">
        <v>44108</v>
      </c>
      <c r="C5173" s="4">
        <v>62</v>
      </c>
      <c r="D5173" s="21">
        <f t="shared" si="450"/>
        <v>5116</v>
      </c>
      <c r="F5173" s="95">
        <f t="shared" si="451"/>
        <v>105</v>
      </c>
    </row>
    <row r="5174" spans="1:6" ht="15.75" thickBot="1" x14ac:dyDescent="0.3">
      <c r="A5174" s="105" t="s">
        <v>18</v>
      </c>
      <c r="B5174" s="109">
        <v>44108</v>
      </c>
      <c r="C5174" s="4">
        <v>377</v>
      </c>
      <c r="D5174" s="21">
        <f t="shared" si="450"/>
        <v>27501</v>
      </c>
      <c r="E5174" s="4">
        <f>2+4</f>
        <v>6</v>
      </c>
      <c r="F5174" s="95">
        <f t="shared" si="451"/>
        <v>310</v>
      </c>
    </row>
    <row r="5175" spans="1:6" ht="15.75" thickBot="1" x14ac:dyDescent="0.3">
      <c r="A5175" s="105" t="s">
        <v>24</v>
      </c>
      <c r="B5175" s="109">
        <v>44108</v>
      </c>
      <c r="C5175" s="4">
        <v>-1</v>
      </c>
      <c r="D5175" s="21">
        <f t="shared" si="450"/>
        <v>103</v>
      </c>
      <c r="F5175" s="95">
        <f t="shared" si="451"/>
        <v>4</v>
      </c>
    </row>
    <row r="5176" spans="1:6" ht="15.75" thickBot="1" x14ac:dyDescent="0.3">
      <c r="A5176" s="105" t="s">
        <v>20</v>
      </c>
      <c r="B5176" s="109">
        <v>44108</v>
      </c>
      <c r="C5176" s="4">
        <v>266</v>
      </c>
      <c r="D5176" s="21">
        <f>C5176+D5152</f>
        <v>8879</v>
      </c>
      <c r="E5176" s="4">
        <f>1</f>
        <v>1</v>
      </c>
      <c r="F5176" s="95">
        <f t="shared" si="451"/>
        <v>122</v>
      </c>
    </row>
    <row r="5177" spans="1:6" ht="15.75" thickBot="1" x14ac:dyDescent="0.3">
      <c r="A5177" s="105" t="s">
        <v>19</v>
      </c>
      <c r="B5177" s="109">
        <v>44108</v>
      </c>
      <c r="C5177" s="4">
        <v>230</v>
      </c>
      <c r="D5177" s="21">
        <f>C5177+D5153</f>
        <v>14057</v>
      </c>
      <c r="E5177" s="4">
        <f>2+1</f>
        <v>3</v>
      </c>
      <c r="F5177" s="95">
        <f t="shared" si="451"/>
        <v>310</v>
      </c>
    </row>
    <row r="5178" spans="1:6" ht="15.75" thickBot="1" x14ac:dyDescent="0.3">
      <c r="A5178" s="105" t="s">
        <v>35</v>
      </c>
      <c r="B5178" s="109">
        <v>44108</v>
      </c>
      <c r="C5178" s="4">
        <v>288</v>
      </c>
      <c r="D5178" s="21">
        <f>C5178+D5154</f>
        <v>13523</v>
      </c>
      <c r="E5178" s="4">
        <f>10+7</f>
        <v>17</v>
      </c>
      <c r="F5178" s="95">
        <f>E5178+F5154</f>
        <v>383</v>
      </c>
    </row>
    <row r="5179" spans="1:6" ht="15.75" thickBot="1" x14ac:dyDescent="0.3">
      <c r="A5179" s="105" t="s">
        <v>36</v>
      </c>
      <c r="B5179" s="109">
        <v>44108</v>
      </c>
      <c r="C5179" s="4">
        <v>10</v>
      </c>
      <c r="D5179" s="21">
        <f t="shared" ref="D5179:D5185" si="452">C5179+D5155</f>
        <v>839</v>
      </c>
      <c r="E5179" s="4">
        <f>2</f>
        <v>2</v>
      </c>
      <c r="F5179" s="95">
        <f>E5179+F5155</f>
        <v>42</v>
      </c>
    </row>
    <row r="5180" spans="1:6" ht="15.75" thickBot="1" x14ac:dyDescent="0.3">
      <c r="A5180" s="105" t="s">
        <v>37</v>
      </c>
      <c r="B5180" s="109">
        <v>44108</v>
      </c>
      <c r="C5180" s="4">
        <v>51</v>
      </c>
      <c r="D5180" s="21">
        <f t="shared" si="452"/>
        <v>1700</v>
      </c>
      <c r="E5180" s="4">
        <f>4+2</f>
        <v>6</v>
      </c>
      <c r="F5180" s="95">
        <f t="shared" si="451"/>
        <v>25</v>
      </c>
    </row>
    <row r="5181" spans="1:6" ht="15.75" thickBot="1" x14ac:dyDescent="0.3">
      <c r="A5181" s="105" t="s">
        <v>38</v>
      </c>
      <c r="B5181" s="109">
        <v>44108</v>
      </c>
      <c r="C5181" s="4">
        <v>109</v>
      </c>
      <c r="D5181" s="21">
        <f t="shared" si="452"/>
        <v>5453</v>
      </c>
      <c r="E5181" s="4">
        <f>1</f>
        <v>1</v>
      </c>
      <c r="F5181" s="95">
        <f>E5181+F5157</f>
        <v>68</v>
      </c>
    </row>
    <row r="5182" spans="1:6" ht="15.75" thickBot="1" x14ac:dyDescent="0.3">
      <c r="A5182" s="105" t="s">
        <v>23</v>
      </c>
      <c r="B5182" s="109">
        <v>44108</v>
      </c>
      <c r="C5182" s="4">
        <v>851</v>
      </c>
      <c r="D5182" s="21">
        <f t="shared" si="452"/>
        <v>49016</v>
      </c>
      <c r="E5182" s="4">
        <f>6+10</f>
        <v>16</v>
      </c>
      <c r="F5182" s="95">
        <f>E5182+F5158</f>
        <v>522</v>
      </c>
    </row>
    <row r="5183" spans="1:6" ht="15.75" thickBot="1" x14ac:dyDescent="0.3">
      <c r="A5183" s="105" t="s">
        <v>39</v>
      </c>
      <c r="B5183" s="109">
        <v>44108</v>
      </c>
      <c r="C5183" s="4">
        <v>58</v>
      </c>
      <c r="D5183" s="21">
        <f t="shared" si="452"/>
        <v>3902</v>
      </c>
      <c r="E5183" s="4">
        <f>2</f>
        <v>2</v>
      </c>
      <c r="F5183" s="95">
        <f t="shared" si="451"/>
        <v>67</v>
      </c>
    </row>
    <row r="5184" spans="1:6" ht="15.75" thickBot="1" x14ac:dyDescent="0.3">
      <c r="A5184" s="105" t="s">
        <v>40</v>
      </c>
      <c r="B5184" s="109">
        <v>44108</v>
      </c>
      <c r="C5184" s="4">
        <v>135</v>
      </c>
      <c r="D5184" s="21">
        <f t="shared" si="452"/>
        <v>5043</v>
      </c>
      <c r="F5184" s="95">
        <f t="shared" ref="F5184:F5195" si="453">E5184+F5160</f>
        <v>71</v>
      </c>
    </row>
    <row r="5185" spans="1:6" ht="15.75" thickBot="1" x14ac:dyDescent="0.3">
      <c r="A5185" s="106" t="s">
        <v>41</v>
      </c>
      <c r="B5185" s="109">
        <v>44108</v>
      </c>
      <c r="C5185" s="4">
        <v>336</v>
      </c>
      <c r="D5185" s="98">
        <f t="shared" si="452"/>
        <v>16968</v>
      </c>
      <c r="E5185" s="4">
        <f>1+1</f>
        <v>2</v>
      </c>
      <c r="F5185" s="96">
        <f t="shared" si="453"/>
        <v>142</v>
      </c>
    </row>
    <row r="5186" spans="1:6" ht="15.75" thickBot="1" x14ac:dyDescent="0.3">
      <c r="A5186" s="45" t="s">
        <v>17</v>
      </c>
      <c r="B5186" s="109">
        <v>44109</v>
      </c>
      <c r="C5186" s="4">
        <v>4471</v>
      </c>
      <c r="D5186" s="97">
        <f>C5186+D5162</f>
        <v>440405</v>
      </c>
      <c r="E5186" s="4">
        <v>207</v>
      </c>
      <c r="F5186" s="94">
        <f t="shared" si="453"/>
        <v>13623</v>
      </c>
    </row>
    <row r="5187" spans="1:6" ht="15.75" thickBot="1" x14ac:dyDescent="0.3">
      <c r="A5187" s="105" t="s">
        <v>44</v>
      </c>
      <c r="B5187" s="109">
        <v>44109</v>
      </c>
      <c r="C5187" s="4">
        <v>684</v>
      </c>
      <c r="D5187" s="21">
        <f t="shared" ref="D5187:D5199" si="454">C5187+D5163</f>
        <v>129958</v>
      </c>
      <c r="E5187" s="4">
        <v>57</v>
      </c>
      <c r="F5187" s="95">
        <f t="shared" si="453"/>
        <v>3680</v>
      </c>
    </row>
    <row r="5188" spans="1:6" ht="15.75" thickBot="1" x14ac:dyDescent="0.3">
      <c r="A5188" s="105" t="s">
        <v>29</v>
      </c>
      <c r="B5188" s="109">
        <v>44109</v>
      </c>
      <c r="C5188" s="4">
        <v>0</v>
      </c>
      <c r="D5188" s="21">
        <f t="shared" si="454"/>
        <v>318</v>
      </c>
      <c r="F5188" s="95">
        <f t="shared" si="453"/>
        <v>0</v>
      </c>
    </row>
    <row r="5189" spans="1:6" ht="15.75" thickBot="1" x14ac:dyDescent="0.3">
      <c r="A5189" s="105" t="s">
        <v>16</v>
      </c>
      <c r="B5189" s="109">
        <v>44109</v>
      </c>
      <c r="C5189" s="4">
        <v>101</v>
      </c>
      <c r="D5189" s="21">
        <f t="shared" si="454"/>
        <v>9341</v>
      </c>
      <c r="E5189" s="4">
        <v>5</v>
      </c>
      <c r="F5189" s="95">
        <f t="shared" si="453"/>
        <v>305</v>
      </c>
    </row>
    <row r="5190" spans="1:6" ht="15.75" thickBot="1" x14ac:dyDescent="0.3">
      <c r="A5190" s="105" t="s">
        <v>30</v>
      </c>
      <c r="B5190" s="109">
        <v>44109</v>
      </c>
      <c r="C5190" s="4">
        <v>234</v>
      </c>
      <c r="D5190" s="21">
        <f t="shared" si="454"/>
        <v>4921</v>
      </c>
      <c r="E5190" s="4">
        <v>11</v>
      </c>
      <c r="F5190" s="95">
        <f t="shared" si="453"/>
        <v>69</v>
      </c>
    </row>
    <row r="5191" spans="1:6" ht="15.75" thickBot="1" x14ac:dyDescent="0.3">
      <c r="A5191" s="105" t="s">
        <v>21</v>
      </c>
      <c r="B5191" s="109">
        <v>44109</v>
      </c>
      <c r="C5191" s="4">
        <v>1188</v>
      </c>
      <c r="D5191" s="21">
        <f t="shared" si="454"/>
        <v>41738</v>
      </c>
      <c r="E5191" s="4">
        <v>21</v>
      </c>
      <c r="F5191" s="95">
        <f t="shared" si="453"/>
        <v>493</v>
      </c>
    </row>
    <row r="5192" spans="1:6" ht="15.75" thickBot="1" x14ac:dyDescent="0.3">
      <c r="A5192" s="105" t="s">
        <v>31</v>
      </c>
      <c r="B5192" s="109">
        <v>44109</v>
      </c>
      <c r="C5192" s="4">
        <v>110</v>
      </c>
      <c r="D5192" s="21">
        <f t="shared" si="454"/>
        <v>1284</v>
      </c>
      <c r="E5192" s="4">
        <v>1</v>
      </c>
      <c r="F5192" s="95">
        <f t="shared" si="453"/>
        <v>28</v>
      </c>
    </row>
    <row r="5193" spans="1:6" ht="15.75" thickBot="1" x14ac:dyDescent="0.3">
      <c r="A5193" s="105" t="s">
        <v>32</v>
      </c>
      <c r="B5193" s="109">
        <v>44109</v>
      </c>
      <c r="C5193" s="4">
        <v>129</v>
      </c>
      <c r="D5193" s="21">
        <f t="shared" si="454"/>
        <v>8248</v>
      </c>
      <c r="E5193" s="4">
        <v>7</v>
      </c>
      <c r="F5193" s="95">
        <f t="shared" si="453"/>
        <v>150</v>
      </c>
    </row>
    <row r="5194" spans="1:6" ht="15.75" thickBot="1" x14ac:dyDescent="0.3">
      <c r="A5194" s="105" t="s">
        <v>42</v>
      </c>
      <c r="B5194" s="109">
        <v>44109</v>
      </c>
      <c r="C5194" s="4">
        <v>1</v>
      </c>
      <c r="D5194" s="21">
        <f t="shared" si="454"/>
        <v>106</v>
      </c>
      <c r="F5194" s="95">
        <f t="shared" si="453"/>
        <v>1</v>
      </c>
    </row>
    <row r="5195" spans="1:6" ht="15.75" thickBot="1" x14ac:dyDescent="0.3">
      <c r="A5195" s="105" t="s">
        <v>33</v>
      </c>
      <c r="B5195" s="109">
        <v>44109</v>
      </c>
      <c r="C5195" s="4">
        <v>61</v>
      </c>
      <c r="D5195" s="21">
        <f t="shared" si="454"/>
        <v>16181</v>
      </c>
      <c r="E5195" s="4">
        <v>29</v>
      </c>
      <c r="F5195" s="95">
        <f t="shared" si="453"/>
        <v>589</v>
      </c>
    </row>
    <row r="5196" spans="1:6" ht="15.75" thickBot="1" x14ac:dyDescent="0.3">
      <c r="A5196" s="105" t="s">
        <v>34</v>
      </c>
      <c r="B5196" s="109">
        <v>44109</v>
      </c>
      <c r="C5196" s="4">
        <v>16</v>
      </c>
      <c r="D5196" s="21">
        <f t="shared" si="454"/>
        <v>871</v>
      </c>
      <c r="F5196" s="95">
        <f t="shared" ref="F5196:F5207" si="455">E5196+F5172</f>
        <v>11</v>
      </c>
    </row>
    <row r="5197" spans="1:6" ht="15.75" thickBot="1" x14ac:dyDescent="0.3">
      <c r="A5197" s="105" t="s">
        <v>22</v>
      </c>
      <c r="B5197" s="109">
        <v>44109</v>
      </c>
      <c r="C5197" s="4">
        <v>85</v>
      </c>
      <c r="D5197" s="21">
        <f t="shared" si="454"/>
        <v>5201</v>
      </c>
      <c r="F5197" s="95">
        <f t="shared" si="455"/>
        <v>105</v>
      </c>
    </row>
    <row r="5198" spans="1:6" ht="15.75" thickBot="1" x14ac:dyDescent="0.3">
      <c r="A5198" s="105" t="s">
        <v>18</v>
      </c>
      <c r="B5198" s="109">
        <v>44109</v>
      </c>
      <c r="C5198" s="4">
        <v>384</v>
      </c>
      <c r="D5198" s="21">
        <f t="shared" si="454"/>
        <v>27885</v>
      </c>
      <c r="E5198" s="4">
        <v>8</v>
      </c>
      <c r="F5198" s="95">
        <f t="shared" si="455"/>
        <v>318</v>
      </c>
    </row>
    <row r="5199" spans="1:6" ht="15.75" thickBot="1" x14ac:dyDescent="0.3">
      <c r="A5199" s="105" t="s">
        <v>24</v>
      </c>
      <c r="B5199" s="109">
        <v>44109</v>
      </c>
      <c r="C5199" s="4">
        <v>4</v>
      </c>
      <c r="D5199" s="21">
        <f t="shared" si="454"/>
        <v>107</v>
      </c>
      <c r="F5199" s="95">
        <f t="shared" si="455"/>
        <v>4</v>
      </c>
    </row>
    <row r="5200" spans="1:6" ht="15.75" thickBot="1" x14ac:dyDescent="0.3">
      <c r="A5200" s="105" t="s">
        <v>20</v>
      </c>
      <c r="B5200" s="109">
        <v>44109</v>
      </c>
      <c r="C5200" s="4">
        <v>251</v>
      </c>
      <c r="D5200" s="21">
        <f>C5200+D5176</f>
        <v>9130</v>
      </c>
      <c r="F5200" s="95">
        <f t="shared" si="455"/>
        <v>122</v>
      </c>
    </row>
    <row r="5201" spans="1:6" ht="15.75" thickBot="1" x14ac:dyDescent="0.3">
      <c r="A5201" s="105" t="s">
        <v>19</v>
      </c>
      <c r="B5201" s="109">
        <v>44109</v>
      </c>
      <c r="C5201" s="4">
        <v>257</v>
      </c>
      <c r="D5201" s="21">
        <f>C5201+D5177</f>
        <v>14314</v>
      </c>
      <c r="E5201" s="4">
        <v>10</v>
      </c>
      <c r="F5201" s="95">
        <f t="shared" si="455"/>
        <v>320</v>
      </c>
    </row>
    <row r="5202" spans="1:6" ht="15.75" thickBot="1" x14ac:dyDescent="0.3">
      <c r="A5202" s="105" t="s">
        <v>35</v>
      </c>
      <c r="B5202" s="109">
        <v>44109</v>
      </c>
      <c r="C5202" s="4">
        <v>217</v>
      </c>
      <c r="D5202" s="21">
        <f>C5202+D5178</f>
        <v>13740</v>
      </c>
      <c r="E5202" s="4">
        <v>40</v>
      </c>
      <c r="F5202" s="95">
        <f>E5202+F5178</f>
        <v>423</v>
      </c>
    </row>
    <row r="5203" spans="1:6" ht="15.75" thickBot="1" x14ac:dyDescent="0.3">
      <c r="A5203" s="105" t="s">
        <v>36</v>
      </c>
      <c r="B5203" s="109">
        <v>44109</v>
      </c>
      <c r="C5203" s="4">
        <v>84</v>
      </c>
      <c r="D5203" s="21">
        <f t="shared" ref="D5203:D5209" si="456">C5203+D5179</f>
        <v>923</v>
      </c>
      <c r="F5203" s="95">
        <f>E5203+F5179</f>
        <v>42</v>
      </c>
    </row>
    <row r="5204" spans="1:6" ht="15.75" thickBot="1" x14ac:dyDescent="0.3">
      <c r="A5204" s="105" t="s">
        <v>37</v>
      </c>
      <c r="B5204" s="109">
        <v>44109</v>
      </c>
      <c r="C5204" s="4">
        <v>104</v>
      </c>
      <c r="D5204" s="21">
        <f t="shared" si="456"/>
        <v>1804</v>
      </c>
      <c r="E5204" s="4">
        <v>3</v>
      </c>
      <c r="F5204" s="95">
        <f t="shared" si="455"/>
        <v>28</v>
      </c>
    </row>
    <row r="5205" spans="1:6" ht="15.75" thickBot="1" x14ac:dyDescent="0.3">
      <c r="A5205" s="105" t="s">
        <v>38</v>
      </c>
      <c r="B5205" s="109">
        <v>44109</v>
      </c>
      <c r="C5205" s="4">
        <v>110</v>
      </c>
      <c r="D5205" s="21">
        <f t="shared" si="456"/>
        <v>5563</v>
      </c>
      <c r="E5205" s="4">
        <v>3</v>
      </c>
      <c r="F5205" s="95">
        <f>E5205+F5181</f>
        <v>71</v>
      </c>
    </row>
    <row r="5206" spans="1:6" ht="15.75" thickBot="1" x14ac:dyDescent="0.3">
      <c r="A5206" s="105" t="s">
        <v>23</v>
      </c>
      <c r="B5206" s="109">
        <v>44109</v>
      </c>
      <c r="C5206" s="4">
        <v>1670</v>
      </c>
      <c r="D5206" s="21">
        <f t="shared" si="456"/>
        <v>50686</v>
      </c>
      <c r="E5206" s="4">
        <v>34</v>
      </c>
      <c r="F5206" s="95">
        <f>E5206+F5182</f>
        <v>556</v>
      </c>
    </row>
    <row r="5207" spans="1:6" ht="15.75" thickBot="1" x14ac:dyDescent="0.3">
      <c r="A5207" s="105" t="s">
        <v>39</v>
      </c>
      <c r="B5207" s="109">
        <v>44109</v>
      </c>
      <c r="C5207" s="4">
        <v>112</v>
      </c>
      <c r="D5207" s="21">
        <f t="shared" si="456"/>
        <v>4014</v>
      </c>
      <c r="E5207" s="4">
        <v>2</v>
      </c>
      <c r="F5207" s="95">
        <f t="shared" si="455"/>
        <v>69</v>
      </c>
    </row>
    <row r="5208" spans="1:6" ht="15.75" thickBot="1" x14ac:dyDescent="0.3">
      <c r="A5208" s="105" t="s">
        <v>40</v>
      </c>
      <c r="B5208" s="109">
        <v>44109</v>
      </c>
      <c r="C5208" s="4">
        <v>133</v>
      </c>
      <c r="D5208" s="21">
        <f t="shared" si="456"/>
        <v>5176</v>
      </c>
      <c r="E5208" s="4">
        <v>3</v>
      </c>
      <c r="F5208" s="95">
        <f t="shared" ref="F5208:F5219" si="457">E5208+F5184</f>
        <v>74</v>
      </c>
    </row>
    <row r="5209" spans="1:6" ht="15.75" thickBot="1" x14ac:dyDescent="0.3">
      <c r="A5209" s="106" t="s">
        <v>41</v>
      </c>
      <c r="B5209" s="109">
        <v>44109</v>
      </c>
      <c r="C5209" s="4">
        <v>836</v>
      </c>
      <c r="D5209" s="98">
        <f t="shared" si="456"/>
        <v>17804</v>
      </c>
      <c r="E5209" s="4">
        <v>9</v>
      </c>
      <c r="F5209" s="96">
        <f t="shared" si="457"/>
        <v>151</v>
      </c>
    </row>
    <row r="5210" spans="1:6" ht="15.75" thickBot="1" x14ac:dyDescent="0.3">
      <c r="A5210" s="45" t="s">
        <v>17</v>
      </c>
      <c r="B5210" s="109">
        <v>44110</v>
      </c>
      <c r="C5210" s="4">
        <v>5659</v>
      </c>
      <c r="D5210" s="97">
        <f>C5210+D5186</f>
        <v>446064</v>
      </c>
      <c r="E5210" s="4">
        <v>149</v>
      </c>
      <c r="F5210" s="94">
        <f t="shared" si="457"/>
        <v>13772</v>
      </c>
    </row>
    <row r="5211" spans="1:6" ht="15.75" thickBot="1" x14ac:dyDescent="0.3">
      <c r="A5211" s="105" t="s">
        <v>44</v>
      </c>
      <c r="B5211" s="109">
        <v>44110</v>
      </c>
      <c r="C5211" s="4">
        <v>883</v>
      </c>
      <c r="D5211" s="21">
        <f t="shared" ref="D5211:D5223" si="458">C5211+D5187</f>
        <v>130841</v>
      </c>
      <c r="E5211" s="4">
        <v>51</v>
      </c>
      <c r="F5211" s="95">
        <f t="shared" si="457"/>
        <v>3731</v>
      </c>
    </row>
    <row r="5212" spans="1:6" ht="15.75" thickBot="1" x14ac:dyDescent="0.3">
      <c r="A5212" s="105" t="s">
        <v>29</v>
      </c>
      <c r="B5212" s="109">
        <v>44110</v>
      </c>
      <c r="C5212" s="4">
        <v>9</v>
      </c>
      <c r="D5212" s="21">
        <f t="shared" si="458"/>
        <v>327</v>
      </c>
      <c r="F5212" s="95">
        <f t="shared" si="457"/>
        <v>0</v>
      </c>
    </row>
    <row r="5213" spans="1:6" ht="15.75" thickBot="1" x14ac:dyDescent="0.3">
      <c r="A5213" s="105" t="s">
        <v>16</v>
      </c>
      <c r="B5213" s="109">
        <v>44110</v>
      </c>
      <c r="C5213" s="4">
        <v>145</v>
      </c>
      <c r="D5213" s="21">
        <f t="shared" si="458"/>
        <v>9486</v>
      </c>
      <c r="E5213" s="4">
        <v>4</v>
      </c>
      <c r="F5213" s="95">
        <f t="shared" si="457"/>
        <v>309</v>
      </c>
    </row>
    <row r="5214" spans="1:6" ht="15.75" thickBot="1" x14ac:dyDescent="0.3">
      <c r="A5214" s="105" t="s">
        <v>30</v>
      </c>
      <c r="B5214" s="109">
        <v>44110</v>
      </c>
      <c r="C5214" s="4">
        <v>322</v>
      </c>
      <c r="D5214" s="21">
        <f t="shared" si="458"/>
        <v>5243</v>
      </c>
      <c r="F5214" s="95">
        <f t="shared" si="457"/>
        <v>69</v>
      </c>
    </row>
    <row r="5215" spans="1:6" ht="15.75" thickBot="1" x14ac:dyDescent="0.3">
      <c r="A5215" s="105" t="s">
        <v>21</v>
      </c>
      <c r="B5215" s="109">
        <v>44110</v>
      </c>
      <c r="C5215" s="4">
        <v>1455</v>
      </c>
      <c r="D5215" s="21">
        <f t="shared" si="458"/>
        <v>43193</v>
      </c>
      <c r="E5215" s="4">
        <v>21</v>
      </c>
      <c r="F5215" s="95">
        <f t="shared" si="457"/>
        <v>514</v>
      </c>
    </row>
    <row r="5216" spans="1:6" ht="15.75" thickBot="1" x14ac:dyDescent="0.3">
      <c r="A5216" s="105" t="s">
        <v>31</v>
      </c>
      <c r="B5216" s="109">
        <v>44110</v>
      </c>
      <c r="C5216" s="4">
        <v>72</v>
      </c>
      <c r="D5216" s="21">
        <f t="shared" si="458"/>
        <v>1356</v>
      </c>
      <c r="E5216" s="4">
        <v>3</v>
      </c>
      <c r="F5216" s="95">
        <f t="shared" si="457"/>
        <v>31</v>
      </c>
    </row>
    <row r="5217" spans="1:6" ht="15.75" thickBot="1" x14ac:dyDescent="0.3">
      <c r="A5217" s="105" t="s">
        <v>32</v>
      </c>
      <c r="B5217" s="109">
        <v>44110</v>
      </c>
      <c r="C5217" s="4">
        <v>201</v>
      </c>
      <c r="D5217" s="21">
        <f t="shared" si="458"/>
        <v>8449</v>
      </c>
      <c r="E5217" s="4">
        <v>3</v>
      </c>
      <c r="F5217" s="95">
        <f t="shared" si="457"/>
        <v>153</v>
      </c>
    </row>
    <row r="5218" spans="1:6" ht="15.75" thickBot="1" x14ac:dyDescent="0.3">
      <c r="A5218" s="105" t="s">
        <v>42</v>
      </c>
      <c r="B5218" s="109">
        <v>44110</v>
      </c>
      <c r="C5218" s="4">
        <v>0</v>
      </c>
      <c r="D5218" s="21">
        <f t="shared" si="458"/>
        <v>106</v>
      </c>
      <c r="F5218" s="95">
        <f t="shared" si="457"/>
        <v>1</v>
      </c>
    </row>
    <row r="5219" spans="1:6" ht="15.75" thickBot="1" x14ac:dyDescent="0.3">
      <c r="A5219" s="105" t="s">
        <v>33</v>
      </c>
      <c r="B5219" s="109">
        <v>44110</v>
      </c>
      <c r="C5219" s="4">
        <v>109</v>
      </c>
      <c r="D5219" s="21">
        <f t="shared" si="458"/>
        <v>16290</v>
      </c>
      <c r="E5219" s="4">
        <v>19</v>
      </c>
      <c r="F5219" s="95">
        <f t="shared" si="457"/>
        <v>608</v>
      </c>
    </row>
    <row r="5220" spans="1:6" ht="15.75" thickBot="1" x14ac:dyDescent="0.3">
      <c r="A5220" s="105" t="s">
        <v>34</v>
      </c>
      <c r="B5220" s="109">
        <v>44110</v>
      </c>
      <c r="C5220" s="4">
        <v>26</v>
      </c>
      <c r="D5220" s="21">
        <f t="shared" si="458"/>
        <v>897</v>
      </c>
      <c r="F5220" s="95">
        <f t="shared" ref="F5220:F5231" si="459">E5220+F5196</f>
        <v>11</v>
      </c>
    </row>
    <row r="5221" spans="1:6" ht="15.75" thickBot="1" x14ac:dyDescent="0.3">
      <c r="A5221" s="105" t="s">
        <v>22</v>
      </c>
      <c r="B5221" s="109">
        <v>44110</v>
      </c>
      <c r="C5221" s="4">
        <v>110</v>
      </c>
      <c r="D5221" s="21">
        <f t="shared" si="458"/>
        <v>5311</v>
      </c>
      <c r="F5221" s="95">
        <f t="shared" si="459"/>
        <v>105</v>
      </c>
    </row>
    <row r="5222" spans="1:6" ht="15.75" thickBot="1" x14ac:dyDescent="0.3">
      <c r="A5222" s="105" t="s">
        <v>18</v>
      </c>
      <c r="B5222" s="109">
        <v>44110</v>
      </c>
      <c r="C5222" s="4">
        <v>680</v>
      </c>
      <c r="D5222" s="21">
        <f t="shared" si="458"/>
        <v>28565</v>
      </c>
      <c r="E5222" s="4">
        <v>44</v>
      </c>
      <c r="F5222" s="95">
        <f t="shared" si="459"/>
        <v>362</v>
      </c>
    </row>
    <row r="5223" spans="1:6" ht="15.75" thickBot="1" x14ac:dyDescent="0.3">
      <c r="A5223" s="105" t="s">
        <v>24</v>
      </c>
      <c r="B5223" s="109">
        <v>44110</v>
      </c>
      <c r="C5223" s="4">
        <v>11</v>
      </c>
      <c r="D5223" s="21">
        <f t="shared" si="458"/>
        <v>118</v>
      </c>
      <c r="F5223" s="95">
        <f t="shared" si="459"/>
        <v>4</v>
      </c>
    </row>
    <row r="5224" spans="1:6" ht="15.75" thickBot="1" x14ac:dyDescent="0.3">
      <c r="A5224" s="105" t="s">
        <v>20</v>
      </c>
      <c r="B5224" s="109">
        <v>44110</v>
      </c>
      <c r="C5224" s="4">
        <v>356</v>
      </c>
      <c r="D5224" s="21">
        <f>C5224+D5200</f>
        <v>9486</v>
      </c>
      <c r="E5224" s="4">
        <v>1</v>
      </c>
      <c r="F5224" s="95">
        <f t="shared" si="459"/>
        <v>123</v>
      </c>
    </row>
    <row r="5225" spans="1:6" ht="15.75" thickBot="1" x14ac:dyDescent="0.3">
      <c r="A5225" s="105" t="s">
        <v>19</v>
      </c>
      <c r="B5225" s="109">
        <v>44110</v>
      </c>
      <c r="C5225" s="4">
        <v>338</v>
      </c>
      <c r="D5225" s="21">
        <f>C5225+D5201</f>
        <v>14652</v>
      </c>
      <c r="E5225" s="4">
        <v>11</v>
      </c>
      <c r="F5225" s="95">
        <f t="shared" si="459"/>
        <v>331</v>
      </c>
    </row>
    <row r="5226" spans="1:6" ht="15.75" thickBot="1" x14ac:dyDescent="0.3">
      <c r="A5226" s="105" t="s">
        <v>35</v>
      </c>
      <c r="B5226" s="109">
        <v>44110</v>
      </c>
      <c r="C5226" s="4">
        <v>222</v>
      </c>
      <c r="D5226" s="21">
        <f>C5226+D5202</f>
        <v>13962</v>
      </c>
      <c r="E5226" s="4">
        <v>11</v>
      </c>
      <c r="F5226" s="95">
        <f>E5226+F5202</f>
        <v>434</v>
      </c>
    </row>
    <row r="5227" spans="1:6" ht="15.75" thickBot="1" x14ac:dyDescent="0.3">
      <c r="A5227" s="105" t="s">
        <v>36</v>
      </c>
      <c r="B5227" s="109">
        <v>44110</v>
      </c>
      <c r="C5227" s="4">
        <v>64</v>
      </c>
      <c r="D5227" s="21">
        <f t="shared" ref="D5227:D5233" si="460">C5227+D5203</f>
        <v>987</v>
      </c>
      <c r="F5227" s="95">
        <f>E5227+F5203</f>
        <v>42</v>
      </c>
    </row>
    <row r="5228" spans="1:6" ht="15.75" thickBot="1" x14ac:dyDescent="0.3">
      <c r="A5228" s="105" t="s">
        <v>37</v>
      </c>
      <c r="B5228" s="109">
        <v>44110</v>
      </c>
      <c r="C5228" s="4">
        <v>61</v>
      </c>
      <c r="D5228" s="21">
        <f t="shared" si="460"/>
        <v>1865</v>
      </c>
      <c r="E5228" s="4">
        <v>3</v>
      </c>
      <c r="F5228" s="95">
        <f t="shared" si="459"/>
        <v>31</v>
      </c>
    </row>
    <row r="5229" spans="1:6" ht="15.75" thickBot="1" x14ac:dyDescent="0.3">
      <c r="A5229" s="105" t="s">
        <v>38</v>
      </c>
      <c r="B5229" s="109">
        <v>44110</v>
      </c>
      <c r="C5229" s="4">
        <v>55</v>
      </c>
      <c r="D5229" s="21">
        <f t="shared" si="460"/>
        <v>5618</v>
      </c>
      <c r="E5229" s="4">
        <v>1</v>
      </c>
      <c r="F5229" s="95">
        <f>E5229+F5205</f>
        <v>72</v>
      </c>
    </row>
    <row r="5230" spans="1:6" ht="15.75" thickBot="1" x14ac:dyDescent="0.3">
      <c r="A5230" s="105" t="s">
        <v>23</v>
      </c>
      <c r="B5230" s="109">
        <v>44110</v>
      </c>
      <c r="C5230" s="4">
        <v>2209</v>
      </c>
      <c r="D5230" s="21">
        <f t="shared" si="460"/>
        <v>52895</v>
      </c>
      <c r="E5230" s="4">
        <v>16</v>
      </c>
      <c r="F5230" s="95">
        <f>E5230+F5206</f>
        <v>572</v>
      </c>
    </row>
    <row r="5231" spans="1:6" ht="15.75" thickBot="1" x14ac:dyDescent="0.3">
      <c r="A5231" s="105" t="s">
        <v>39</v>
      </c>
      <c r="B5231" s="109">
        <v>44110</v>
      </c>
      <c r="C5231" s="4">
        <v>154</v>
      </c>
      <c r="D5231" s="21">
        <f t="shared" si="460"/>
        <v>4168</v>
      </c>
      <c r="E5231" s="4">
        <v>4</v>
      </c>
      <c r="F5231" s="95">
        <f t="shared" si="459"/>
        <v>73</v>
      </c>
    </row>
    <row r="5232" spans="1:6" ht="15.75" thickBot="1" x14ac:dyDescent="0.3">
      <c r="A5232" s="105" t="s">
        <v>40</v>
      </c>
      <c r="B5232" s="109">
        <v>44110</v>
      </c>
      <c r="C5232" s="4">
        <v>244</v>
      </c>
      <c r="D5232" s="21">
        <f t="shared" si="460"/>
        <v>5420</v>
      </c>
      <c r="E5232" s="4">
        <v>1</v>
      </c>
      <c r="F5232" s="95">
        <f t="shared" ref="F5232:F5243" si="461">E5232+F5208</f>
        <v>75</v>
      </c>
    </row>
    <row r="5233" spans="1:6" ht="15.75" thickBot="1" x14ac:dyDescent="0.3">
      <c r="A5233" s="106" t="s">
        <v>41</v>
      </c>
      <c r="B5233" s="109">
        <v>44110</v>
      </c>
      <c r="C5233" s="4">
        <v>1356</v>
      </c>
      <c r="D5233" s="98">
        <f t="shared" si="460"/>
        <v>19160</v>
      </c>
      <c r="E5233" s="4">
        <v>17</v>
      </c>
      <c r="F5233" s="96">
        <f t="shared" si="461"/>
        <v>168</v>
      </c>
    </row>
    <row r="5234" spans="1:6" ht="15.75" thickBot="1" x14ac:dyDescent="0.3">
      <c r="A5234" s="45" t="s">
        <v>17</v>
      </c>
      <c r="B5234" s="109">
        <v>44111</v>
      </c>
      <c r="C5234" s="4">
        <v>5222</v>
      </c>
      <c r="D5234" s="97">
        <f>C5234+D5210</f>
        <v>451286</v>
      </c>
      <c r="E5234" s="4">
        <v>187</v>
      </c>
      <c r="F5234" s="94">
        <f t="shared" si="461"/>
        <v>13959</v>
      </c>
    </row>
    <row r="5235" spans="1:6" ht="15.75" thickBot="1" x14ac:dyDescent="0.3">
      <c r="A5235" s="105" t="s">
        <v>44</v>
      </c>
      <c r="B5235" s="109">
        <v>44111</v>
      </c>
      <c r="C5235" s="4">
        <v>956</v>
      </c>
      <c r="D5235" s="21">
        <f t="shared" ref="D5235:D5247" si="462">C5235+D5211</f>
        <v>131797</v>
      </c>
      <c r="E5235" s="4">
        <v>63</v>
      </c>
      <c r="F5235" s="95">
        <f t="shared" si="461"/>
        <v>3794</v>
      </c>
    </row>
    <row r="5236" spans="1:6" ht="15.75" thickBot="1" x14ac:dyDescent="0.3">
      <c r="A5236" s="105" t="s">
        <v>29</v>
      </c>
      <c r="B5236" s="109">
        <v>44111</v>
      </c>
      <c r="C5236" s="4">
        <v>8</v>
      </c>
      <c r="D5236" s="21">
        <f t="shared" si="462"/>
        <v>335</v>
      </c>
      <c r="F5236" s="95">
        <f t="shared" si="461"/>
        <v>0</v>
      </c>
    </row>
    <row r="5237" spans="1:6" ht="15.75" thickBot="1" x14ac:dyDescent="0.3">
      <c r="A5237" s="105" t="s">
        <v>16</v>
      </c>
      <c r="B5237" s="109">
        <v>44111</v>
      </c>
      <c r="C5237" s="4">
        <v>207</v>
      </c>
      <c r="D5237" s="21">
        <f t="shared" si="462"/>
        <v>9693</v>
      </c>
      <c r="E5237" s="4">
        <v>5</v>
      </c>
      <c r="F5237" s="95">
        <f t="shared" si="461"/>
        <v>314</v>
      </c>
    </row>
    <row r="5238" spans="1:6" ht="15.75" thickBot="1" x14ac:dyDescent="0.3">
      <c r="A5238" s="105" t="s">
        <v>30</v>
      </c>
      <c r="B5238" s="109">
        <v>44111</v>
      </c>
      <c r="C5238" s="4">
        <v>381</v>
      </c>
      <c r="D5238" s="21">
        <f t="shared" si="462"/>
        <v>5624</v>
      </c>
      <c r="E5238" s="4">
        <v>5</v>
      </c>
      <c r="F5238" s="95">
        <f t="shared" si="461"/>
        <v>74</v>
      </c>
    </row>
    <row r="5239" spans="1:6" ht="15.75" thickBot="1" x14ac:dyDescent="0.3">
      <c r="A5239" s="105" t="s">
        <v>21</v>
      </c>
      <c r="B5239" s="109">
        <v>44111</v>
      </c>
      <c r="C5239" s="4">
        <v>1749</v>
      </c>
      <c r="D5239" s="21">
        <f t="shared" si="462"/>
        <v>44942</v>
      </c>
      <c r="E5239" s="4">
        <v>10</v>
      </c>
      <c r="F5239" s="95">
        <f t="shared" si="461"/>
        <v>524</v>
      </c>
    </row>
    <row r="5240" spans="1:6" ht="15.75" thickBot="1" x14ac:dyDescent="0.3">
      <c r="A5240" s="105" t="s">
        <v>31</v>
      </c>
      <c r="B5240" s="109">
        <v>44111</v>
      </c>
      <c r="C5240" s="4">
        <v>5</v>
      </c>
      <c r="D5240" s="21">
        <f t="shared" si="462"/>
        <v>1361</v>
      </c>
      <c r="F5240" s="95">
        <f t="shared" si="461"/>
        <v>31</v>
      </c>
    </row>
    <row r="5241" spans="1:6" ht="15.75" thickBot="1" x14ac:dyDescent="0.3">
      <c r="A5241" s="105" t="s">
        <v>32</v>
      </c>
      <c r="B5241" s="109">
        <v>44111</v>
      </c>
      <c r="C5241" s="4">
        <v>170</v>
      </c>
      <c r="D5241" s="21">
        <f t="shared" si="462"/>
        <v>8619</v>
      </c>
      <c r="E5241" s="4">
        <v>7</v>
      </c>
      <c r="F5241" s="95">
        <f t="shared" si="461"/>
        <v>160</v>
      </c>
    </row>
    <row r="5242" spans="1:6" ht="15.75" thickBot="1" x14ac:dyDescent="0.3">
      <c r="A5242" s="105" t="s">
        <v>42</v>
      </c>
      <c r="B5242" s="109">
        <v>44111</v>
      </c>
      <c r="C5242" s="4">
        <v>-1</v>
      </c>
      <c r="D5242" s="21">
        <f t="shared" si="462"/>
        <v>105</v>
      </c>
      <c r="F5242" s="95">
        <f t="shared" si="461"/>
        <v>1</v>
      </c>
    </row>
    <row r="5243" spans="1:6" ht="15.75" thickBot="1" x14ac:dyDescent="0.3">
      <c r="A5243" s="105" t="s">
        <v>33</v>
      </c>
      <c r="B5243" s="109">
        <v>44111</v>
      </c>
      <c r="C5243" s="4">
        <v>65</v>
      </c>
      <c r="D5243" s="21">
        <f t="shared" si="462"/>
        <v>16355</v>
      </c>
      <c r="F5243" s="95">
        <f t="shared" si="461"/>
        <v>608</v>
      </c>
    </row>
    <row r="5244" spans="1:6" ht="15.75" thickBot="1" x14ac:dyDescent="0.3">
      <c r="A5244" s="105" t="s">
        <v>34</v>
      </c>
      <c r="B5244" s="109">
        <v>44111</v>
      </c>
      <c r="C5244" s="4">
        <v>33</v>
      </c>
      <c r="D5244" s="21">
        <f t="shared" si="462"/>
        <v>930</v>
      </c>
      <c r="F5244" s="95">
        <f t="shared" ref="F5244:F5255" si="463">E5244+F5220</f>
        <v>11</v>
      </c>
    </row>
    <row r="5245" spans="1:6" ht="15.75" thickBot="1" x14ac:dyDescent="0.3">
      <c r="A5245" s="105" t="s">
        <v>22</v>
      </c>
      <c r="B5245" s="109">
        <v>44111</v>
      </c>
      <c r="C5245" s="4">
        <v>119</v>
      </c>
      <c r="D5245" s="21">
        <f t="shared" si="462"/>
        <v>5430</v>
      </c>
      <c r="E5245" s="4">
        <v>25</v>
      </c>
      <c r="F5245" s="95">
        <f t="shared" si="463"/>
        <v>130</v>
      </c>
    </row>
    <row r="5246" spans="1:6" ht="15.75" thickBot="1" x14ac:dyDescent="0.3">
      <c r="A5246" s="105" t="s">
        <v>18</v>
      </c>
      <c r="B5246" s="109">
        <v>44111</v>
      </c>
      <c r="C5246" s="4">
        <v>771</v>
      </c>
      <c r="D5246" s="21">
        <f t="shared" si="462"/>
        <v>29336</v>
      </c>
      <c r="E5246" s="4">
        <v>36</v>
      </c>
      <c r="F5246" s="95">
        <f t="shared" si="463"/>
        <v>398</v>
      </c>
    </row>
    <row r="5247" spans="1:6" ht="15.75" thickBot="1" x14ac:dyDescent="0.3">
      <c r="A5247" s="105" t="s">
        <v>24</v>
      </c>
      <c r="B5247" s="109">
        <v>44111</v>
      </c>
      <c r="C5247" s="4">
        <v>7</v>
      </c>
      <c r="D5247" s="21">
        <f t="shared" si="462"/>
        <v>125</v>
      </c>
      <c r="F5247" s="95">
        <f t="shared" si="463"/>
        <v>4</v>
      </c>
    </row>
    <row r="5248" spans="1:6" ht="15.75" thickBot="1" x14ac:dyDescent="0.3">
      <c r="A5248" s="105" t="s">
        <v>20</v>
      </c>
      <c r="B5248" s="109">
        <v>44111</v>
      </c>
      <c r="C5248" s="4">
        <v>1204</v>
      </c>
      <c r="D5248" s="21">
        <f>C5248+D5224</f>
        <v>10690</v>
      </c>
      <c r="E5248" s="4">
        <v>1</v>
      </c>
      <c r="F5248" s="95">
        <f t="shared" si="463"/>
        <v>124</v>
      </c>
    </row>
    <row r="5249" spans="1:6" ht="15.75" thickBot="1" x14ac:dyDescent="0.3">
      <c r="A5249" s="105" t="s">
        <v>19</v>
      </c>
      <c r="B5249" s="109">
        <v>44111</v>
      </c>
      <c r="C5249" s="4">
        <v>339</v>
      </c>
      <c r="D5249" s="21">
        <f>C5249+D5225</f>
        <v>14991</v>
      </c>
      <c r="E5249" s="4">
        <v>6</v>
      </c>
      <c r="F5249" s="95">
        <f t="shared" si="463"/>
        <v>337</v>
      </c>
    </row>
    <row r="5250" spans="1:6" ht="15.75" thickBot="1" x14ac:dyDescent="0.3">
      <c r="A5250" s="105" t="s">
        <v>35</v>
      </c>
      <c r="B5250" s="109">
        <v>44111</v>
      </c>
      <c r="C5250" s="4">
        <v>289</v>
      </c>
      <c r="D5250" s="21">
        <f>C5250+D5226</f>
        <v>14251</v>
      </c>
      <c r="E5250" s="4">
        <v>18</v>
      </c>
      <c r="F5250" s="95">
        <f>E5250+F5226</f>
        <v>452</v>
      </c>
    </row>
    <row r="5251" spans="1:6" ht="15.75" thickBot="1" x14ac:dyDescent="0.3">
      <c r="A5251" s="105" t="s">
        <v>36</v>
      </c>
      <c r="B5251" s="109">
        <v>44111</v>
      </c>
      <c r="C5251" s="4">
        <v>6</v>
      </c>
      <c r="D5251" s="21">
        <f t="shared" ref="D5251:D5257" si="464">C5251+D5227</f>
        <v>993</v>
      </c>
      <c r="F5251" s="95">
        <f>E5251+F5227</f>
        <v>42</v>
      </c>
    </row>
    <row r="5252" spans="1:6" ht="15.75" thickBot="1" x14ac:dyDescent="0.3">
      <c r="A5252" s="105" t="s">
        <v>37</v>
      </c>
      <c r="B5252" s="109">
        <v>44111</v>
      </c>
      <c r="C5252" s="4">
        <v>125</v>
      </c>
      <c r="D5252" s="21">
        <f t="shared" si="464"/>
        <v>1990</v>
      </c>
      <c r="F5252" s="95">
        <f t="shared" si="463"/>
        <v>31</v>
      </c>
    </row>
    <row r="5253" spans="1:6" ht="15.75" thickBot="1" x14ac:dyDescent="0.3">
      <c r="A5253" s="105" t="s">
        <v>38</v>
      </c>
      <c r="B5253" s="109">
        <v>44111</v>
      </c>
      <c r="C5253" s="4">
        <v>162</v>
      </c>
      <c r="D5253" s="21">
        <f t="shared" si="464"/>
        <v>5780</v>
      </c>
      <c r="E5253" s="4">
        <v>2</v>
      </c>
      <c r="F5253" s="95">
        <f>E5253+F5229</f>
        <v>74</v>
      </c>
    </row>
    <row r="5254" spans="1:6" ht="15.75" thickBot="1" x14ac:dyDescent="0.3">
      <c r="A5254" s="105" t="s">
        <v>23</v>
      </c>
      <c r="B5254" s="109">
        <v>44111</v>
      </c>
      <c r="C5254" s="4">
        <v>2137</v>
      </c>
      <c r="D5254" s="21">
        <f t="shared" si="464"/>
        <v>55032</v>
      </c>
      <c r="E5254" s="4">
        <v>17</v>
      </c>
      <c r="F5254" s="95">
        <f>E5254+F5230</f>
        <v>589</v>
      </c>
    </row>
    <row r="5255" spans="1:6" ht="15.75" thickBot="1" x14ac:dyDescent="0.3">
      <c r="A5255" s="105" t="s">
        <v>39</v>
      </c>
      <c r="B5255" s="109">
        <v>44111</v>
      </c>
      <c r="C5255" s="4">
        <v>60</v>
      </c>
      <c r="D5255" s="21">
        <f t="shared" si="464"/>
        <v>4228</v>
      </c>
      <c r="E5255" s="4">
        <v>5</v>
      </c>
      <c r="F5255" s="95">
        <f t="shared" si="463"/>
        <v>78</v>
      </c>
    </row>
    <row r="5256" spans="1:6" ht="15.75" thickBot="1" x14ac:dyDescent="0.3">
      <c r="A5256" s="105" t="s">
        <v>40</v>
      </c>
      <c r="B5256" s="109">
        <v>44111</v>
      </c>
      <c r="C5256" s="4">
        <v>216</v>
      </c>
      <c r="D5256" s="21">
        <f t="shared" si="464"/>
        <v>5636</v>
      </c>
      <c r="E5256" s="4">
        <v>6</v>
      </c>
      <c r="F5256" s="95">
        <f t="shared" ref="F5256:F5267" si="465">E5256+F5232</f>
        <v>81</v>
      </c>
    </row>
    <row r="5257" spans="1:6" ht="15.75" thickBot="1" x14ac:dyDescent="0.3">
      <c r="A5257" s="106" t="s">
        <v>41</v>
      </c>
      <c r="B5257" s="109">
        <v>44111</v>
      </c>
      <c r="C5257" s="4">
        <v>2217</v>
      </c>
      <c r="D5257" s="98">
        <f t="shared" si="464"/>
        <v>21377</v>
      </c>
      <c r="E5257" s="4">
        <v>8</v>
      </c>
      <c r="F5257" s="96">
        <f t="shared" si="465"/>
        <v>176</v>
      </c>
    </row>
    <row r="5258" spans="1:6" ht="15.75" thickBot="1" x14ac:dyDescent="0.3">
      <c r="A5258" s="45" t="s">
        <v>17</v>
      </c>
      <c r="B5258" s="109">
        <v>44112</v>
      </c>
      <c r="C5258" s="4">
        <v>5184</v>
      </c>
      <c r="D5258" s="97">
        <f>C5258+D5234</f>
        <v>456470</v>
      </c>
      <c r="E5258" s="4">
        <v>186</v>
      </c>
      <c r="F5258" s="94">
        <f t="shared" si="465"/>
        <v>14145</v>
      </c>
    </row>
    <row r="5259" spans="1:6" ht="15.75" thickBot="1" x14ac:dyDescent="0.3">
      <c r="A5259" s="105" t="s">
        <v>44</v>
      </c>
      <c r="B5259" s="109">
        <v>44112</v>
      </c>
      <c r="C5259" s="4">
        <v>937</v>
      </c>
      <c r="D5259" s="21">
        <f t="shared" ref="D5259:D5271" si="466">C5259+D5235</f>
        <v>132734</v>
      </c>
      <c r="E5259" s="4">
        <v>67</v>
      </c>
      <c r="F5259" s="95">
        <f t="shared" si="465"/>
        <v>3861</v>
      </c>
    </row>
    <row r="5260" spans="1:6" ht="15.75" thickBot="1" x14ac:dyDescent="0.3">
      <c r="A5260" s="105" t="s">
        <v>29</v>
      </c>
      <c r="B5260" s="109">
        <v>44112</v>
      </c>
      <c r="C5260" s="4">
        <v>18</v>
      </c>
      <c r="D5260" s="21">
        <f t="shared" si="466"/>
        <v>353</v>
      </c>
      <c r="F5260" s="95">
        <f t="shared" si="465"/>
        <v>0</v>
      </c>
    </row>
    <row r="5261" spans="1:6" ht="15.75" thickBot="1" x14ac:dyDescent="0.3">
      <c r="A5261" s="105" t="s">
        <v>16</v>
      </c>
      <c r="B5261" s="109">
        <v>44112</v>
      </c>
      <c r="C5261" s="4">
        <v>156</v>
      </c>
      <c r="D5261" s="21">
        <f t="shared" si="466"/>
        <v>9849</v>
      </c>
      <c r="E5261" s="4">
        <v>4</v>
      </c>
      <c r="F5261" s="95">
        <f t="shared" si="465"/>
        <v>318</v>
      </c>
    </row>
    <row r="5262" spans="1:6" ht="15.75" thickBot="1" x14ac:dyDescent="0.3">
      <c r="A5262" s="105" t="s">
        <v>30</v>
      </c>
      <c r="B5262" s="109">
        <v>44112</v>
      </c>
      <c r="C5262" s="4">
        <v>312</v>
      </c>
      <c r="D5262" s="21">
        <f t="shared" si="466"/>
        <v>5936</v>
      </c>
      <c r="E5262" s="4">
        <v>2</v>
      </c>
      <c r="F5262" s="95">
        <f t="shared" si="465"/>
        <v>76</v>
      </c>
    </row>
    <row r="5263" spans="1:6" ht="15.75" thickBot="1" x14ac:dyDescent="0.3">
      <c r="A5263" s="105" t="s">
        <v>21</v>
      </c>
      <c r="B5263" s="109">
        <v>44112</v>
      </c>
      <c r="C5263" s="4">
        <v>2090</v>
      </c>
      <c r="D5263" s="21">
        <f t="shared" si="466"/>
        <v>47032</v>
      </c>
      <c r="E5263" s="4">
        <v>18</v>
      </c>
      <c r="F5263" s="95">
        <f t="shared" si="465"/>
        <v>542</v>
      </c>
    </row>
    <row r="5264" spans="1:6" ht="15.75" thickBot="1" x14ac:dyDescent="0.3">
      <c r="A5264" s="105" t="s">
        <v>31</v>
      </c>
      <c r="B5264" s="109">
        <v>44112</v>
      </c>
      <c r="C5264" s="4">
        <v>51</v>
      </c>
      <c r="D5264" s="21">
        <f t="shared" si="466"/>
        <v>1412</v>
      </c>
      <c r="F5264" s="95">
        <f t="shared" si="465"/>
        <v>31</v>
      </c>
    </row>
    <row r="5265" spans="1:6" ht="15.75" thickBot="1" x14ac:dyDescent="0.3">
      <c r="A5265" s="105" t="s">
        <v>32</v>
      </c>
      <c r="B5265" s="109">
        <v>44112</v>
      </c>
      <c r="C5265" s="4">
        <v>220</v>
      </c>
      <c r="D5265" s="21">
        <f t="shared" si="466"/>
        <v>8839</v>
      </c>
      <c r="E5265" s="4">
        <v>6</v>
      </c>
      <c r="F5265" s="95">
        <f t="shared" si="465"/>
        <v>166</v>
      </c>
    </row>
    <row r="5266" spans="1:6" ht="15.75" thickBot="1" x14ac:dyDescent="0.3">
      <c r="A5266" s="105" t="s">
        <v>42</v>
      </c>
      <c r="B5266" s="109">
        <v>44112</v>
      </c>
      <c r="C5266" s="4">
        <v>5</v>
      </c>
      <c r="D5266" s="21">
        <f t="shared" si="466"/>
        <v>110</v>
      </c>
      <c r="F5266" s="95">
        <f t="shared" si="465"/>
        <v>1</v>
      </c>
    </row>
    <row r="5267" spans="1:6" ht="15.75" thickBot="1" x14ac:dyDescent="0.3">
      <c r="A5267" s="105" t="s">
        <v>33</v>
      </c>
      <c r="B5267" s="109">
        <v>44112</v>
      </c>
      <c r="C5267" s="4">
        <v>119</v>
      </c>
      <c r="D5267" s="21">
        <f t="shared" si="466"/>
        <v>16474</v>
      </c>
      <c r="E5267" s="4">
        <v>19</v>
      </c>
      <c r="F5267" s="95">
        <f t="shared" si="465"/>
        <v>627</v>
      </c>
    </row>
    <row r="5268" spans="1:6" ht="15.75" thickBot="1" x14ac:dyDescent="0.3">
      <c r="A5268" s="105" t="s">
        <v>34</v>
      </c>
      <c r="B5268" s="109">
        <v>44112</v>
      </c>
      <c r="C5268" s="4">
        <v>24</v>
      </c>
      <c r="D5268" s="21">
        <f t="shared" si="466"/>
        <v>954</v>
      </c>
      <c r="E5268" s="4">
        <v>1</v>
      </c>
      <c r="F5268" s="95">
        <f t="shared" ref="F5268:F5279" si="467">E5268+F5244</f>
        <v>12</v>
      </c>
    </row>
    <row r="5269" spans="1:6" ht="15.75" thickBot="1" x14ac:dyDescent="0.3">
      <c r="A5269" s="105" t="s">
        <v>22</v>
      </c>
      <c r="B5269" s="109">
        <v>44112</v>
      </c>
      <c r="C5269" s="4">
        <v>117</v>
      </c>
      <c r="D5269" s="21">
        <f t="shared" si="466"/>
        <v>5547</v>
      </c>
      <c r="E5269" s="4">
        <v>30</v>
      </c>
      <c r="F5269" s="95">
        <f t="shared" si="467"/>
        <v>160</v>
      </c>
    </row>
    <row r="5270" spans="1:6" ht="15.75" thickBot="1" x14ac:dyDescent="0.3">
      <c r="A5270" s="105" t="s">
        <v>18</v>
      </c>
      <c r="B5270" s="109">
        <v>44112</v>
      </c>
      <c r="C5270" s="4">
        <v>697</v>
      </c>
      <c r="D5270" s="21">
        <f t="shared" si="466"/>
        <v>30033</v>
      </c>
      <c r="E5270" s="4">
        <v>10</v>
      </c>
      <c r="F5270" s="95">
        <f t="shared" si="467"/>
        <v>408</v>
      </c>
    </row>
    <row r="5271" spans="1:6" ht="15.75" thickBot="1" x14ac:dyDescent="0.3">
      <c r="A5271" s="105" t="s">
        <v>24</v>
      </c>
      <c r="B5271" s="109">
        <v>44112</v>
      </c>
      <c r="C5271" s="4">
        <v>15</v>
      </c>
      <c r="D5271" s="21">
        <f t="shared" si="466"/>
        <v>140</v>
      </c>
      <c r="E5271" s="4">
        <v>0</v>
      </c>
      <c r="F5271" s="95">
        <f t="shared" si="467"/>
        <v>4</v>
      </c>
    </row>
    <row r="5272" spans="1:6" ht="15.75" thickBot="1" x14ac:dyDescent="0.3">
      <c r="A5272" s="105" t="s">
        <v>20</v>
      </c>
      <c r="B5272" s="109">
        <v>44112</v>
      </c>
      <c r="C5272" s="4">
        <v>409</v>
      </c>
      <c r="D5272" s="21">
        <f>C5272+D5248</f>
        <v>11099</v>
      </c>
      <c r="E5272" s="4">
        <v>1</v>
      </c>
      <c r="F5272" s="95">
        <f t="shared" si="467"/>
        <v>125</v>
      </c>
    </row>
    <row r="5273" spans="1:6" ht="15.75" thickBot="1" x14ac:dyDescent="0.3">
      <c r="A5273" s="105" t="s">
        <v>19</v>
      </c>
      <c r="B5273" s="109">
        <v>44112</v>
      </c>
      <c r="C5273" s="4">
        <v>356</v>
      </c>
      <c r="D5273" s="21">
        <f>C5273+D5249</f>
        <v>15347</v>
      </c>
      <c r="E5273" s="4">
        <v>7</v>
      </c>
      <c r="F5273" s="95">
        <f t="shared" si="467"/>
        <v>344</v>
      </c>
    </row>
    <row r="5274" spans="1:6" ht="15.75" thickBot="1" x14ac:dyDescent="0.3">
      <c r="A5274" s="105" t="s">
        <v>35</v>
      </c>
      <c r="B5274" s="109">
        <v>44112</v>
      </c>
      <c r="C5274" s="4">
        <v>265</v>
      </c>
      <c r="D5274" s="21">
        <f>C5274+D5250</f>
        <v>14516</v>
      </c>
      <c r="E5274" s="4">
        <v>11</v>
      </c>
      <c r="F5274" s="95">
        <f>E5274+F5250</f>
        <v>463</v>
      </c>
    </row>
    <row r="5275" spans="1:6" ht="15.75" thickBot="1" x14ac:dyDescent="0.3">
      <c r="A5275" s="105" t="s">
        <v>36</v>
      </c>
      <c r="B5275" s="109">
        <v>44112</v>
      </c>
      <c r="C5275" s="4">
        <v>112</v>
      </c>
      <c r="D5275" s="21">
        <f t="shared" ref="D5275:D5281" si="468">C5275+D5251</f>
        <v>1105</v>
      </c>
      <c r="F5275" s="95">
        <f>E5275+F5251</f>
        <v>42</v>
      </c>
    </row>
    <row r="5276" spans="1:6" ht="15.75" thickBot="1" x14ac:dyDescent="0.3">
      <c r="A5276" s="105" t="s">
        <v>37</v>
      </c>
      <c r="B5276" s="109">
        <v>44112</v>
      </c>
      <c r="C5276" s="4">
        <v>112</v>
      </c>
      <c r="D5276" s="21">
        <f t="shared" si="468"/>
        <v>2102</v>
      </c>
      <c r="E5276" s="4">
        <v>2</v>
      </c>
      <c r="F5276" s="95">
        <f t="shared" si="467"/>
        <v>33</v>
      </c>
    </row>
    <row r="5277" spans="1:6" ht="15.75" thickBot="1" x14ac:dyDescent="0.3">
      <c r="A5277" s="105" t="s">
        <v>38</v>
      </c>
      <c r="B5277" s="109">
        <v>44112</v>
      </c>
      <c r="C5277" s="4">
        <v>89</v>
      </c>
      <c r="D5277" s="21">
        <f t="shared" si="468"/>
        <v>5869</v>
      </c>
      <c r="E5277" s="4">
        <v>2</v>
      </c>
      <c r="F5277" s="95">
        <f>E5277+F5253</f>
        <v>76</v>
      </c>
    </row>
    <row r="5278" spans="1:6" ht="15.75" thickBot="1" x14ac:dyDescent="0.3">
      <c r="A5278" s="105" t="s">
        <v>23</v>
      </c>
      <c r="B5278" s="109">
        <v>44112</v>
      </c>
      <c r="C5278" s="4">
        <v>2099</v>
      </c>
      <c r="D5278" s="21">
        <f t="shared" si="468"/>
        <v>57131</v>
      </c>
      <c r="E5278" s="4">
        <v>31</v>
      </c>
      <c r="F5278" s="95">
        <f>E5278+F5254</f>
        <v>620</v>
      </c>
    </row>
    <row r="5279" spans="1:6" ht="15.75" thickBot="1" x14ac:dyDescent="0.3">
      <c r="A5279" s="105" t="s">
        <v>39</v>
      </c>
      <c r="B5279" s="109">
        <v>44112</v>
      </c>
      <c r="C5279" s="4">
        <v>40</v>
      </c>
      <c r="D5279" s="21">
        <f t="shared" si="468"/>
        <v>4268</v>
      </c>
      <c r="E5279" s="4">
        <v>1</v>
      </c>
      <c r="F5279" s="95">
        <f t="shared" si="467"/>
        <v>79</v>
      </c>
    </row>
    <row r="5280" spans="1:6" ht="15.75" thickBot="1" x14ac:dyDescent="0.3">
      <c r="A5280" s="105" t="s">
        <v>40</v>
      </c>
      <c r="B5280" s="109">
        <v>44112</v>
      </c>
      <c r="C5280" s="4">
        <v>168</v>
      </c>
      <c r="D5280" s="21">
        <f t="shared" si="468"/>
        <v>5804</v>
      </c>
      <c r="E5280" s="4">
        <v>1</v>
      </c>
      <c r="F5280" s="95">
        <f t="shared" ref="F5280:F5291" si="469">E5280+F5256</f>
        <v>82</v>
      </c>
    </row>
    <row r="5281" spans="1:6" ht="15.75" thickBot="1" x14ac:dyDescent="0.3">
      <c r="A5281" s="106" t="s">
        <v>41</v>
      </c>
      <c r="B5281" s="109">
        <v>44112</v>
      </c>
      <c r="C5281" s="4">
        <v>1859</v>
      </c>
      <c r="D5281" s="98">
        <f t="shared" si="468"/>
        <v>23236</v>
      </c>
      <c r="E5281" s="4">
        <v>84</v>
      </c>
      <c r="F5281" s="96">
        <f t="shared" si="469"/>
        <v>260</v>
      </c>
    </row>
    <row r="5282" spans="1:6" ht="15.75" thickBot="1" x14ac:dyDescent="0.3">
      <c r="A5282" s="45" t="s">
        <v>17</v>
      </c>
      <c r="B5282" s="109">
        <v>44113</v>
      </c>
      <c r="C5282" s="4">
        <v>5346</v>
      </c>
      <c r="D5282" s="97">
        <f>C5282+D5258</f>
        <v>461816</v>
      </c>
      <c r="E5282" s="4">
        <f>134+105</f>
        <v>239</v>
      </c>
      <c r="F5282" s="94">
        <f t="shared" si="469"/>
        <v>14384</v>
      </c>
    </row>
    <row r="5283" spans="1:6" ht="15.75" thickBot="1" x14ac:dyDescent="0.3">
      <c r="A5283" s="105" t="s">
        <v>44</v>
      </c>
      <c r="B5283" s="109">
        <v>44113</v>
      </c>
      <c r="C5283" s="4">
        <v>874</v>
      </c>
      <c r="D5283" s="21">
        <f t="shared" ref="D5283:D5295" si="470">C5283+D5259</f>
        <v>133608</v>
      </c>
      <c r="E5283" s="4">
        <f>22+16</f>
        <v>38</v>
      </c>
      <c r="F5283" s="95">
        <f t="shared" si="469"/>
        <v>3899</v>
      </c>
    </row>
    <row r="5284" spans="1:6" ht="15.75" thickBot="1" x14ac:dyDescent="0.3">
      <c r="A5284" s="105" t="s">
        <v>29</v>
      </c>
      <c r="B5284" s="109">
        <v>44113</v>
      </c>
      <c r="C5284" s="4">
        <v>7</v>
      </c>
      <c r="D5284" s="21">
        <f t="shared" si="470"/>
        <v>360</v>
      </c>
      <c r="F5284" s="95">
        <f t="shared" si="469"/>
        <v>0</v>
      </c>
    </row>
    <row r="5285" spans="1:6" ht="15.75" thickBot="1" x14ac:dyDescent="0.3">
      <c r="A5285" s="105" t="s">
        <v>16</v>
      </c>
      <c r="B5285" s="109">
        <v>44113</v>
      </c>
      <c r="C5285" s="4">
        <v>177</v>
      </c>
      <c r="D5285" s="21">
        <f t="shared" si="470"/>
        <v>10026</v>
      </c>
      <c r="E5285" s="4">
        <f>8+4</f>
        <v>12</v>
      </c>
      <c r="F5285" s="95">
        <f t="shared" si="469"/>
        <v>330</v>
      </c>
    </row>
    <row r="5286" spans="1:6" ht="15.75" thickBot="1" x14ac:dyDescent="0.3">
      <c r="A5286" s="105" t="s">
        <v>30</v>
      </c>
      <c r="B5286" s="109">
        <v>44113</v>
      </c>
      <c r="C5286" s="4">
        <v>205</v>
      </c>
      <c r="D5286" s="21">
        <f t="shared" si="470"/>
        <v>6141</v>
      </c>
      <c r="E5286" s="4">
        <f>6</f>
        <v>6</v>
      </c>
      <c r="F5286" s="95">
        <f t="shared" si="469"/>
        <v>82</v>
      </c>
    </row>
    <row r="5287" spans="1:6" ht="15.75" thickBot="1" x14ac:dyDescent="0.3">
      <c r="A5287" s="105" t="s">
        <v>21</v>
      </c>
      <c r="B5287" s="109">
        <v>44113</v>
      </c>
      <c r="C5287" s="4">
        <v>1643</v>
      </c>
      <c r="D5287" s="21">
        <f t="shared" si="470"/>
        <v>48675</v>
      </c>
      <c r="E5287" s="4">
        <v>27</v>
      </c>
      <c r="F5287" s="95">
        <f t="shared" si="469"/>
        <v>569</v>
      </c>
    </row>
    <row r="5288" spans="1:6" ht="15.75" thickBot="1" x14ac:dyDescent="0.3">
      <c r="A5288" s="105" t="s">
        <v>31</v>
      </c>
      <c r="B5288" s="109">
        <v>44113</v>
      </c>
      <c r="C5288" s="4">
        <v>93</v>
      </c>
      <c r="D5288" s="21">
        <f t="shared" si="470"/>
        <v>1505</v>
      </c>
      <c r="F5288" s="95">
        <f t="shared" si="469"/>
        <v>31</v>
      </c>
    </row>
    <row r="5289" spans="1:6" ht="15.75" thickBot="1" x14ac:dyDescent="0.3">
      <c r="A5289" s="105" t="s">
        <v>32</v>
      </c>
      <c r="B5289" s="109">
        <v>44113</v>
      </c>
      <c r="C5289" s="4">
        <v>206</v>
      </c>
      <c r="D5289" s="21">
        <f t="shared" si="470"/>
        <v>9045</v>
      </c>
      <c r="E5289" s="4">
        <f>4</f>
        <v>4</v>
      </c>
      <c r="F5289" s="95">
        <f t="shared" si="469"/>
        <v>170</v>
      </c>
    </row>
    <row r="5290" spans="1:6" ht="15.75" thickBot="1" x14ac:dyDescent="0.3">
      <c r="A5290" s="105" t="s">
        <v>42</v>
      </c>
      <c r="B5290" s="109">
        <v>44113</v>
      </c>
      <c r="C5290" s="4">
        <v>10</v>
      </c>
      <c r="D5290" s="21">
        <f t="shared" si="470"/>
        <v>120</v>
      </c>
      <c r="F5290" s="95">
        <f t="shared" si="469"/>
        <v>1</v>
      </c>
    </row>
    <row r="5291" spans="1:6" ht="15.75" thickBot="1" x14ac:dyDescent="0.3">
      <c r="A5291" s="105" t="s">
        <v>33</v>
      </c>
      <c r="B5291" s="109">
        <v>44113</v>
      </c>
      <c r="C5291" s="4">
        <v>70</v>
      </c>
      <c r="D5291" s="21">
        <f t="shared" si="470"/>
        <v>16544</v>
      </c>
      <c r="F5291" s="95">
        <f t="shared" si="469"/>
        <v>627</v>
      </c>
    </row>
    <row r="5292" spans="1:6" ht="15.75" thickBot="1" x14ac:dyDescent="0.3">
      <c r="A5292" s="105" t="s">
        <v>34</v>
      </c>
      <c r="B5292" s="109">
        <v>44113</v>
      </c>
      <c r="C5292" s="4">
        <v>42</v>
      </c>
      <c r="D5292" s="21">
        <f t="shared" si="470"/>
        <v>996</v>
      </c>
      <c r="F5292" s="95">
        <f t="shared" ref="F5292:F5303" si="471">E5292+F5268</f>
        <v>12</v>
      </c>
    </row>
    <row r="5293" spans="1:6" ht="15.75" thickBot="1" x14ac:dyDescent="0.3">
      <c r="A5293" s="105" t="s">
        <v>22</v>
      </c>
      <c r="B5293" s="109">
        <v>44113</v>
      </c>
      <c r="C5293" s="4">
        <v>83</v>
      </c>
      <c r="D5293" s="21">
        <f t="shared" si="470"/>
        <v>5630</v>
      </c>
      <c r="E5293" s="4">
        <f>7+4</f>
        <v>11</v>
      </c>
      <c r="F5293" s="95">
        <f t="shared" si="471"/>
        <v>171</v>
      </c>
    </row>
    <row r="5294" spans="1:6" ht="15.75" thickBot="1" x14ac:dyDescent="0.3">
      <c r="A5294" s="105" t="s">
        <v>18</v>
      </c>
      <c r="B5294" s="109">
        <v>44113</v>
      </c>
      <c r="C5294" s="4">
        <v>858</v>
      </c>
      <c r="D5294" s="21">
        <f t="shared" si="470"/>
        <v>30891</v>
      </c>
      <c r="E5294" s="4">
        <f>10+8</f>
        <v>18</v>
      </c>
      <c r="F5294" s="95">
        <f t="shared" si="471"/>
        <v>426</v>
      </c>
    </row>
    <row r="5295" spans="1:6" ht="15.75" thickBot="1" x14ac:dyDescent="0.3">
      <c r="A5295" s="105" t="s">
        <v>24</v>
      </c>
      <c r="B5295" s="109">
        <v>44113</v>
      </c>
      <c r="C5295" s="4">
        <v>4</v>
      </c>
      <c r="D5295" s="21">
        <f t="shared" si="470"/>
        <v>144</v>
      </c>
      <c r="F5295" s="95">
        <f t="shared" si="471"/>
        <v>4</v>
      </c>
    </row>
    <row r="5296" spans="1:6" ht="15.75" thickBot="1" x14ac:dyDescent="0.3">
      <c r="A5296" s="105" t="s">
        <v>20</v>
      </c>
      <c r="B5296" s="109">
        <v>44113</v>
      </c>
      <c r="C5296" s="4">
        <v>287</v>
      </c>
      <c r="D5296" s="21">
        <f>C5296+D5272</f>
        <v>11386</v>
      </c>
      <c r="E5296" s="4">
        <f>25+17</f>
        <v>42</v>
      </c>
      <c r="F5296" s="95">
        <f t="shared" si="471"/>
        <v>167</v>
      </c>
    </row>
    <row r="5297" spans="1:6" ht="15.75" thickBot="1" x14ac:dyDescent="0.3">
      <c r="A5297" s="105" t="s">
        <v>19</v>
      </c>
      <c r="B5297" s="109">
        <v>44113</v>
      </c>
      <c r="C5297" s="4">
        <v>462</v>
      </c>
      <c r="D5297" s="21">
        <f>C5297+D5273</f>
        <v>15809</v>
      </c>
      <c r="E5297" s="4">
        <f>5+3</f>
        <v>8</v>
      </c>
      <c r="F5297" s="95">
        <f t="shared" si="471"/>
        <v>352</v>
      </c>
    </row>
    <row r="5298" spans="1:6" ht="15.75" thickBot="1" x14ac:dyDescent="0.3">
      <c r="A5298" s="105" t="s">
        <v>35</v>
      </c>
      <c r="B5298" s="109">
        <v>44113</v>
      </c>
      <c r="C5298" s="4">
        <v>267</v>
      </c>
      <c r="D5298" s="21">
        <f>C5298+D5274</f>
        <v>14783</v>
      </c>
      <c r="E5298" s="4">
        <f>8+6</f>
        <v>14</v>
      </c>
      <c r="F5298" s="95">
        <f>E5298+F5274</f>
        <v>477</v>
      </c>
    </row>
    <row r="5299" spans="1:6" ht="15.75" thickBot="1" x14ac:dyDescent="0.3">
      <c r="A5299" s="105" t="s">
        <v>36</v>
      </c>
      <c r="B5299" s="109">
        <v>44113</v>
      </c>
      <c r="C5299" s="4">
        <v>40</v>
      </c>
      <c r="D5299" s="21">
        <f t="shared" ref="D5299:D5305" si="472">C5299+D5275</f>
        <v>1145</v>
      </c>
      <c r="F5299" s="95">
        <f>E5299+F5275</f>
        <v>42</v>
      </c>
    </row>
    <row r="5300" spans="1:6" ht="15.75" thickBot="1" x14ac:dyDescent="0.3">
      <c r="A5300" s="105" t="s">
        <v>37</v>
      </c>
      <c r="B5300" s="109">
        <v>44113</v>
      </c>
      <c r="C5300" s="4">
        <v>86</v>
      </c>
      <c r="D5300" s="21">
        <f t="shared" si="472"/>
        <v>2188</v>
      </c>
      <c r="F5300" s="95">
        <f t="shared" si="471"/>
        <v>33</v>
      </c>
    </row>
    <row r="5301" spans="1:6" ht="15.75" thickBot="1" x14ac:dyDescent="0.3">
      <c r="A5301" s="105" t="s">
        <v>38</v>
      </c>
      <c r="B5301" s="109">
        <v>44113</v>
      </c>
      <c r="C5301" s="4">
        <v>172</v>
      </c>
      <c r="D5301" s="21">
        <f t="shared" si="472"/>
        <v>6041</v>
      </c>
      <c r="E5301" s="4">
        <f>1+3</f>
        <v>4</v>
      </c>
      <c r="F5301" s="95">
        <f>E5301+F5277</f>
        <v>80</v>
      </c>
    </row>
    <row r="5302" spans="1:6" ht="15.75" thickBot="1" x14ac:dyDescent="0.3">
      <c r="A5302" s="105" t="s">
        <v>23</v>
      </c>
      <c r="B5302" s="109">
        <v>44113</v>
      </c>
      <c r="C5302" s="4">
        <v>2179</v>
      </c>
      <c r="D5302" s="21">
        <f t="shared" si="472"/>
        <v>59310</v>
      </c>
      <c r="E5302" s="4">
        <f>10+11</f>
        <v>21</v>
      </c>
      <c r="F5302" s="95">
        <f>E5302+F5278</f>
        <v>641</v>
      </c>
    </row>
    <row r="5303" spans="1:6" ht="15.75" thickBot="1" x14ac:dyDescent="0.3">
      <c r="A5303" s="105" t="s">
        <v>39</v>
      </c>
      <c r="B5303" s="109">
        <v>44113</v>
      </c>
      <c r="C5303" s="4">
        <v>15</v>
      </c>
      <c r="D5303" s="21">
        <f t="shared" si="472"/>
        <v>4283</v>
      </c>
      <c r="E5303" s="4">
        <f>2+1</f>
        <v>3</v>
      </c>
      <c r="F5303" s="95">
        <f t="shared" si="471"/>
        <v>82</v>
      </c>
    </row>
    <row r="5304" spans="1:6" ht="15.75" thickBot="1" x14ac:dyDescent="0.3">
      <c r="A5304" s="105" t="s">
        <v>40</v>
      </c>
      <c r="B5304" s="109">
        <v>44113</v>
      </c>
      <c r="C5304" s="4">
        <v>249</v>
      </c>
      <c r="D5304" s="21">
        <f t="shared" si="472"/>
        <v>6053</v>
      </c>
      <c r="E5304" s="4">
        <f>2</f>
        <v>2</v>
      </c>
      <c r="F5304" s="95">
        <f t="shared" ref="F5304:F5315" si="473">E5304+F5280</f>
        <v>84</v>
      </c>
    </row>
    <row r="5305" spans="1:6" ht="15.75" thickBot="1" x14ac:dyDescent="0.3">
      <c r="A5305" s="106" t="s">
        <v>41</v>
      </c>
      <c r="B5305" s="109">
        <v>44113</v>
      </c>
      <c r="C5305" s="4">
        <v>1724</v>
      </c>
      <c r="D5305" s="98">
        <f t="shared" si="472"/>
        <v>24960</v>
      </c>
      <c r="E5305" s="4">
        <f>44+21</f>
        <v>65</v>
      </c>
      <c r="F5305" s="96">
        <f t="shared" si="473"/>
        <v>325</v>
      </c>
    </row>
    <row r="5306" spans="1:6" ht="15.75" thickBot="1" x14ac:dyDescent="0.3">
      <c r="A5306" s="45" t="s">
        <v>17</v>
      </c>
      <c r="B5306" s="109">
        <v>44114</v>
      </c>
      <c r="C5306" s="4">
        <v>4047</v>
      </c>
      <c r="D5306" s="97">
        <f>C5306+D5282</f>
        <v>465863</v>
      </c>
      <c r="E5306" s="4">
        <v>187</v>
      </c>
      <c r="F5306" s="94">
        <f t="shared" si="473"/>
        <v>14571</v>
      </c>
    </row>
    <row r="5307" spans="1:6" ht="15.75" thickBot="1" x14ac:dyDescent="0.3">
      <c r="A5307" s="105" t="s">
        <v>44</v>
      </c>
      <c r="B5307" s="109">
        <v>44114</v>
      </c>
      <c r="C5307" s="4">
        <v>742</v>
      </c>
      <c r="D5307" s="21">
        <f t="shared" ref="D5307:D5319" si="474">C5307+D5283</f>
        <v>134350</v>
      </c>
      <c r="E5307" s="4">
        <f>2+43+28</f>
        <v>73</v>
      </c>
      <c r="F5307" s="95">
        <f t="shared" si="473"/>
        <v>3972</v>
      </c>
    </row>
    <row r="5308" spans="1:6" ht="15.75" thickBot="1" x14ac:dyDescent="0.3">
      <c r="A5308" s="105" t="s">
        <v>29</v>
      </c>
      <c r="B5308" s="109">
        <v>44114</v>
      </c>
      <c r="C5308" s="4">
        <v>10</v>
      </c>
      <c r="D5308" s="21">
        <f t="shared" si="474"/>
        <v>370</v>
      </c>
      <c r="F5308" s="95">
        <f t="shared" si="473"/>
        <v>0</v>
      </c>
    </row>
    <row r="5309" spans="1:6" ht="15.75" thickBot="1" x14ac:dyDescent="0.3">
      <c r="A5309" s="105" t="s">
        <v>16</v>
      </c>
      <c r="B5309" s="109">
        <v>44114</v>
      </c>
      <c r="C5309" s="4">
        <v>148</v>
      </c>
      <c r="D5309" s="21">
        <f t="shared" si="474"/>
        <v>10174</v>
      </c>
      <c r="E5309" s="4">
        <f>1</f>
        <v>1</v>
      </c>
      <c r="F5309" s="95">
        <f t="shared" si="473"/>
        <v>331</v>
      </c>
    </row>
    <row r="5310" spans="1:6" ht="15.75" thickBot="1" x14ac:dyDescent="0.3">
      <c r="A5310" s="105" t="s">
        <v>30</v>
      </c>
      <c r="B5310" s="109">
        <v>44114</v>
      </c>
      <c r="C5310" s="4">
        <v>482</v>
      </c>
      <c r="D5310" s="21">
        <f t="shared" si="474"/>
        <v>6623</v>
      </c>
      <c r="E5310" s="4">
        <v>0</v>
      </c>
      <c r="F5310" s="95">
        <f t="shared" si="473"/>
        <v>82</v>
      </c>
    </row>
    <row r="5311" spans="1:6" ht="15.75" thickBot="1" x14ac:dyDescent="0.3">
      <c r="A5311" s="105" t="s">
        <v>21</v>
      </c>
      <c r="B5311" s="109">
        <v>44114</v>
      </c>
      <c r="C5311" s="4">
        <v>1606</v>
      </c>
      <c r="D5311" s="21">
        <f t="shared" si="474"/>
        <v>50281</v>
      </c>
      <c r="E5311" s="4">
        <v>27</v>
      </c>
      <c r="F5311" s="95">
        <f t="shared" si="473"/>
        <v>596</v>
      </c>
    </row>
    <row r="5312" spans="1:6" ht="15.75" thickBot="1" x14ac:dyDescent="0.3">
      <c r="A5312" s="105" t="s">
        <v>31</v>
      </c>
      <c r="B5312" s="109">
        <v>44114</v>
      </c>
      <c r="C5312" s="4">
        <v>2</v>
      </c>
      <c r="D5312" s="21">
        <f t="shared" si="474"/>
        <v>1507</v>
      </c>
      <c r="F5312" s="95">
        <f t="shared" si="473"/>
        <v>31</v>
      </c>
    </row>
    <row r="5313" spans="1:6" ht="15.75" thickBot="1" x14ac:dyDescent="0.3">
      <c r="A5313" s="105" t="s">
        <v>32</v>
      </c>
      <c r="B5313" s="109">
        <v>44114</v>
      </c>
      <c r="C5313" s="4">
        <v>188</v>
      </c>
      <c r="D5313" s="21">
        <f t="shared" si="474"/>
        <v>9233</v>
      </c>
      <c r="E5313" s="4">
        <f>1+1</f>
        <v>2</v>
      </c>
      <c r="F5313" s="95">
        <f t="shared" si="473"/>
        <v>172</v>
      </c>
    </row>
    <row r="5314" spans="1:6" ht="15.75" thickBot="1" x14ac:dyDescent="0.3">
      <c r="A5314" s="105" t="s">
        <v>42</v>
      </c>
      <c r="B5314" s="109">
        <v>44114</v>
      </c>
      <c r="C5314" s="4">
        <v>8</v>
      </c>
      <c r="D5314" s="21">
        <f t="shared" si="474"/>
        <v>128</v>
      </c>
      <c r="F5314" s="95">
        <f t="shared" si="473"/>
        <v>1</v>
      </c>
    </row>
    <row r="5315" spans="1:6" ht="15.75" thickBot="1" x14ac:dyDescent="0.3">
      <c r="A5315" s="105" t="s">
        <v>33</v>
      </c>
      <c r="B5315" s="109">
        <v>44114</v>
      </c>
      <c r="C5315" s="4">
        <v>128</v>
      </c>
      <c r="D5315" s="21">
        <f t="shared" si="474"/>
        <v>16672</v>
      </c>
      <c r="F5315" s="95">
        <f t="shared" si="473"/>
        <v>627</v>
      </c>
    </row>
    <row r="5316" spans="1:6" ht="15.75" thickBot="1" x14ac:dyDescent="0.3">
      <c r="A5316" s="105" t="s">
        <v>34</v>
      </c>
      <c r="B5316" s="109">
        <v>44114</v>
      </c>
      <c r="C5316" s="4">
        <v>44</v>
      </c>
      <c r="D5316" s="21">
        <f t="shared" si="474"/>
        <v>1040</v>
      </c>
      <c r="F5316" s="95">
        <f t="shared" ref="F5316:F5327" si="475">E5316+F5292</f>
        <v>12</v>
      </c>
    </row>
    <row r="5317" spans="1:6" ht="15.75" thickBot="1" x14ac:dyDescent="0.3">
      <c r="A5317" s="105" t="s">
        <v>22</v>
      </c>
      <c r="B5317" s="109">
        <v>44114</v>
      </c>
      <c r="C5317" s="4">
        <v>46</v>
      </c>
      <c r="D5317" s="21">
        <f t="shared" si="474"/>
        <v>5676</v>
      </c>
      <c r="E5317" s="4">
        <f>1</f>
        <v>1</v>
      </c>
      <c r="F5317" s="95">
        <f t="shared" si="475"/>
        <v>172</v>
      </c>
    </row>
    <row r="5318" spans="1:6" ht="15.75" thickBot="1" x14ac:dyDescent="0.3">
      <c r="A5318" s="105" t="s">
        <v>18</v>
      </c>
      <c r="B5318" s="109">
        <v>44114</v>
      </c>
      <c r="C5318" s="4">
        <v>573</v>
      </c>
      <c r="D5318" s="21">
        <f t="shared" si="474"/>
        <v>31464</v>
      </c>
      <c r="E5318" s="4">
        <f>3</f>
        <v>3</v>
      </c>
      <c r="F5318" s="95">
        <f t="shared" si="475"/>
        <v>429</v>
      </c>
    </row>
    <row r="5319" spans="1:6" ht="15.75" thickBot="1" x14ac:dyDescent="0.3">
      <c r="A5319" s="105" t="s">
        <v>24</v>
      </c>
      <c r="B5319" s="109">
        <v>44114</v>
      </c>
      <c r="C5319" s="4">
        <v>5</v>
      </c>
      <c r="D5319" s="21">
        <f t="shared" si="474"/>
        <v>149</v>
      </c>
      <c r="F5319" s="95">
        <f t="shared" si="475"/>
        <v>4</v>
      </c>
    </row>
    <row r="5320" spans="1:6" ht="15.75" thickBot="1" x14ac:dyDescent="0.3">
      <c r="A5320" s="105" t="s">
        <v>20</v>
      </c>
      <c r="B5320" s="109">
        <v>44114</v>
      </c>
      <c r="C5320" s="4">
        <v>433</v>
      </c>
      <c r="D5320" s="21">
        <f>C5320+D5296</f>
        <v>11819</v>
      </c>
      <c r="E5320" s="4">
        <f>13+4</f>
        <v>17</v>
      </c>
      <c r="F5320" s="95">
        <f t="shared" si="475"/>
        <v>184</v>
      </c>
    </row>
    <row r="5321" spans="1:6" ht="15.75" thickBot="1" x14ac:dyDescent="0.3">
      <c r="A5321" s="105" t="s">
        <v>19</v>
      </c>
      <c r="B5321" s="109">
        <v>44114</v>
      </c>
      <c r="C5321" s="4">
        <v>433</v>
      </c>
      <c r="D5321" s="21">
        <f>C5321+D5297</f>
        <v>16242</v>
      </c>
      <c r="E5321" s="4">
        <v>4</v>
      </c>
      <c r="F5321" s="95">
        <f t="shared" si="475"/>
        <v>356</v>
      </c>
    </row>
    <row r="5322" spans="1:6" ht="15.75" thickBot="1" x14ac:dyDescent="0.3">
      <c r="A5322" s="105" t="s">
        <v>35</v>
      </c>
      <c r="B5322" s="109">
        <v>44114</v>
      </c>
      <c r="C5322" s="4">
        <v>453</v>
      </c>
      <c r="D5322" s="21">
        <f>C5322+D5298</f>
        <v>15236</v>
      </c>
      <c r="E5322" s="4">
        <f>16+5</f>
        <v>21</v>
      </c>
      <c r="F5322" s="95">
        <f>E5322+F5298</f>
        <v>498</v>
      </c>
    </row>
    <row r="5323" spans="1:6" ht="15.75" thickBot="1" x14ac:dyDescent="0.3">
      <c r="A5323" s="105" t="s">
        <v>36</v>
      </c>
      <c r="B5323" s="109">
        <v>44114</v>
      </c>
      <c r="C5323" s="4">
        <v>1</v>
      </c>
      <c r="D5323" s="21">
        <f t="shared" ref="D5323:D5329" si="476">C5323+D5299</f>
        <v>1146</v>
      </c>
      <c r="F5323" s="95">
        <f>E5323+F5299</f>
        <v>42</v>
      </c>
    </row>
    <row r="5324" spans="1:6" ht="15.75" thickBot="1" x14ac:dyDescent="0.3">
      <c r="A5324" s="105" t="s">
        <v>37</v>
      </c>
      <c r="B5324" s="109">
        <v>44114</v>
      </c>
      <c r="C5324" s="4">
        <v>14</v>
      </c>
      <c r="D5324" s="21">
        <f t="shared" si="476"/>
        <v>2202</v>
      </c>
      <c r="F5324" s="95">
        <f t="shared" si="475"/>
        <v>33</v>
      </c>
    </row>
    <row r="5325" spans="1:6" ht="15.75" thickBot="1" x14ac:dyDescent="0.3">
      <c r="A5325" s="105" t="s">
        <v>38</v>
      </c>
      <c r="B5325" s="109">
        <v>44114</v>
      </c>
      <c r="C5325" s="4">
        <v>170</v>
      </c>
      <c r="D5325" s="21">
        <f t="shared" si="476"/>
        <v>6211</v>
      </c>
      <c r="E5325" s="4">
        <f>3</f>
        <v>3</v>
      </c>
      <c r="F5325" s="95">
        <f>E5325+F5301</f>
        <v>83</v>
      </c>
    </row>
    <row r="5326" spans="1:6" ht="15.75" thickBot="1" x14ac:dyDescent="0.3">
      <c r="A5326" s="105" t="s">
        <v>23</v>
      </c>
      <c r="B5326" s="109">
        <v>44114</v>
      </c>
      <c r="C5326" s="4">
        <v>2043</v>
      </c>
      <c r="D5326" s="21">
        <f t="shared" si="476"/>
        <v>61353</v>
      </c>
      <c r="E5326" s="4">
        <v>16</v>
      </c>
      <c r="F5326" s="95">
        <f>E5326+F5302</f>
        <v>657</v>
      </c>
    </row>
    <row r="5327" spans="1:6" ht="15.75" thickBot="1" x14ac:dyDescent="0.3">
      <c r="A5327" s="105" t="s">
        <v>39</v>
      </c>
      <c r="B5327" s="109">
        <v>44114</v>
      </c>
      <c r="C5327" s="4">
        <v>93</v>
      </c>
      <c r="D5327" s="21">
        <f t="shared" si="476"/>
        <v>4376</v>
      </c>
      <c r="F5327" s="95">
        <f t="shared" si="475"/>
        <v>82</v>
      </c>
    </row>
    <row r="5328" spans="1:6" ht="15.75" thickBot="1" x14ac:dyDescent="0.3">
      <c r="A5328" s="105" t="s">
        <v>40</v>
      </c>
      <c r="B5328" s="109">
        <v>44114</v>
      </c>
      <c r="C5328" s="4">
        <v>144</v>
      </c>
      <c r="D5328" s="21">
        <f t="shared" si="476"/>
        <v>6197</v>
      </c>
      <c r="F5328" s="95">
        <f t="shared" ref="F5328:F5339" si="477">E5328+F5304</f>
        <v>84</v>
      </c>
    </row>
    <row r="5329" spans="1:6" ht="15.75" thickBot="1" x14ac:dyDescent="0.3">
      <c r="A5329" s="106" t="s">
        <v>41</v>
      </c>
      <c r="B5329" s="109">
        <v>44114</v>
      </c>
      <c r="C5329" s="4">
        <v>802</v>
      </c>
      <c r="D5329" s="98">
        <f t="shared" si="476"/>
        <v>25762</v>
      </c>
      <c r="F5329" s="96">
        <f t="shared" si="477"/>
        <v>325</v>
      </c>
    </row>
    <row r="5330" spans="1:6" ht="15.75" thickBot="1" x14ac:dyDescent="0.3">
      <c r="A5330" s="45" t="s">
        <v>17</v>
      </c>
      <c r="B5330" s="109">
        <v>44115</v>
      </c>
      <c r="C5330" s="4">
        <v>2542</v>
      </c>
      <c r="D5330" s="97">
        <f>C5330+D5306</f>
        <v>468405</v>
      </c>
      <c r="E5330" s="4">
        <f>81+63+3</f>
        <v>147</v>
      </c>
      <c r="F5330" s="94">
        <f t="shared" si="477"/>
        <v>14718</v>
      </c>
    </row>
    <row r="5331" spans="1:6" ht="15.75" thickBot="1" x14ac:dyDescent="0.3">
      <c r="A5331" s="105" t="s">
        <v>44</v>
      </c>
      <c r="B5331" s="109">
        <v>44115</v>
      </c>
      <c r="C5331" s="4">
        <v>642</v>
      </c>
      <c r="D5331" s="21">
        <f t="shared" ref="D5331:D5343" si="478">C5331+D5307</f>
        <v>134992</v>
      </c>
      <c r="E5331" s="4">
        <f>8+12</f>
        <v>20</v>
      </c>
      <c r="F5331" s="95">
        <f t="shared" si="477"/>
        <v>3992</v>
      </c>
    </row>
    <row r="5332" spans="1:6" ht="15.75" thickBot="1" x14ac:dyDescent="0.3">
      <c r="A5332" s="105" t="s">
        <v>29</v>
      </c>
      <c r="B5332" s="109">
        <v>44115</v>
      </c>
      <c r="C5332" s="4">
        <v>6</v>
      </c>
      <c r="D5332" s="21">
        <f t="shared" si="478"/>
        <v>376</v>
      </c>
      <c r="F5332" s="95">
        <f t="shared" si="477"/>
        <v>0</v>
      </c>
    </row>
    <row r="5333" spans="1:6" ht="15.75" thickBot="1" x14ac:dyDescent="0.3">
      <c r="A5333" s="105" t="s">
        <v>16</v>
      </c>
      <c r="B5333" s="109">
        <v>44115</v>
      </c>
      <c r="C5333" s="4">
        <v>199</v>
      </c>
      <c r="D5333" s="21">
        <f t="shared" si="478"/>
        <v>10373</v>
      </c>
      <c r="E5333" s="4">
        <v>3</v>
      </c>
      <c r="F5333" s="95">
        <f t="shared" si="477"/>
        <v>334</v>
      </c>
    </row>
    <row r="5334" spans="1:6" ht="15.75" thickBot="1" x14ac:dyDescent="0.3">
      <c r="A5334" s="105" t="s">
        <v>30</v>
      </c>
      <c r="B5334" s="109">
        <v>44115</v>
      </c>
      <c r="C5334" s="4">
        <v>379</v>
      </c>
      <c r="D5334" s="21">
        <f t="shared" si="478"/>
        <v>7002</v>
      </c>
      <c r="F5334" s="95">
        <f t="shared" si="477"/>
        <v>82</v>
      </c>
    </row>
    <row r="5335" spans="1:6" ht="15.75" thickBot="1" x14ac:dyDescent="0.3">
      <c r="A5335" s="105" t="s">
        <v>21</v>
      </c>
      <c r="B5335" s="109">
        <v>44115</v>
      </c>
      <c r="C5335" s="4">
        <v>1536</v>
      </c>
      <c r="D5335" s="21">
        <f t="shared" si="478"/>
        <v>51817</v>
      </c>
      <c r="E5335" s="4">
        <f>13+18</f>
        <v>31</v>
      </c>
      <c r="F5335" s="95">
        <f t="shared" si="477"/>
        <v>627</v>
      </c>
    </row>
    <row r="5336" spans="1:6" ht="15.75" thickBot="1" x14ac:dyDescent="0.3">
      <c r="A5336" s="105" t="s">
        <v>31</v>
      </c>
      <c r="B5336" s="109">
        <v>44115</v>
      </c>
      <c r="C5336" s="4">
        <v>50</v>
      </c>
      <c r="D5336" s="21">
        <f t="shared" si="478"/>
        <v>1557</v>
      </c>
      <c r="F5336" s="95">
        <f t="shared" si="477"/>
        <v>31</v>
      </c>
    </row>
    <row r="5337" spans="1:6" ht="15.75" thickBot="1" x14ac:dyDescent="0.3">
      <c r="A5337" s="105" t="s">
        <v>32</v>
      </c>
      <c r="B5337" s="109">
        <v>44115</v>
      </c>
      <c r="C5337" s="4">
        <v>157</v>
      </c>
      <c r="D5337" s="21">
        <f t="shared" si="478"/>
        <v>9390</v>
      </c>
      <c r="E5337" s="4">
        <f>2+1</f>
        <v>3</v>
      </c>
      <c r="F5337" s="95">
        <f t="shared" si="477"/>
        <v>175</v>
      </c>
    </row>
    <row r="5338" spans="1:6" ht="15.75" thickBot="1" x14ac:dyDescent="0.3">
      <c r="A5338" s="105" t="s">
        <v>42</v>
      </c>
      <c r="B5338" s="109">
        <v>44115</v>
      </c>
      <c r="C5338" s="4">
        <v>0</v>
      </c>
      <c r="D5338" s="21">
        <f t="shared" si="478"/>
        <v>128</v>
      </c>
      <c r="F5338" s="95">
        <f t="shared" si="477"/>
        <v>1</v>
      </c>
    </row>
    <row r="5339" spans="1:6" ht="15.75" thickBot="1" x14ac:dyDescent="0.3">
      <c r="A5339" s="105" t="s">
        <v>33</v>
      </c>
      <c r="B5339" s="109">
        <v>44115</v>
      </c>
      <c r="C5339" s="4">
        <v>58</v>
      </c>
      <c r="D5339" s="21">
        <f t="shared" si="478"/>
        <v>16730</v>
      </c>
      <c r="E5339" s="4">
        <f>1</f>
        <v>1</v>
      </c>
      <c r="F5339" s="95">
        <f t="shared" si="477"/>
        <v>628</v>
      </c>
    </row>
    <row r="5340" spans="1:6" ht="15.75" thickBot="1" x14ac:dyDescent="0.3">
      <c r="A5340" s="105" t="s">
        <v>34</v>
      </c>
      <c r="B5340" s="109">
        <v>44115</v>
      </c>
      <c r="C5340" s="4">
        <v>30</v>
      </c>
      <c r="D5340" s="21">
        <f t="shared" si="478"/>
        <v>1070</v>
      </c>
      <c r="F5340" s="95">
        <f t="shared" ref="F5340:F5351" si="479">E5340+F5316</f>
        <v>12</v>
      </c>
    </row>
    <row r="5341" spans="1:6" ht="15.75" thickBot="1" x14ac:dyDescent="0.3">
      <c r="A5341" s="105" t="s">
        <v>22</v>
      </c>
      <c r="B5341" s="109">
        <v>44115</v>
      </c>
      <c r="C5341" s="4">
        <v>152</v>
      </c>
      <c r="D5341" s="21">
        <f t="shared" si="478"/>
        <v>5828</v>
      </c>
      <c r="E5341" s="4">
        <f>2+1</f>
        <v>3</v>
      </c>
      <c r="F5341" s="95">
        <f t="shared" si="479"/>
        <v>175</v>
      </c>
    </row>
    <row r="5342" spans="1:6" ht="15.75" thickBot="1" x14ac:dyDescent="0.3">
      <c r="A5342" s="105" t="s">
        <v>18</v>
      </c>
      <c r="B5342" s="109">
        <v>44115</v>
      </c>
      <c r="C5342" s="4">
        <v>571</v>
      </c>
      <c r="D5342" s="21">
        <f t="shared" si="478"/>
        <v>32035</v>
      </c>
      <c r="E5342" s="4">
        <f>4+2</f>
        <v>6</v>
      </c>
      <c r="F5342" s="95">
        <f t="shared" si="479"/>
        <v>435</v>
      </c>
    </row>
    <row r="5343" spans="1:6" ht="15.75" thickBot="1" x14ac:dyDescent="0.3">
      <c r="A5343" s="105" t="s">
        <v>24</v>
      </c>
      <c r="B5343" s="109">
        <v>44115</v>
      </c>
      <c r="C5343" s="4">
        <v>5</v>
      </c>
      <c r="D5343" s="21">
        <f t="shared" si="478"/>
        <v>154</v>
      </c>
      <c r="F5343" s="95">
        <f t="shared" si="479"/>
        <v>4</v>
      </c>
    </row>
    <row r="5344" spans="1:6" ht="15.75" thickBot="1" x14ac:dyDescent="0.3">
      <c r="A5344" s="105" t="s">
        <v>20</v>
      </c>
      <c r="B5344" s="109">
        <v>44115</v>
      </c>
      <c r="C5344" s="4">
        <v>306</v>
      </c>
      <c r="D5344" s="21">
        <f>C5344+D5320</f>
        <v>12125</v>
      </c>
      <c r="F5344" s="95">
        <f t="shared" si="479"/>
        <v>184</v>
      </c>
    </row>
    <row r="5345" spans="1:6" ht="15.75" thickBot="1" x14ac:dyDescent="0.3">
      <c r="A5345" s="105" t="s">
        <v>19</v>
      </c>
      <c r="B5345" s="109">
        <v>44115</v>
      </c>
      <c r="C5345" s="4">
        <v>252</v>
      </c>
      <c r="D5345" s="21">
        <f>C5345+D5321</f>
        <v>16494</v>
      </c>
      <c r="E5345" s="4">
        <f>4+4</f>
        <v>8</v>
      </c>
      <c r="F5345" s="95">
        <f t="shared" si="479"/>
        <v>364</v>
      </c>
    </row>
    <row r="5346" spans="1:6" ht="15.75" thickBot="1" x14ac:dyDescent="0.3">
      <c r="A5346" s="105" t="s">
        <v>35</v>
      </c>
      <c r="B5346" s="109">
        <v>44115</v>
      </c>
      <c r="C5346" s="4">
        <v>148</v>
      </c>
      <c r="D5346" s="21">
        <f>C5346+D5322</f>
        <v>15384</v>
      </c>
      <c r="E5346" s="4">
        <v>25</v>
      </c>
      <c r="F5346" s="95">
        <f>E5346+F5322</f>
        <v>523</v>
      </c>
    </row>
    <row r="5347" spans="1:6" ht="15.75" thickBot="1" x14ac:dyDescent="0.3">
      <c r="A5347" s="105" t="s">
        <v>36</v>
      </c>
      <c r="B5347" s="109">
        <v>44115</v>
      </c>
      <c r="C5347" s="4">
        <v>58</v>
      </c>
      <c r="D5347" s="21">
        <f t="shared" ref="D5347:D5353" si="480">C5347+D5323</f>
        <v>1204</v>
      </c>
      <c r="F5347" s="95">
        <f>E5347+F5323</f>
        <v>42</v>
      </c>
    </row>
    <row r="5348" spans="1:6" ht="15.75" thickBot="1" x14ac:dyDescent="0.3">
      <c r="A5348" s="105" t="s">
        <v>37</v>
      </c>
      <c r="B5348" s="109">
        <v>44115</v>
      </c>
      <c r="C5348" s="4">
        <v>20</v>
      </c>
      <c r="D5348" s="21">
        <f t="shared" si="480"/>
        <v>2222</v>
      </c>
      <c r="F5348" s="95">
        <f t="shared" si="479"/>
        <v>33</v>
      </c>
    </row>
    <row r="5349" spans="1:6" ht="15.75" thickBot="1" x14ac:dyDescent="0.3">
      <c r="A5349" s="105" t="s">
        <v>38</v>
      </c>
      <c r="B5349" s="109">
        <v>44115</v>
      </c>
      <c r="C5349" s="4">
        <v>134</v>
      </c>
      <c r="D5349" s="21">
        <f t="shared" si="480"/>
        <v>6345</v>
      </c>
      <c r="E5349" s="4">
        <f>3</f>
        <v>3</v>
      </c>
      <c r="F5349" s="95">
        <f>E5349+F5325</f>
        <v>86</v>
      </c>
    </row>
    <row r="5350" spans="1:6" ht="15.75" thickBot="1" x14ac:dyDescent="0.3">
      <c r="A5350" s="105" t="s">
        <v>23</v>
      </c>
      <c r="B5350" s="109">
        <v>44115</v>
      </c>
      <c r="C5350" s="4">
        <v>1547</v>
      </c>
      <c r="D5350" s="21">
        <f t="shared" si="480"/>
        <v>62900</v>
      </c>
      <c r="E5350" s="4">
        <f>7+7</f>
        <v>14</v>
      </c>
      <c r="F5350" s="95">
        <f>E5350+F5326</f>
        <v>671</v>
      </c>
    </row>
    <row r="5351" spans="1:6" ht="15.75" thickBot="1" x14ac:dyDescent="0.3">
      <c r="A5351" s="105" t="s">
        <v>39</v>
      </c>
      <c r="B5351" s="109">
        <v>44115</v>
      </c>
      <c r="C5351" s="4">
        <v>450</v>
      </c>
      <c r="D5351" s="21">
        <f t="shared" si="480"/>
        <v>4826</v>
      </c>
      <c r="E5351" s="4">
        <f>1+1</f>
        <v>2</v>
      </c>
      <c r="F5351" s="95">
        <f t="shared" si="479"/>
        <v>84</v>
      </c>
    </row>
    <row r="5352" spans="1:6" ht="15.75" thickBot="1" x14ac:dyDescent="0.3">
      <c r="A5352" s="105" t="s">
        <v>40</v>
      </c>
      <c r="B5352" s="109">
        <v>44115</v>
      </c>
      <c r="C5352" s="4">
        <v>227</v>
      </c>
      <c r="D5352" s="21">
        <f t="shared" si="480"/>
        <v>6424</v>
      </c>
      <c r="F5352" s="95">
        <f t="shared" ref="F5352:F5363" si="481">E5352+F5328</f>
        <v>84</v>
      </c>
    </row>
    <row r="5353" spans="1:6" ht="15.75" thickBot="1" x14ac:dyDescent="0.3">
      <c r="A5353" s="106" t="s">
        <v>41</v>
      </c>
      <c r="B5353" s="109">
        <v>44115</v>
      </c>
      <c r="C5353" s="4">
        <v>855</v>
      </c>
      <c r="D5353" s="98">
        <f t="shared" si="480"/>
        <v>26617</v>
      </c>
      <c r="E5353" s="4">
        <f>10+7</f>
        <v>17</v>
      </c>
      <c r="F5353" s="96">
        <f t="shared" si="481"/>
        <v>342</v>
      </c>
    </row>
    <row r="5354" spans="1:6" ht="15.75" thickBot="1" x14ac:dyDescent="0.3">
      <c r="A5354" s="45" t="s">
        <v>17</v>
      </c>
      <c r="B5354" s="109">
        <v>44116</v>
      </c>
      <c r="C5354" s="4">
        <v>2221</v>
      </c>
      <c r="D5354" s="97">
        <f>C5354+D5330</f>
        <v>470626</v>
      </c>
      <c r="E5354" s="4">
        <f>1+69+61</f>
        <v>131</v>
      </c>
      <c r="F5354" s="94">
        <f t="shared" si="481"/>
        <v>14849</v>
      </c>
    </row>
    <row r="5355" spans="1:6" ht="15.75" thickBot="1" x14ac:dyDescent="0.3">
      <c r="A5355" s="105" t="s">
        <v>44</v>
      </c>
      <c r="B5355" s="109">
        <v>44116</v>
      </c>
      <c r="C5355" s="4">
        <v>499</v>
      </c>
      <c r="D5355" s="21">
        <f t="shared" ref="D5355:D5367" si="482">C5355+D5331</f>
        <v>135491</v>
      </c>
      <c r="E5355" s="4">
        <f>30+25</f>
        <v>55</v>
      </c>
      <c r="F5355" s="95">
        <f t="shared" si="481"/>
        <v>4047</v>
      </c>
    </row>
    <row r="5356" spans="1:6" ht="15.75" thickBot="1" x14ac:dyDescent="0.3">
      <c r="A5356" s="105" t="s">
        <v>29</v>
      </c>
      <c r="B5356" s="109">
        <v>44116</v>
      </c>
      <c r="C5356" s="4">
        <v>14</v>
      </c>
      <c r="D5356" s="21">
        <f t="shared" si="482"/>
        <v>390</v>
      </c>
      <c r="F5356" s="95">
        <f t="shared" si="481"/>
        <v>0</v>
      </c>
    </row>
    <row r="5357" spans="1:6" ht="15.75" thickBot="1" x14ac:dyDescent="0.3">
      <c r="A5357" s="105" t="s">
        <v>16</v>
      </c>
      <c r="B5357" s="109">
        <v>44116</v>
      </c>
      <c r="C5357" s="4">
        <v>133</v>
      </c>
      <c r="D5357" s="21">
        <f t="shared" si="482"/>
        <v>10506</v>
      </c>
      <c r="F5357" s="95">
        <f t="shared" si="481"/>
        <v>334</v>
      </c>
    </row>
    <row r="5358" spans="1:6" ht="15.75" thickBot="1" x14ac:dyDescent="0.3">
      <c r="A5358" s="105" t="s">
        <v>30</v>
      </c>
      <c r="B5358" s="109">
        <v>44116</v>
      </c>
      <c r="C5358" s="4">
        <v>348</v>
      </c>
      <c r="D5358" s="21">
        <f t="shared" si="482"/>
        <v>7350</v>
      </c>
      <c r="E5358" s="4">
        <f>9+6</f>
        <v>15</v>
      </c>
      <c r="F5358" s="95">
        <f t="shared" si="481"/>
        <v>97</v>
      </c>
    </row>
    <row r="5359" spans="1:6" ht="15.75" thickBot="1" x14ac:dyDescent="0.3">
      <c r="A5359" s="105" t="s">
        <v>21</v>
      </c>
      <c r="B5359" s="109">
        <v>44116</v>
      </c>
      <c r="C5359" s="4">
        <v>1120</v>
      </c>
      <c r="D5359" s="21">
        <f t="shared" si="482"/>
        <v>52937</v>
      </c>
      <c r="E5359" s="4">
        <f>16+12</f>
        <v>28</v>
      </c>
      <c r="F5359" s="95">
        <f t="shared" si="481"/>
        <v>655</v>
      </c>
    </row>
    <row r="5360" spans="1:6" ht="15.75" thickBot="1" x14ac:dyDescent="0.3">
      <c r="A5360" s="105" t="s">
        <v>31</v>
      </c>
      <c r="B5360" s="109">
        <v>44116</v>
      </c>
      <c r="C5360" s="4">
        <v>77</v>
      </c>
      <c r="D5360" s="21">
        <f t="shared" si="482"/>
        <v>1634</v>
      </c>
      <c r="E5360" s="4">
        <v>0</v>
      </c>
      <c r="F5360" s="95">
        <f t="shared" si="481"/>
        <v>31</v>
      </c>
    </row>
    <row r="5361" spans="1:6" ht="15.75" thickBot="1" x14ac:dyDescent="0.3">
      <c r="A5361" s="105" t="s">
        <v>32</v>
      </c>
      <c r="B5361" s="109">
        <v>44116</v>
      </c>
      <c r="C5361" s="4">
        <v>176</v>
      </c>
      <c r="D5361" s="21">
        <f t="shared" si="482"/>
        <v>9566</v>
      </c>
      <c r="E5361" s="4">
        <f>6+7</f>
        <v>13</v>
      </c>
      <c r="F5361" s="95">
        <f t="shared" si="481"/>
        <v>188</v>
      </c>
    </row>
    <row r="5362" spans="1:6" ht="15.75" thickBot="1" x14ac:dyDescent="0.3">
      <c r="A5362" s="105" t="s">
        <v>42</v>
      </c>
      <c r="B5362" s="109">
        <v>44116</v>
      </c>
      <c r="C5362" s="4">
        <v>8</v>
      </c>
      <c r="D5362" s="21">
        <f t="shared" si="482"/>
        <v>136</v>
      </c>
      <c r="F5362" s="95">
        <f t="shared" si="481"/>
        <v>1</v>
      </c>
    </row>
    <row r="5363" spans="1:6" ht="15.75" thickBot="1" x14ac:dyDescent="0.3">
      <c r="A5363" s="105" t="s">
        <v>33</v>
      </c>
      <c r="B5363" s="109">
        <v>44116</v>
      </c>
      <c r="C5363" s="4">
        <v>76</v>
      </c>
      <c r="D5363" s="21">
        <f t="shared" si="482"/>
        <v>16806</v>
      </c>
      <c r="F5363" s="95">
        <f t="shared" si="481"/>
        <v>628</v>
      </c>
    </row>
    <row r="5364" spans="1:6" ht="15.75" thickBot="1" x14ac:dyDescent="0.3">
      <c r="A5364" s="105" t="s">
        <v>34</v>
      </c>
      <c r="B5364" s="109">
        <v>44116</v>
      </c>
      <c r="C5364" s="4">
        <v>57</v>
      </c>
      <c r="D5364" s="21">
        <f t="shared" si="482"/>
        <v>1127</v>
      </c>
      <c r="F5364" s="95">
        <f t="shared" ref="F5364:F5375" si="483">E5364+F5340</f>
        <v>12</v>
      </c>
    </row>
    <row r="5365" spans="1:6" ht="15.75" thickBot="1" x14ac:dyDescent="0.3">
      <c r="A5365" s="105" t="s">
        <v>22</v>
      </c>
      <c r="B5365" s="109">
        <v>44116</v>
      </c>
      <c r="C5365" s="4">
        <v>160</v>
      </c>
      <c r="D5365" s="21">
        <f t="shared" si="482"/>
        <v>5988</v>
      </c>
      <c r="E5365" s="4">
        <f>1</f>
        <v>1</v>
      </c>
      <c r="F5365" s="95">
        <f t="shared" si="483"/>
        <v>176</v>
      </c>
    </row>
    <row r="5366" spans="1:6" ht="15.75" thickBot="1" x14ac:dyDescent="0.3">
      <c r="A5366" s="105" t="s">
        <v>18</v>
      </c>
      <c r="B5366" s="109">
        <v>44116</v>
      </c>
      <c r="C5366" s="4">
        <v>364</v>
      </c>
      <c r="D5366" s="21">
        <f t="shared" si="482"/>
        <v>32399</v>
      </c>
      <c r="E5366" s="4">
        <f>1+1</f>
        <v>2</v>
      </c>
      <c r="F5366" s="95">
        <f t="shared" si="483"/>
        <v>437</v>
      </c>
    </row>
    <row r="5367" spans="1:6" ht="15.75" thickBot="1" x14ac:dyDescent="0.3">
      <c r="A5367" s="105" t="s">
        <v>24</v>
      </c>
      <c r="B5367" s="109">
        <v>44116</v>
      </c>
      <c r="C5367" s="4">
        <v>8</v>
      </c>
      <c r="D5367" s="21">
        <f t="shared" si="482"/>
        <v>162</v>
      </c>
      <c r="F5367" s="95">
        <f t="shared" si="483"/>
        <v>4</v>
      </c>
    </row>
    <row r="5368" spans="1:6" ht="15.75" thickBot="1" x14ac:dyDescent="0.3">
      <c r="A5368" s="105" t="s">
        <v>20</v>
      </c>
      <c r="B5368" s="109">
        <v>44116</v>
      </c>
      <c r="C5368" s="4">
        <v>264</v>
      </c>
      <c r="D5368" s="21">
        <f>C5368+D5344</f>
        <v>12389</v>
      </c>
      <c r="E5368" s="4">
        <f>1</f>
        <v>1</v>
      </c>
      <c r="F5368" s="95">
        <f t="shared" si="483"/>
        <v>185</v>
      </c>
    </row>
    <row r="5369" spans="1:6" ht="15.75" thickBot="1" x14ac:dyDescent="0.3">
      <c r="A5369" s="105" t="s">
        <v>19</v>
      </c>
      <c r="B5369" s="109">
        <v>44116</v>
      </c>
      <c r="C5369" s="4">
        <v>233</v>
      </c>
      <c r="D5369" s="21">
        <f>C5369+D5345</f>
        <v>16727</v>
      </c>
      <c r="E5369" s="4">
        <f>2+2</f>
        <v>4</v>
      </c>
      <c r="F5369" s="95">
        <f t="shared" si="483"/>
        <v>368</v>
      </c>
    </row>
    <row r="5370" spans="1:6" ht="15.75" thickBot="1" x14ac:dyDescent="0.3">
      <c r="A5370" s="105" t="s">
        <v>35</v>
      </c>
      <c r="B5370" s="109">
        <v>44116</v>
      </c>
      <c r="C5370" s="4">
        <v>84</v>
      </c>
      <c r="D5370" s="21">
        <f>C5370+D5346</f>
        <v>15468</v>
      </c>
      <c r="E5370" s="4">
        <f>7+1+4</f>
        <v>12</v>
      </c>
      <c r="F5370" s="95">
        <f>E5370+F5346</f>
        <v>535</v>
      </c>
    </row>
    <row r="5371" spans="1:6" ht="15.75" thickBot="1" x14ac:dyDescent="0.3">
      <c r="A5371" s="105" t="s">
        <v>36</v>
      </c>
      <c r="B5371" s="109">
        <v>44116</v>
      </c>
      <c r="C5371" s="4">
        <v>37</v>
      </c>
      <c r="D5371" s="21">
        <f t="shared" ref="D5371:D5377" si="484">C5371+D5347</f>
        <v>1241</v>
      </c>
      <c r="F5371" s="95">
        <f>E5371+F5347</f>
        <v>42</v>
      </c>
    </row>
    <row r="5372" spans="1:6" ht="15.75" thickBot="1" x14ac:dyDescent="0.3">
      <c r="A5372" s="105" t="s">
        <v>37</v>
      </c>
      <c r="B5372" s="109">
        <v>44116</v>
      </c>
      <c r="C5372" s="4">
        <v>68</v>
      </c>
      <c r="D5372" s="21">
        <f t="shared" si="484"/>
        <v>2290</v>
      </c>
      <c r="F5372" s="95">
        <f t="shared" si="483"/>
        <v>33</v>
      </c>
    </row>
    <row r="5373" spans="1:6" ht="15.75" thickBot="1" x14ac:dyDescent="0.3">
      <c r="A5373" s="105" t="s">
        <v>38</v>
      </c>
      <c r="B5373" s="109">
        <v>44116</v>
      </c>
      <c r="C5373" s="4">
        <v>103</v>
      </c>
      <c r="D5373" s="21">
        <f t="shared" si="484"/>
        <v>6448</v>
      </c>
      <c r="E5373" s="4">
        <f>1+1</f>
        <v>2</v>
      </c>
      <c r="F5373" s="95">
        <f>E5373+F5349</f>
        <v>88</v>
      </c>
    </row>
    <row r="5374" spans="1:6" ht="15.75" thickBot="1" x14ac:dyDescent="0.3">
      <c r="A5374" s="105" t="s">
        <v>23</v>
      </c>
      <c r="B5374" s="109">
        <v>44116</v>
      </c>
      <c r="C5374" s="4">
        <v>1711</v>
      </c>
      <c r="D5374" s="21">
        <f t="shared" si="484"/>
        <v>64611</v>
      </c>
      <c r="E5374" s="4">
        <f>7+4</f>
        <v>11</v>
      </c>
      <c r="F5374" s="95">
        <f>E5374+F5350</f>
        <v>682</v>
      </c>
    </row>
    <row r="5375" spans="1:6" ht="15.75" thickBot="1" x14ac:dyDescent="0.3">
      <c r="A5375" s="105" t="s">
        <v>39</v>
      </c>
      <c r="B5375" s="109">
        <v>44116</v>
      </c>
      <c r="C5375" s="4">
        <v>573</v>
      </c>
      <c r="D5375" s="21">
        <f t="shared" si="484"/>
        <v>5399</v>
      </c>
      <c r="E5375" s="4">
        <f>2</f>
        <v>2</v>
      </c>
      <c r="F5375" s="95">
        <f t="shared" si="483"/>
        <v>86</v>
      </c>
    </row>
    <row r="5376" spans="1:6" ht="15.75" thickBot="1" x14ac:dyDescent="0.3">
      <c r="A5376" s="105" t="s">
        <v>40</v>
      </c>
      <c r="B5376" s="109">
        <v>44116</v>
      </c>
      <c r="C5376" s="4">
        <v>268</v>
      </c>
      <c r="D5376" s="21">
        <f t="shared" si="484"/>
        <v>6692</v>
      </c>
      <c r="E5376" s="4">
        <f>1</f>
        <v>1</v>
      </c>
      <c r="F5376" s="95">
        <f t="shared" ref="F5376:F5387" si="485">E5376+F5352</f>
        <v>85</v>
      </c>
    </row>
    <row r="5377" spans="1:6" ht="15.75" thickBot="1" x14ac:dyDescent="0.3">
      <c r="A5377" s="107" t="s">
        <v>41</v>
      </c>
      <c r="B5377" s="103">
        <v>44116</v>
      </c>
      <c r="C5377" s="30">
        <v>922</v>
      </c>
      <c r="D5377" s="59">
        <f t="shared" si="484"/>
        <v>27539</v>
      </c>
      <c r="E5377" s="30">
        <f>21+19</f>
        <v>40</v>
      </c>
      <c r="F5377" s="104">
        <f t="shared" si="485"/>
        <v>382</v>
      </c>
    </row>
    <row r="5378" spans="1:6" x14ac:dyDescent="0.25">
      <c r="A5378" s="45" t="s">
        <v>17</v>
      </c>
      <c r="B5378" s="32">
        <v>44117</v>
      </c>
      <c r="C5378" s="33">
        <v>4666</v>
      </c>
      <c r="D5378" s="97">
        <f>C5378+D5354</f>
        <v>475292</v>
      </c>
      <c r="E5378" s="33">
        <v>169</v>
      </c>
      <c r="F5378" s="94">
        <f t="shared" si="485"/>
        <v>15018</v>
      </c>
    </row>
    <row r="5379" spans="1:6" x14ac:dyDescent="0.25">
      <c r="A5379" s="105" t="s">
        <v>44</v>
      </c>
      <c r="B5379" s="19">
        <v>44117</v>
      </c>
      <c r="C5379" s="4">
        <v>745</v>
      </c>
      <c r="D5379" s="21">
        <f t="shared" ref="D5379:D5391" si="486">C5379+D5355</f>
        <v>136236</v>
      </c>
      <c r="E5379" s="4">
        <v>49</v>
      </c>
      <c r="F5379" s="95">
        <f t="shared" si="485"/>
        <v>4096</v>
      </c>
    </row>
    <row r="5380" spans="1:6" x14ac:dyDescent="0.25">
      <c r="A5380" s="105" t="s">
        <v>29</v>
      </c>
      <c r="B5380" s="19">
        <v>44117</v>
      </c>
      <c r="C5380" s="4">
        <v>3</v>
      </c>
      <c r="D5380" s="21">
        <f t="shared" si="486"/>
        <v>393</v>
      </c>
      <c r="F5380" s="95">
        <f t="shared" si="485"/>
        <v>0</v>
      </c>
    </row>
    <row r="5381" spans="1:6" x14ac:dyDescent="0.25">
      <c r="A5381" s="105" t="s">
        <v>16</v>
      </c>
      <c r="B5381" s="19">
        <v>44117</v>
      </c>
      <c r="C5381" s="4">
        <v>172</v>
      </c>
      <c r="D5381" s="21">
        <f t="shared" si="486"/>
        <v>10678</v>
      </c>
      <c r="E5381" s="4">
        <v>10</v>
      </c>
      <c r="F5381" s="95">
        <f t="shared" si="485"/>
        <v>344</v>
      </c>
    </row>
    <row r="5382" spans="1:6" x14ac:dyDescent="0.25">
      <c r="A5382" s="105" t="s">
        <v>30</v>
      </c>
      <c r="B5382" s="19">
        <v>44117</v>
      </c>
      <c r="C5382" s="4">
        <v>438</v>
      </c>
      <c r="D5382" s="21">
        <f t="shared" si="486"/>
        <v>7788</v>
      </c>
      <c r="E5382" s="4">
        <v>4</v>
      </c>
      <c r="F5382" s="95">
        <f t="shared" si="485"/>
        <v>101</v>
      </c>
    </row>
    <row r="5383" spans="1:6" x14ac:dyDescent="0.25">
      <c r="A5383" s="105" t="s">
        <v>21</v>
      </c>
      <c r="B5383" s="19">
        <v>44117</v>
      </c>
      <c r="C5383" s="4">
        <v>1158</v>
      </c>
      <c r="D5383" s="21">
        <f t="shared" si="486"/>
        <v>54095</v>
      </c>
      <c r="E5383" s="4">
        <v>35</v>
      </c>
      <c r="F5383" s="95">
        <f t="shared" si="485"/>
        <v>690</v>
      </c>
    </row>
    <row r="5384" spans="1:6" x14ac:dyDescent="0.25">
      <c r="A5384" s="105" t="s">
        <v>31</v>
      </c>
      <c r="B5384" s="19">
        <v>44117</v>
      </c>
      <c r="C5384" s="4">
        <v>114</v>
      </c>
      <c r="D5384" s="21">
        <f t="shared" si="486"/>
        <v>1748</v>
      </c>
      <c r="E5384" s="4">
        <v>1</v>
      </c>
      <c r="F5384" s="95">
        <f t="shared" si="485"/>
        <v>32</v>
      </c>
    </row>
    <row r="5385" spans="1:6" x14ac:dyDescent="0.25">
      <c r="A5385" s="105" t="s">
        <v>32</v>
      </c>
      <c r="B5385" s="19">
        <v>44117</v>
      </c>
      <c r="C5385" s="4">
        <v>257</v>
      </c>
      <c r="D5385" s="21">
        <f t="shared" si="486"/>
        <v>9823</v>
      </c>
      <c r="E5385" s="4">
        <v>5</v>
      </c>
      <c r="F5385" s="95">
        <f t="shared" si="485"/>
        <v>193</v>
      </c>
    </row>
    <row r="5386" spans="1:6" x14ac:dyDescent="0.25">
      <c r="A5386" s="105" t="s">
        <v>42</v>
      </c>
      <c r="B5386" s="19">
        <v>44117</v>
      </c>
      <c r="C5386" s="4">
        <v>3</v>
      </c>
      <c r="D5386" s="21">
        <f t="shared" si="486"/>
        <v>139</v>
      </c>
      <c r="F5386" s="95">
        <f t="shared" si="485"/>
        <v>1</v>
      </c>
    </row>
    <row r="5387" spans="1:6" x14ac:dyDescent="0.25">
      <c r="A5387" s="105" t="s">
        <v>33</v>
      </c>
      <c r="B5387" s="19">
        <v>44117</v>
      </c>
      <c r="C5387" s="4">
        <v>36</v>
      </c>
      <c r="D5387" s="21">
        <f t="shared" si="486"/>
        <v>16842</v>
      </c>
      <c r="E5387" s="4">
        <v>2</v>
      </c>
      <c r="F5387" s="95">
        <f t="shared" si="485"/>
        <v>630</v>
      </c>
    </row>
    <row r="5388" spans="1:6" x14ac:dyDescent="0.25">
      <c r="A5388" s="105" t="s">
        <v>34</v>
      </c>
      <c r="B5388" s="19">
        <v>44117</v>
      </c>
      <c r="C5388" s="4">
        <v>44</v>
      </c>
      <c r="D5388" s="21">
        <f t="shared" si="486"/>
        <v>1171</v>
      </c>
      <c r="E5388" s="4">
        <v>1</v>
      </c>
      <c r="F5388" s="95">
        <f t="shared" ref="F5388:F5399" si="487">E5388+F5364</f>
        <v>13</v>
      </c>
    </row>
    <row r="5389" spans="1:6" x14ac:dyDescent="0.25">
      <c r="A5389" s="105" t="s">
        <v>22</v>
      </c>
      <c r="B5389" s="19">
        <v>44117</v>
      </c>
      <c r="C5389" s="4">
        <v>43</v>
      </c>
      <c r="D5389" s="21">
        <f t="shared" si="486"/>
        <v>6031</v>
      </c>
      <c r="E5389" s="4">
        <v>6</v>
      </c>
      <c r="F5389" s="95">
        <f t="shared" si="487"/>
        <v>182</v>
      </c>
    </row>
    <row r="5390" spans="1:6" x14ac:dyDescent="0.25">
      <c r="A5390" s="105" t="s">
        <v>18</v>
      </c>
      <c r="B5390" s="19">
        <v>44117</v>
      </c>
      <c r="C5390" s="4">
        <v>653</v>
      </c>
      <c r="D5390" s="21">
        <f t="shared" si="486"/>
        <v>33052</v>
      </c>
      <c r="E5390" s="4">
        <v>7</v>
      </c>
      <c r="F5390" s="95">
        <f t="shared" si="487"/>
        <v>444</v>
      </c>
    </row>
    <row r="5391" spans="1:6" x14ac:dyDescent="0.25">
      <c r="A5391" s="105" t="s">
        <v>24</v>
      </c>
      <c r="B5391" s="19">
        <v>44117</v>
      </c>
      <c r="C5391" s="4">
        <v>24</v>
      </c>
      <c r="D5391" s="21">
        <f t="shared" si="486"/>
        <v>186</v>
      </c>
      <c r="F5391" s="95">
        <f t="shared" si="487"/>
        <v>4</v>
      </c>
    </row>
    <row r="5392" spans="1:6" x14ac:dyDescent="0.25">
      <c r="A5392" s="105" t="s">
        <v>20</v>
      </c>
      <c r="B5392" s="19">
        <v>44117</v>
      </c>
      <c r="C5392" s="4">
        <v>299</v>
      </c>
      <c r="D5392" s="21">
        <f>C5392+D5368</f>
        <v>12688</v>
      </c>
      <c r="E5392" s="4">
        <v>12</v>
      </c>
      <c r="F5392" s="95">
        <f t="shared" si="487"/>
        <v>197</v>
      </c>
    </row>
    <row r="5393" spans="1:6" x14ac:dyDescent="0.25">
      <c r="A5393" s="105" t="s">
        <v>19</v>
      </c>
      <c r="B5393" s="19">
        <v>44117</v>
      </c>
      <c r="C5393" s="4">
        <v>405</v>
      </c>
      <c r="D5393" s="21">
        <f>C5393+D5369</f>
        <v>17132</v>
      </c>
      <c r="E5393" s="4">
        <v>6</v>
      </c>
      <c r="F5393" s="95">
        <f t="shared" si="487"/>
        <v>374</v>
      </c>
    </row>
    <row r="5394" spans="1:6" x14ac:dyDescent="0.25">
      <c r="A5394" s="105" t="s">
        <v>35</v>
      </c>
      <c r="B5394" s="19">
        <v>44117</v>
      </c>
      <c r="C5394" s="4">
        <v>136</v>
      </c>
      <c r="D5394" s="21">
        <f>C5394+D5370</f>
        <v>15604</v>
      </c>
      <c r="E5394" s="4">
        <v>8</v>
      </c>
      <c r="F5394" s="95">
        <f>E5394+F5370</f>
        <v>543</v>
      </c>
    </row>
    <row r="5395" spans="1:6" x14ac:dyDescent="0.25">
      <c r="A5395" s="105" t="s">
        <v>36</v>
      </c>
      <c r="B5395" s="19">
        <v>44117</v>
      </c>
      <c r="C5395" s="4">
        <v>27</v>
      </c>
      <c r="D5395" s="21">
        <f t="shared" ref="D5395:D5401" si="488">C5395+D5371</f>
        <v>1268</v>
      </c>
      <c r="E5395" s="4">
        <v>9</v>
      </c>
      <c r="F5395" s="95">
        <f>E5395+F5371</f>
        <v>51</v>
      </c>
    </row>
    <row r="5396" spans="1:6" x14ac:dyDescent="0.25">
      <c r="A5396" s="105" t="s">
        <v>37</v>
      </c>
      <c r="B5396" s="19">
        <v>44117</v>
      </c>
      <c r="C5396" s="4">
        <v>126</v>
      </c>
      <c r="D5396" s="21">
        <f t="shared" si="488"/>
        <v>2416</v>
      </c>
      <c r="F5396" s="95">
        <f t="shared" si="487"/>
        <v>33</v>
      </c>
    </row>
    <row r="5397" spans="1:6" x14ac:dyDescent="0.25">
      <c r="A5397" s="105" t="s">
        <v>38</v>
      </c>
      <c r="B5397" s="19">
        <v>44117</v>
      </c>
      <c r="C5397" s="4">
        <v>66</v>
      </c>
      <c r="D5397" s="21">
        <f t="shared" si="488"/>
        <v>6514</v>
      </c>
      <c r="E5397" s="4">
        <v>3</v>
      </c>
      <c r="F5397" s="95">
        <f>E5397+F5373</f>
        <v>91</v>
      </c>
    </row>
    <row r="5398" spans="1:6" x14ac:dyDescent="0.25">
      <c r="A5398" s="105" t="s">
        <v>23</v>
      </c>
      <c r="B5398" s="19">
        <v>44117</v>
      </c>
      <c r="C5398" s="4">
        <v>2288</v>
      </c>
      <c r="D5398" s="21">
        <f t="shared" si="488"/>
        <v>66899</v>
      </c>
      <c r="E5398" s="4">
        <v>25</v>
      </c>
      <c r="F5398" s="95">
        <f>E5398+F5374</f>
        <v>707</v>
      </c>
    </row>
    <row r="5399" spans="1:6" x14ac:dyDescent="0.25">
      <c r="A5399" s="105" t="s">
        <v>39</v>
      </c>
      <c r="B5399" s="19">
        <v>44117</v>
      </c>
      <c r="C5399" s="4">
        <v>146</v>
      </c>
      <c r="D5399" s="21">
        <f t="shared" si="488"/>
        <v>5545</v>
      </c>
      <c r="E5399" s="4">
        <v>2</v>
      </c>
      <c r="F5399" s="95">
        <f t="shared" si="487"/>
        <v>88</v>
      </c>
    </row>
    <row r="5400" spans="1:6" x14ac:dyDescent="0.25">
      <c r="A5400" s="105" t="s">
        <v>40</v>
      </c>
      <c r="B5400" s="19">
        <v>44117</v>
      </c>
      <c r="C5400" s="4">
        <v>202</v>
      </c>
      <c r="D5400" s="21">
        <f t="shared" si="488"/>
        <v>6894</v>
      </c>
      <c r="E5400" s="4">
        <v>2</v>
      </c>
      <c r="F5400" s="95">
        <f t="shared" ref="F5400:F5411" si="489">E5400+F5376</f>
        <v>87</v>
      </c>
    </row>
    <row r="5401" spans="1:6" ht="15.75" thickBot="1" x14ac:dyDescent="0.3">
      <c r="A5401" s="106" t="s">
        <v>41</v>
      </c>
      <c r="B5401" s="36">
        <v>44117</v>
      </c>
      <c r="C5401" s="37">
        <v>1254</v>
      </c>
      <c r="D5401" s="98">
        <f t="shared" si="488"/>
        <v>28793</v>
      </c>
      <c r="E5401" s="37">
        <v>28</v>
      </c>
      <c r="F5401" s="96">
        <f t="shared" si="489"/>
        <v>410</v>
      </c>
    </row>
    <row r="5402" spans="1:6" ht="15.75" thickBot="1" x14ac:dyDescent="0.3">
      <c r="A5402" s="45" t="s">
        <v>17</v>
      </c>
      <c r="B5402" s="36">
        <v>44118</v>
      </c>
      <c r="C5402" s="31">
        <v>5175</v>
      </c>
      <c r="D5402" s="97">
        <f>C5402+D5378</f>
        <v>480467</v>
      </c>
      <c r="E5402" s="31">
        <f>1+87+76</f>
        <v>164</v>
      </c>
      <c r="F5402" s="94">
        <f t="shared" si="489"/>
        <v>15182</v>
      </c>
    </row>
    <row r="5403" spans="1:6" ht="15.75" thickBot="1" x14ac:dyDescent="0.3">
      <c r="A5403" s="105" t="s">
        <v>44</v>
      </c>
      <c r="B5403" s="36">
        <v>44118</v>
      </c>
      <c r="C5403" s="4">
        <v>825</v>
      </c>
      <c r="D5403" s="21">
        <f t="shared" ref="D5403:D5415" si="490">C5403+D5379</f>
        <v>137061</v>
      </c>
      <c r="E5403" s="4">
        <f>1+24+26</f>
        <v>51</v>
      </c>
      <c r="F5403" s="95">
        <f t="shared" si="489"/>
        <v>4147</v>
      </c>
    </row>
    <row r="5404" spans="1:6" ht="15.75" thickBot="1" x14ac:dyDescent="0.3">
      <c r="A5404" s="105" t="s">
        <v>29</v>
      </c>
      <c r="B5404" s="36">
        <v>44118</v>
      </c>
      <c r="C5404" s="4">
        <v>8</v>
      </c>
      <c r="D5404" s="21">
        <f t="shared" si="490"/>
        <v>401</v>
      </c>
      <c r="F5404" s="95">
        <f t="shared" si="489"/>
        <v>0</v>
      </c>
    </row>
    <row r="5405" spans="1:6" ht="15.75" thickBot="1" x14ac:dyDescent="0.3">
      <c r="A5405" s="105" t="s">
        <v>16</v>
      </c>
      <c r="B5405" s="36">
        <v>44118</v>
      </c>
      <c r="C5405" s="4">
        <v>192</v>
      </c>
      <c r="D5405" s="21">
        <f t="shared" si="490"/>
        <v>10870</v>
      </c>
      <c r="E5405" s="4">
        <f>1+1</f>
        <v>2</v>
      </c>
      <c r="F5405" s="95">
        <f t="shared" si="489"/>
        <v>346</v>
      </c>
    </row>
    <row r="5406" spans="1:6" ht="15.75" thickBot="1" x14ac:dyDescent="0.3">
      <c r="A5406" s="105" t="s">
        <v>30</v>
      </c>
      <c r="B5406" s="36">
        <v>44118</v>
      </c>
      <c r="C5406" s="4">
        <v>236</v>
      </c>
      <c r="D5406" s="21">
        <f t="shared" si="490"/>
        <v>8024</v>
      </c>
      <c r="F5406" s="95">
        <f t="shared" si="489"/>
        <v>101</v>
      </c>
    </row>
    <row r="5407" spans="1:6" ht="15.75" thickBot="1" x14ac:dyDescent="0.3">
      <c r="A5407" s="105" t="s">
        <v>21</v>
      </c>
      <c r="B5407" s="36">
        <v>44118</v>
      </c>
      <c r="C5407" s="4">
        <v>1606</v>
      </c>
      <c r="D5407" s="21">
        <f t="shared" si="490"/>
        <v>55701</v>
      </c>
      <c r="E5407" s="4">
        <f>15+13</f>
        <v>28</v>
      </c>
      <c r="F5407" s="95">
        <f t="shared" si="489"/>
        <v>718</v>
      </c>
    </row>
    <row r="5408" spans="1:6" ht="15.75" thickBot="1" x14ac:dyDescent="0.3">
      <c r="A5408" s="105" t="s">
        <v>31</v>
      </c>
      <c r="B5408" s="36">
        <v>44118</v>
      </c>
      <c r="C5408" s="4">
        <v>54</v>
      </c>
      <c r="D5408" s="21">
        <f t="shared" si="490"/>
        <v>1802</v>
      </c>
      <c r="F5408" s="95">
        <f t="shared" si="489"/>
        <v>32</v>
      </c>
    </row>
    <row r="5409" spans="1:6" ht="15.75" thickBot="1" x14ac:dyDescent="0.3">
      <c r="A5409" s="105" t="s">
        <v>32</v>
      </c>
      <c r="B5409" s="36">
        <v>44118</v>
      </c>
      <c r="C5409" s="4">
        <v>299</v>
      </c>
      <c r="D5409" s="21">
        <f t="shared" si="490"/>
        <v>10122</v>
      </c>
      <c r="E5409" s="4">
        <f>2+1</f>
        <v>3</v>
      </c>
      <c r="F5409" s="95">
        <f t="shared" si="489"/>
        <v>196</v>
      </c>
    </row>
    <row r="5410" spans="1:6" ht="15.75" thickBot="1" x14ac:dyDescent="0.3">
      <c r="A5410" s="105" t="s">
        <v>42</v>
      </c>
      <c r="B5410" s="36">
        <v>44118</v>
      </c>
      <c r="C5410" s="4">
        <v>1</v>
      </c>
      <c r="D5410" s="21">
        <f t="shared" si="490"/>
        <v>140</v>
      </c>
      <c r="F5410" s="95">
        <f t="shared" si="489"/>
        <v>1</v>
      </c>
    </row>
    <row r="5411" spans="1:6" ht="15.75" thickBot="1" x14ac:dyDescent="0.3">
      <c r="A5411" s="105" t="s">
        <v>33</v>
      </c>
      <c r="B5411" s="36">
        <v>44118</v>
      </c>
      <c r="C5411" s="4">
        <v>103</v>
      </c>
      <c r="D5411" s="21">
        <f t="shared" si="490"/>
        <v>16945</v>
      </c>
      <c r="F5411" s="95">
        <f t="shared" si="489"/>
        <v>630</v>
      </c>
    </row>
    <row r="5412" spans="1:6" ht="15.75" thickBot="1" x14ac:dyDescent="0.3">
      <c r="A5412" s="105" t="s">
        <v>34</v>
      </c>
      <c r="B5412" s="36">
        <v>44118</v>
      </c>
      <c r="C5412" s="4">
        <v>101</v>
      </c>
      <c r="D5412" s="21">
        <f t="shared" si="490"/>
        <v>1272</v>
      </c>
      <c r="E5412" s="4">
        <f>2+1</f>
        <v>3</v>
      </c>
      <c r="F5412" s="95">
        <f t="shared" ref="F5412:F5423" si="491">E5412+F5388</f>
        <v>16</v>
      </c>
    </row>
    <row r="5413" spans="1:6" ht="15.75" thickBot="1" x14ac:dyDescent="0.3">
      <c r="A5413" s="105" t="s">
        <v>22</v>
      </c>
      <c r="B5413" s="36">
        <v>44118</v>
      </c>
      <c r="C5413" s="4">
        <v>87</v>
      </c>
      <c r="D5413" s="21">
        <f t="shared" si="490"/>
        <v>6118</v>
      </c>
      <c r="E5413" s="4">
        <f>4</f>
        <v>4</v>
      </c>
      <c r="F5413" s="95">
        <f t="shared" si="491"/>
        <v>186</v>
      </c>
    </row>
    <row r="5414" spans="1:6" ht="15.75" thickBot="1" x14ac:dyDescent="0.3">
      <c r="A5414" s="105" t="s">
        <v>18</v>
      </c>
      <c r="B5414" s="36">
        <v>44118</v>
      </c>
      <c r="C5414" s="4">
        <v>925</v>
      </c>
      <c r="D5414" s="21">
        <f t="shared" si="490"/>
        <v>33977</v>
      </c>
      <c r="E5414" s="4">
        <f>6+3</f>
        <v>9</v>
      </c>
      <c r="F5414" s="95">
        <f t="shared" si="491"/>
        <v>453</v>
      </c>
    </row>
    <row r="5415" spans="1:6" ht="15.75" thickBot="1" x14ac:dyDescent="0.3">
      <c r="A5415" s="105" t="s">
        <v>24</v>
      </c>
      <c r="B5415" s="36">
        <v>44118</v>
      </c>
      <c r="C5415" s="4">
        <v>3</v>
      </c>
      <c r="D5415" s="21">
        <f t="shared" si="490"/>
        <v>189</v>
      </c>
      <c r="F5415" s="95">
        <f t="shared" si="491"/>
        <v>4</v>
      </c>
    </row>
    <row r="5416" spans="1:6" ht="15.75" thickBot="1" x14ac:dyDescent="0.3">
      <c r="A5416" s="105" t="s">
        <v>20</v>
      </c>
      <c r="B5416" s="36">
        <v>44118</v>
      </c>
      <c r="C5416" s="4">
        <v>296</v>
      </c>
      <c r="D5416" s="21">
        <f>C5416+D5392</f>
        <v>12984</v>
      </c>
      <c r="E5416" s="4">
        <f>5+3</f>
        <v>8</v>
      </c>
      <c r="F5416" s="95">
        <f t="shared" si="491"/>
        <v>205</v>
      </c>
    </row>
    <row r="5417" spans="1:6" ht="15.75" thickBot="1" x14ac:dyDescent="0.3">
      <c r="A5417" s="105" t="s">
        <v>19</v>
      </c>
      <c r="B5417" s="36">
        <v>44118</v>
      </c>
      <c r="C5417" s="4">
        <v>361</v>
      </c>
      <c r="D5417" s="21">
        <f>C5417+D5393</f>
        <v>17493</v>
      </c>
      <c r="E5417" s="4">
        <f>10+4</f>
        <v>14</v>
      </c>
      <c r="F5417" s="95">
        <f t="shared" si="491"/>
        <v>388</v>
      </c>
    </row>
    <row r="5418" spans="1:6" ht="15.75" thickBot="1" x14ac:dyDescent="0.3">
      <c r="A5418" s="105" t="s">
        <v>35</v>
      </c>
      <c r="B5418" s="36">
        <v>44118</v>
      </c>
      <c r="C5418" s="4">
        <v>150</v>
      </c>
      <c r="D5418" s="21">
        <f>C5418+D5394</f>
        <v>15754</v>
      </c>
      <c r="E5418" s="4">
        <f>6+3</f>
        <v>9</v>
      </c>
      <c r="F5418" s="95">
        <f>E5418+F5394</f>
        <v>552</v>
      </c>
    </row>
    <row r="5419" spans="1:6" ht="15.75" thickBot="1" x14ac:dyDescent="0.3">
      <c r="A5419" s="105" t="s">
        <v>36</v>
      </c>
      <c r="B5419" s="36">
        <v>44118</v>
      </c>
      <c r="C5419" s="4">
        <v>5</v>
      </c>
      <c r="D5419" s="21">
        <f t="shared" ref="D5419:D5425" si="492">C5419+D5395</f>
        <v>1273</v>
      </c>
      <c r="F5419" s="95">
        <f>E5419+F5395</f>
        <v>51</v>
      </c>
    </row>
    <row r="5420" spans="1:6" ht="15.75" thickBot="1" x14ac:dyDescent="0.3">
      <c r="A5420" s="105" t="s">
        <v>37</v>
      </c>
      <c r="B5420" s="36">
        <v>44118</v>
      </c>
      <c r="C5420" s="4">
        <v>151</v>
      </c>
      <c r="D5420" s="21">
        <f t="shared" si="492"/>
        <v>2567</v>
      </c>
      <c r="E5420" s="4">
        <f>1</f>
        <v>1</v>
      </c>
      <c r="F5420" s="95">
        <f t="shared" si="491"/>
        <v>34</v>
      </c>
    </row>
    <row r="5421" spans="1:6" ht="15.75" thickBot="1" x14ac:dyDescent="0.3">
      <c r="A5421" s="105" t="s">
        <v>38</v>
      </c>
      <c r="B5421" s="36">
        <v>44118</v>
      </c>
      <c r="C5421" s="4">
        <v>195</v>
      </c>
      <c r="D5421" s="21">
        <f t="shared" si="492"/>
        <v>6709</v>
      </c>
      <c r="E5421" s="4">
        <f>1</f>
        <v>1</v>
      </c>
      <c r="F5421" s="95">
        <f>E5421+F5397</f>
        <v>92</v>
      </c>
    </row>
    <row r="5422" spans="1:6" ht="15.75" thickBot="1" x14ac:dyDescent="0.3">
      <c r="A5422" s="105" t="s">
        <v>23</v>
      </c>
      <c r="B5422" s="36">
        <v>44118</v>
      </c>
      <c r="C5422" s="4">
        <v>2470</v>
      </c>
      <c r="D5422" s="21">
        <f t="shared" si="492"/>
        <v>69369</v>
      </c>
      <c r="E5422" s="4">
        <f>24+17</f>
        <v>41</v>
      </c>
      <c r="F5422" s="95">
        <f>E5422+F5398</f>
        <v>748</v>
      </c>
    </row>
    <row r="5423" spans="1:6" ht="15.75" thickBot="1" x14ac:dyDescent="0.3">
      <c r="A5423" s="105" t="s">
        <v>39</v>
      </c>
      <c r="B5423" s="36">
        <v>44118</v>
      </c>
      <c r="C5423" s="4">
        <v>153</v>
      </c>
      <c r="D5423" s="21">
        <f t="shared" si="492"/>
        <v>5698</v>
      </c>
      <c r="E5423" s="4">
        <f>2+2</f>
        <v>4</v>
      </c>
      <c r="F5423" s="95">
        <f t="shared" si="491"/>
        <v>92</v>
      </c>
    </row>
    <row r="5424" spans="1:6" ht="15.75" thickBot="1" x14ac:dyDescent="0.3">
      <c r="A5424" s="105" t="s">
        <v>40</v>
      </c>
      <c r="B5424" s="36">
        <v>44118</v>
      </c>
      <c r="C5424" s="4">
        <v>295</v>
      </c>
      <c r="D5424" s="21">
        <f t="shared" si="492"/>
        <v>7189</v>
      </c>
      <c r="E5424" s="4">
        <f>1+3</f>
        <v>4</v>
      </c>
      <c r="F5424" s="95">
        <f t="shared" ref="F5424:F5435" si="493">E5424+F5400</f>
        <v>91</v>
      </c>
    </row>
    <row r="5425" spans="1:6" ht="15.75" thickBot="1" x14ac:dyDescent="0.3">
      <c r="A5425" s="107" t="s">
        <v>41</v>
      </c>
      <c r="B5425" s="29">
        <v>44118</v>
      </c>
      <c r="C5425" s="30">
        <v>1241</v>
      </c>
      <c r="D5425" s="59">
        <f t="shared" si="492"/>
        <v>30034</v>
      </c>
      <c r="E5425" s="30">
        <f>4</f>
        <v>4</v>
      </c>
      <c r="F5425" s="104">
        <f t="shared" si="493"/>
        <v>414</v>
      </c>
    </row>
    <row r="5426" spans="1:6" x14ac:dyDescent="0.25">
      <c r="A5426" s="45" t="s">
        <v>17</v>
      </c>
      <c r="B5426" s="32">
        <v>44119</v>
      </c>
      <c r="C5426" s="33">
        <v>5756</v>
      </c>
      <c r="D5426" s="97">
        <f>C5426+D5402</f>
        <v>486223</v>
      </c>
      <c r="E5426" s="33">
        <v>193</v>
      </c>
      <c r="F5426" s="94">
        <f t="shared" si="493"/>
        <v>15375</v>
      </c>
    </row>
    <row r="5427" spans="1:6" x14ac:dyDescent="0.25">
      <c r="A5427" s="105" t="s">
        <v>44</v>
      </c>
      <c r="B5427" s="19">
        <v>44119</v>
      </c>
      <c r="C5427" s="4">
        <v>830</v>
      </c>
      <c r="D5427" s="21">
        <f t="shared" ref="D5427:D5439" si="494">C5427+D5403</f>
        <v>137891</v>
      </c>
      <c r="E5427" s="4">
        <v>58</v>
      </c>
      <c r="F5427" s="95">
        <f t="shared" si="493"/>
        <v>4205</v>
      </c>
    </row>
    <row r="5428" spans="1:6" x14ac:dyDescent="0.25">
      <c r="A5428" s="105" t="s">
        <v>29</v>
      </c>
      <c r="B5428" s="19">
        <v>44119</v>
      </c>
      <c r="C5428" s="4">
        <v>6</v>
      </c>
      <c r="D5428" s="21">
        <f t="shared" si="494"/>
        <v>407</v>
      </c>
      <c r="F5428" s="95">
        <f t="shared" si="493"/>
        <v>0</v>
      </c>
    </row>
    <row r="5429" spans="1:6" x14ac:dyDescent="0.25">
      <c r="A5429" s="105" t="s">
        <v>16</v>
      </c>
      <c r="B5429" s="19">
        <v>44119</v>
      </c>
      <c r="C5429" s="4">
        <v>197</v>
      </c>
      <c r="D5429" s="21">
        <f t="shared" si="494"/>
        <v>11067</v>
      </c>
      <c r="E5429" s="4">
        <v>5</v>
      </c>
      <c r="F5429" s="95">
        <f t="shared" si="493"/>
        <v>351</v>
      </c>
    </row>
    <row r="5430" spans="1:6" x14ac:dyDescent="0.25">
      <c r="A5430" s="105" t="s">
        <v>30</v>
      </c>
      <c r="B5430" s="19">
        <v>44119</v>
      </c>
      <c r="C5430" s="4">
        <v>245</v>
      </c>
      <c r="D5430" s="21">
        <f t="shared" si="494"/>
        <v>8269</v>
      </c>
      <c r="E5430" s="4">
        <v>9</v>
      </c>
      <c r="F5430" s="95">
        <f t="shared" si="493"/>
        <v>110</v>
      </c>
    </row>
    <row r="5431" spans="1:6" x14ac:dyDescent="0.25">
      <c r="A5431" s="105" t="s">
        <v>21</v>
      </c>
      <c r="B5431" s="19">
        <v>44119</v>
      </c>
      <c r="C5431" s="4">
        <v>2082</v>
      </c>
      <c r="D5431" s="21">
        <f t="shared" si="494"/>
        <v>57783</v>
      </c>
      <c r="E5431" s="4">
        <v>44</v>
      </c>
      <c r="F5431" s="95">
        <f t="shared" si="493"/>
        <v>762</v>
      </c>
    </row>
    <row r="5432" spans="1:6" x14ac:dyDescent="0.25">
      <c r="A5432" s="105" t="s">
        <v>31</v>
      </c>
      <c r="B5432" s="19">
        <v>44119</v>
      </c>
      <c r="C5432" s="4">
        <v>72</v>
      </c>
      <c r="D5432" s="21">
        <f t="shared" si="494"/>
        <v>1874</v>
      </c>
      <c r="F5432" s="95">
        <f t="shared" si="493"/>
        <v>32</v>
      </c>
    </row>
    <row r="5433" spans="1:6" x14ac:dyDescent="0.25">
      <c r="A5433" s="105" t="s">
        <v>32</v>
      </c>
      <c r="B5433" s="19">
        <v>44119</v>
      </c>
      <c r="C5433" s="4">
        <v>334</v>
      </c>
      <c r="D5433" s="21">
        <f t="shared" si="494"/>
        <v>10456</v>
      </c>
      <c r="E5433" s="4">
        <v>7</v>
      </c>
      <c r="F5433" s="95">
        <f t="shared" si="493"/>
        <v>203</v>
      </c>
    </row>
    <row r="5434" spans="1:6" x14ac:dyDescent="0.25">
      <c r="A5434" s="105" t="s">
        <v>42</v>
      </c>
      <c r="B5434" s="19">
        <v>44119</v>
      </c>
      <c r="C5434" s="4">
        <v>-2</v>
      </c>
      <c r="D5434" s="21">
        <f t="shared" si="494"/>
        <v>138</v>
      </c>
      <c r="F5434" s="95">
        <f t="shared" si="493"/>
        <v>1</v>
      </c>
    </row>
    <row r="5435" spans="1:6" x14ac:dyDescent="0.25">
      <c r="A5435" s="105" t="s">
        <v>33</v>
      </c>
      <c r="B5435" s="19">
        <v>44119</v>
      </c>
      <c r="C5435" s="4">
        <v>120</v>
      </c>
      <c r="D5435" s="21">
        <f t="shared" si="494"/>
        <v>17065</v>
      </c>
      <c r="E5435" s="4">
        <v>13</v>
      </c>
      <c r="F5435" s="95">
        <f t="shared" si="493"/>
        <v>643</v>
      </c>
    </row>
    <row r="5436" spans="1:6" x14ac:dyDescent="0.25">
      <c r="A5436" s="105" t="s">
        <v>34</v>
      </c>
      <c r="B5436" s="19">
        <v>44119</v>
      </c>
      <c r="C5436" s="4">
        <v>82</v>
      </c>
      <c r="D5436" s="21">
        <f t="shared" si="494"/>
        <v>1354</v>
      </c>
      <c r="F5436" s="95">
        <f t="shared" ref="F5436:F5447" si="495">E5436+F5412</f>
        <v>16</v>
      </c>
    </row>
    <row r="5437" spans="1:6" x14ac:dyDescent="0.25">
      <c r="A5437" s="105" t="s">
        <v>22</v>
      </c>
      <c r="B5437" s="19">
        <v>44119</v>
      </c>
      <c r="C5437" s="4">
        <v>107</v>
      </c>
      <c r="D5437" s="21">
        <f t="shared" si="494"/>
        <v>6225</v>
      </c>
      <c r="E5437" s="4">
        <v>5</v>
      </c>
      <c r="F5437" s="95">
        <f t="shared" si="495"/>
        <v>191</v>
      </c>
    </row>
    <row r="5438" spans="1:6" x14ac:dyDescent="0.25">
      <c r="A5438" s="105" t="s">
        <v>18</v>
      </c>
      <c r="B5438" s="19">
        <v>44119</v>
      </c>
      <c r="C5438" s="4">
        <v>1056</v>
      </c>
      <c r="D5438" s="21">
        <f t="shared" si="494"/>
        <v>35033</v>
      </c>
      <c r="E5438" s="4">
        <v>15</v>
      </c>
      <c r="F5438" s="95">
        <f t="shared" si="495"/>
        <v>468</v>
      </c>
    </row>
    <row r="5439" spans="1:6" x14ac:dyDescent="0.25">
      <c r="A5439" s="105" t="s">
        <v>24</v>
      </c>
      <c r="B5439" s="19">
        <v>44119</v>
      </c>
      <c r="C5439" s="4">
        <v>12</v>
      </c>
      <c r="D5439" s="21">
        <f t="shared" si="494"/>
        <v>201</v>
      </c>
      <c r="F5439" s="95">
        <f t="shared" si="495"/>
        <v>4</v>
      </c>
    </row>
    <row r="5440" spans="1:6" x14ac:dyDescent="0.25">
      <c r="A5440" s="105" t="s">
        <v>20</v>
      </c>
      <c r="B5440" s="19">
        <v>44119</v>
      </c>
      <c r="C5440" s="4">
        <v>424</v>
      </c>
      <c r="D5440" s="21">
        <f>C5440+D5416</f>
        <v>13408</v>
      </c>
      <c r="F5440" s="95">
        <f t="shared" si="495"/>
        <v>205</v>
      </c>
    </row>
    <row r="5441" spans="1:6" x14ac:dyDescent="0.25">
      <c r="A5441" s="105" t="s">
        <v>19</v>
      </c>
      <c r="B5441" s="19">
        <v>44119</v>
      </c>
      <c r="C5441" s="4">
        <v>532</v>
      </c>
      <c r="D5441" s="21">
        <f>C5441+D5417</f>
        <v>18025</v>
      </c>
      <c r="E5441" s="4">
        <v>11</v>
      </c>
      <c r="F5441" s="95">
        <f t="shared" si="495"/>
        <v>399</v>
      </c>
    </row>
    <row r="5442" spans="1:6" x14ac:dyDescent="0.25">
      <c r="A5442" s="105" t="s">
        <v>35</v>
      </c>
      <c r="B5442" s="19">
        <v>44119</v>
      </c>
      <c r="C5442" s="4">
        <v>257</v>
      </c>
      <c r="D5442" s="21">
        <f>C5442+D5418</f>
        <v>16011</v>
      </c>
      <c r="E5442" s="4">
        <v>12</v>
      </c>
      <c r="F5442" s="95">
        <f>E5442+F5418</f>
        <v>564</v>
      </c>
    </row>
    <row r="5443" spans="1:6" x14ac:dyDescent="0.25">
      <c r="A5443" s="105" t="s">
        <v>36</v>
      </c>
      <c r="B5443" s="19">
        <v>44119</v>
      </c>
      <c r="C5443" s="4">
        <v>3</v>
      </c>
      <c r="D5443" s="21">
        <f t="shared" ref="D5443:D5449" si="496">C5443+D5419</f>
        <v>1276</v>
      </c>
      <c r="F5443" s="95">
        <f>E5443+F5419</f>
        <v>51</v>
      </c>
    </row>
    <row r="5444" spans="1:6" x14ac:dyDescent="0.25">
      <c r="A5444" s="105" t="s">
        <v>37</v>
      </c>
      <c r="B5444" s="19">
        <v>44119</v>
      </c>
      <c r="C5444" s="4">
        <v>119</v>
      </c>
      <c r="D5444" s="21">
        <f t="shared" si="496"/>
        <v>2686</v>
      </c>
      <c r="F5444" s="95">
        <f t="shared" si="495"/>
        <v>34</v>
      </c>
    </row>
    <row r="5445" spans="1:6" x14ac:dyDescent="0.25">
      <c r="A5445" s="105" t="s">
        <v>38</v>
      </c>
      <c r="B5445" s="19">
        <v>44119</v>
      </c>
      <c r="C5445" s="4">
        <v>123</v>
      </c>
      <c r="D5445" s="21">
        <f t="shared" si="496"/>
        <v>6832</v>
      </c>
      <c r="E5445" s="4">
        <v>3</v>
      </c>
      <c r="F5445" s="95">
        <f>E5445+F5421</f>
        <v>95</v>
      </c>
    </row>
    <row r="5446" spans="1:6" x14ac:dyDescent="0.25">
      <c r="A5446" s="105" t="s">
        <v>23</v>
      </c>
      <c r="B5446" s="19">
        <v>44119</v>
      </c>
      <c r="C5446" s="4">
        <v>2659</v>
      </c>
      <c r="D5446" s="21">
        <f t="shared" si="496"/>
        <v>72028</v>
      </c>
      <c r="E5446" s="4">
        <v>44</v>
      </c>
      <c r="F5446" s="95">
        <f>E5446+F5422</f>
        <v>792</v>
      </c>
    </row>
    <row r="5447" spans="1:6" x14ac:dyDescent="0.25">
      <c r="A5447" s="105" t="s">
        <v>39</v>
      </c>
      <c r="B5447" s="19">
        <v>44119</v>
      </c>
      <c r="C5447" s="4">
        <v>275</v>
      </c>
      <c r="D5447" s="21">
        <f t="shared" si="496"/>
        <v>5973</v>
      </c>
      <c r="E5447" s="4">
        <v>-1</v>
      </c>
      <c r="F5447" s="95">
        <f t="shared" si="495"/>
        <v>91</v>
      </c>
    </row>
    <row r="5448" spans="1:6" x14ac:dyDescent="0.25">
      <c r="A5448" s="105" t="s">
        <v>40</v>
      </c>
      <c r="B5448" s="19">
        <v>44119</v>
      </c>
      <c r="C5448" s="4">
        <v>313</v>
      </c>
      <c r="D5448" s="21">
        <f t="shared" si="496"/>
        <v>7502</v>
      </c>
      <c r="F5448" s="95">
        <f>E5448+F5424</f>
        <v>91</v>
      </c>
    </row>
    <row r="5449" spans="1:6" ht="15.75" thickBot="1" x14ac:dyDescent="0.3">
      <c r="A5449" s="106" t="s">
        <v>41</v>
      </c>
      <c r="B5449" s="36">
        <v>44119</v>
      </c>
      <c r="C5449" s="37">
        <v>1494</v>
      </c>
      <c r="D5449" s="98">
        <f t="shared" si="496"/>
        <v>31528</v>
      </c>
      <c r="E5449" s="37">
        <v>2</v>
      </c>
      <c r="F5449" s="96">
        <f>E5449+F5425</f>
        <v>416</v>
      </c>
    </row>
    <row r="5450" spans="1:6" x14ac:dyDescent="0.25">
      <c r="A5450" s="45" t="s">
        <v>17</v>
      </c>
      <c r="B5450" s="102">
        <v>44120</v>
      </c>
      <c r="C5450" s="31">
        <v>5199</v>
      </c>
      <c r="D5450" s="97">
        <f>C5450+D5426</f>
        <v>491422</v>
      </c>
      <c r="E5450" s="31">
        <v>136</v>
      </c>
      <c r="F5450" s="94">
        <f t="shared" ref="F5450:F5471" si="497">E5450+F5426</f>
        <v>15511</v>
      </c>
    </row>
    <row r="5451" spans="1:6" x14ac:dyDescent="0.25">
      <c r="A5451" s="105" t="s">
        <v>44</v>
      </c>
      <c r="B5451" s="102">
        <v>44120</v>
      </c>
      <c r="C5451" s="4">
        <v>952</v>
      </c>
      <c r="D5451" s="21">
        <f t="shared" ref="D5451:D5463" si="498">C5451+D5427</f>
        <v>138843</v>
      </c>
      <c r="E5451" s="4">
        <v>46</v>
      </c>
      <c r="F5451" s="95">
        <f t="shared" si="497"/>
        <v>4251</v>
      </c>
    </row>
    <row r="5452" spans="1:6" x14ac:dyDescent="0.25">
      <c r="A5452" s="105" t="s">
        <v>29</v>
      </c>
      <c r="B5452" s="102">
        <v>44120</v>
      </c>
      <c r="C5452" s="4">
        <v>22</v>
      </c>
      <c r="D5452" s="21">
        <f t="shared" si="498"/>
        <v>429</v>
      </c>
      <c r="F5452" s="95">
        <f t="shared" si="497"/>
        <v>0</v>
      </c>
    </row>
    <row r="5453" spans="1:6" x14ac:dyDescent="0.25">
      <c r="A5453" s="105" t="s">
        <v>16</v>
      </c>
      <c r="B5453" s="102">
        <v>44120</v>
      </c>
      <c r="C5453" s="4">
        <v>197</v>
      </c>
      <c r="D5453" s="21">
        <f t="shared" si="498"/>
        <v>11264</v>
      </c>
      <c r="E5453" s="4">
        <v>3</v>
      </c>
      <c r="F5453" s="95">
        <f t="shared" si="497"/>
        <v>354</v>
      </c>
    </row>
    <row r="5454" spans="1:6" x14ac:dyDescent="0.25">
      <c r="A5454" s="105" t="s">
        <v>30</v>
      </c>
      <c r="B5454" s="102">
        <v>44120</v>
      </c>
      <c r="C5454" s="4">
        <v>288</v>
      </c>
      <c r="D5454" s="21">
        <f t="shared" si="498"/>
        <v>8557</v>
      </c>
      <c r="E5454" s="4">
        <v>2</v>
      </c>
      <c r="F5454" s="95">
        <f t="shared" si="497"/>
        <v>112</v>
      </c>
    </row>
    <row r="5455" spans="1:6" x14ac:dyDescent="0.25">
      <c r="A5455" s="105" t="s">
        <v>21</v>
      </c>
      <c r="B5455" s="102">
        <v>44120</v>
      </c>
      <c r="C5455" s="4">
        <v>2045</v>
      </c>
      <c r="D5455" s="21">
        <f t="shared" si="498"/>
        <v>59828</v>
      </c>
      <c r="E5455" s="4">
        <v>28</v>
      </c>
      <c r="F5455" s="95">
        <f t="shared" si="497"/>
        <v>790</v>
      </c>
    </row>
    <row r="5456" spans="1:6" x14ac:dyDescent="0.25">
      <c r="A5456" s="105" t="s">
        <v>31</v>
      </c>
      <c r="B5456" s="102">
        <v>44120</v>
      </c>
      <c r="C5456" s="4">
        <v>61</v>
      </c>
      <c r="D5456" s="21">
        <f t="shared" si="498"/>
        <v>1935</v>
      </c>
      <c r="F5456" s="95">
        <f t="shared" si="497"/>
        <v>32</v>
      </c>
    </row>
    <row r="5457" spans="1:6" x14ac:dyDescent="0.25">
      <c r="A5457" s="105" t="s">
        <v>32</v>
      </c>
      <c r="B5457" s="102">
        <v>44120</v>
      </c>
      <c r="C5457" s="4">
        <v>349</v>
      </c>
      <c r="D5457" s="21">
        <f t="shared" si="498"/>
        <v>10805</v>
      </c>
      <c r="E5457" s="4">
        <v>2</v>
      </c>
      <c r="F5457" s="95">
        <f t="shared" si="497"/>
        <v>205</v>
      </c>
    </row>
    <row r="5458" spans="1:6" x14ac:dyDescent="0.25">
      <c r="A5458" s="105" t="s">
        <v>42</v>
      </c>
      <c r="B5458" s="102">
        <v>44120</v>
      </c>
      <c r="C5458" s="4">
        <v>1</v>
      </c>
      <c r="D5458" s="21">
        <f t="shared" si="498"/>
        <v>139</v>
      </c>
      <c r="F5458" s="95">
        <f t="shared" si="497"/>
        <v>1</v>
      </c>
    </row>
    <row r="5459" spans="1:6" x14ac:dyDescent="0.25">
      <c r="A5459" s="105" t="s">
        <v>33</v>
      </c>
      <c r="B5459" s="102">
        <v>44120</v>
      </c>
      <c r="C5459" s="4">
        <v>55</v>
      </c>
      <c r="D5459" s="21">
        <f t="shared" si="498"/>
        <v>17120</v>
      </c>
      <c r="E5459" s="4">
        <v>12</v>
      </c>
      <c r="F5459" s="95">
        <f t="shared" si="497"/>
        <v>655</v>
      </c>
    </row>
    <row r="5460" spans="1:6" x14ac:dyDescent="0.25">
      <c r="A5460" s="105" t="s">
        <v>34</v>
      </c>
      <c r="B5460" s="102">
        <v>44120</v>
      </c>
      <c r="C5460" s="4">
        <v>82</v>
      </c>
      <c r="D5460" s="21">
        <f t="shared" si="498"/>
        <v>1436</v>
      </c>
      <c r="E5460" s="4">
        <v>1</v>
      </c>
      <c r="F5460" s="95">
        <f t="shared" si="497"/>
        <v>17</v>
      </c>
    </row>
    <row r="5461" spans="1:6" x14ac:dyDescent="0.25">
      <c r="A5461" s="105" t="s">
        <v>22</v>
      </c>
      <c r="B5461" s="102">
        <v>44120</v>
      </c>
      <c r="C5461" s="4">
        <v>98</v>
      </c>
      <c r="D5461" s="21">
        <f t="shared" si="498"/>
        <v>6323</v>
      </c>
      <c r="E5461" s="4">
        <v>11</v>
      </c>
      <c r="F5461" s="95">
        <f t="shared" si="497"/>
        <v>202</v>
      </c>
    </row>
    <row r="5462" spans="1:6" x14ac:dyDescent="0.25">
      <c r="A5462" s="105" t="s">
        <v>18</v>
      </c>
      <c r="B5462" s="102">
        <v>44120</v>
      </c>
      <c r="C5462" s="4">
        <v>897</v>
      </c>
      <c r="D5462" s="21">
        <f t="shared" si="498"/>
        <v>35930</v>
      </c>
      <c r="E5462" s="4">
        <v>30</v>
      </c>
      <c r="F5462" s="95">
        <f t="shared" si="497"/>
        <v>498</v>
      </c>
    </row>
    <row r="5463" spans="1:6" x14ac:dyDescent="0.25">
      <c r="A5463" s="105" t="s">
        <v>24</v>
      </c>
      <c r="B5463" s="102">
        <v>44120</v>
      </c>
      <c r="C5463" s="4">
        <v>-3</v>
      </c>
      <c r="D5463" s="21">
        <f t="shared" si="498"/>
        <v>198</v>
      </c>
      <c r="F5463" s="95">
        <f t="shared" si="497"/>
        <v>4</v>
      </c>
    </row>
    <row r="5464" spans="1:6" x14ac:dyDescent="0.25">
      <c r="A5464" s="105" t="s">
        <v>20</v>
      </c>
      <c r="B5464" s="102">
        <v>44120</v>
      </c>
      <c r="C5464" s="4">
        <v>382</v>
      </c>
      <c r="D5464" s="21">
        <f>C5464+D5440</f>
        <v>13790</v>
      </c>
      <c r="E5464" s="4">
        <v>13</v>
      </c>
      <c r="F5464" s="95">
        <f t="shared" si="497"/>
        <v>218</v>
      </c>
    </row>
    <row r="5465" spans="1:6" x14ac:dyDescent="0.25">
      <c r="A5465" s="105" t="s">
        <v>19</v>
      </c>
      <c r="B5465" s="102">
        <v>44120</v>
      </c>
      <c r="C5465" s="4">
        <v>536</v>
      </c>
      <c r="D5465" s="21">
        <f>C5465+D5441</f>
        <v>18561</v>
      </c>
      <c r="E5465" s="4">
        <v>2</v>
      </c>
      <c r="F5465" s="95">
        <f t="shared" si="497"/>
        <v>401</v>
      </c>
    </row>
    <row r="5466" spans="1:6" x14ac:dyDescent="0.25">
      <c r="A5466" s="105" t="s">
        <v>35</v>
      </c>
      <c r="B5466" s="102">
        <v>44120</v>
      </c>
      <c r="C5466" s="4">
        <v>215</v>
      </c>
      <c r="D5466" s="21">
        <f>C5466+D5442</f>
        <v>16226</v>
      </c>
      <c r="E5466" s="4">
        <v>13</v>
      </c>
      <c r="F5466" s="95">
        <f>E5466+F5442</f>
        <v>577</v>
      </c>
    </row>
    <row r="5467" spans="1:6" x14ac:dyDescent="0.25">
      <c r="A5467" s="105" t="s">
        <v>36</v>
      </c>
      <c r="B5467" s="102">
        <v>44120</v>
      </c>
      <c r="C5467" s="4">
        <v>9</v>
      </c>
      <c r="D5467" s="21">
        <f t="shared" ref="D5467:D5473" si="499">C5467+D5443</f>
        <v>1285</v>
      </c>
      <c r="F5467" s="95">
        <f>E5467+F5443</f>
        <v>51</v>
      </c>
    </row>
    <row r="5468" spans="1:6" x14ac:dyDescent="0.25">
      <c r="A5468" s="105" t="s">
        <v>37</v>
      </c>
      <c r="B5468" s="102">
        <v>44120</v>
      </c>
      <c r="C5468" s="4">
        <v>257</v>
      </c>
      <c r="D5468" s="21">
        <f t="shared" si="499"/>
        <v>2943</v>
      </c>
      <c r="E5468" s="4">
        <v>1</v>
      </c>
      <c r="F5468" s="95">
        <f t="shared" si="497"/>
        <v>35</v>
      </c>
    </row>
    <row r="5469" spans="1:6" x14ac:dyDescent="0.25">
      <c r="A5469" s="105" t="s">
        <v>38</v>
      </c>
      <c r="B5469" s="102">
        <v>44120</v>
      </c>
      <c r="C5469" s="4">
        <v>210</v>
      </c>
      <c r="D5469" s="21">
        <f t="shared" si="499"/>
        <v>7042</v>
      </c>
      <c r="E5469" s="4">
        <v>1</v>
      </c>
      <c r="F5469" s="95">
        <f>E5469+F5445</f>
        <v>96</v>
      </c>
    </row>
    <row r="5470" spans="1:6" x14ac:dyDescent="0.25">
      <c r="A5470" s="105" t="s">
        <v>23</v>
      </c>
      <c r="B5470" s="102">
        <v>44120</v>
      </c>
      <c r="C5470" s="4">
        <v>2582</v>
      </c>
      <c r="D5470" s="21">
        <f t="shared" si="499"/>
        <v>74610</v>
      </c>
      <c r="E5470" s="4">
        <v>29</v>
      </c>
      <c r="F5470" s="95">
        <f>E5470+F5446</f>
        <v>821</v>
      </c>
    </row>
    <row r="5471" spans="1:6" x14ac:dyDescent="0.25">
      <c r="A5471" s="105" t="s">
        <v>39</v>
      </c>
      <c r="B5471" s="102">
        <v>44120</v>
      </c>
      <c r="C5471" s="4">
        <v>342</v>
      </c>
      <c r="D5471" s="21">
        <f t="shared" si="499"/>
        <v>6315</v>
      </c>
      <c r="E5471" s="4">
        <v>6</v>
      </c>
      <c r="F5471" s="95">
        <f t="shared" si="497"/>
        <v>97</v>
      </c>
    </row>
    <row r="5472" spans="1:6" x14ac:dyDescent="0.25">
      <c r="A5472" s="105" t="s">
        <v>40</v>
      </c>
      <c r="B5472" s="102">
        <v>44120</v>
      </c>
      <c r="C5472" s="4">
        <v>256</v>
      </c>
      <c r="D5472" s="21">
        <f t="shared" si="499"/>
        <v>7758</v>
      </c>
      <c r="E5472" s="4">
        <v>5</v>
      </c>
      <c r="F5472" s="95">
        <f>E5472+F5448</f>
        <v>96</v>
      </c>
    </row>
    <row r="5473" spans="1:6" ht="15.75" thickBot="1" x14ac:dyDescent="0.3">
      <c r="A5473" s="106" t="s">
        <v>41</v>
      </c>
      <c r="B5473" s="102">
        <v>44120</v>
      </c>
      <c r="C5473" s="4">
        <v>1514</v>
      </c>
      <c r="D5473" s="98">
        <f t="shared" si="499"/>
        <v>33042</v>
      </c>
      <c r="E5473" s="4">
        <v>38</v>
      </c>
      <c r="F5473" s="96">
        <f>E5473+F5449</f>
        <v>454</v>
      </c>
    </row>
    <row r="5474" spans="1:6" x14ac:dyDescent="0.25">
      <c r="A5474" s="42" t="s">
        <v>17</v>
      </c>
      <c r="B5474" s="102">
        <v>44121</v>
      </c>
      <c r="C5474" s="4">
        <v>4419</v>
      </c>
      <c r="D5474" s="108">
        <f t="shared" ref="D5474:D5494" si="500">C5474+D5450</f>
        <v>495841</v>
      </c>
      <c r="E5474" s="4">
        <v>191</v>
      </c>
      <c r="F5474" s="94">
        <f t="shared" ref="F5474:F5495" si="501">E5474+F5450</f>
        <v>15702</v>
      </c>
    </row>
    <row r="5475" spans="1:6" x14ac:dyDescent="0.25">
      <c r="A5475" s="42" t="s">
        <v>44</v>
      </c>
      <c r="B5475" s="102">
        <v>44121</v>
      </c>
      <c r="C5475" s="4">
        <v>610</v>
      </c>
      <c r="D5475" s="21">
        <f t="shared" si="500"/>
        <v>139453</v>
      </c>
      <c r="E5475" s="4">
        <f>18+32</f>
        <v>50</v>
      </c>
      <c r="F5475" s="95">
        <f t="shared" si="501"/>
        <v>4301</v>
      </c>
    </row>
    <row r="5476" spans="1:6" x14ac:dyDescent="0.25">
      <c r="A5476" s="42" t="s">
        <v>29</v>
      </c>
      <c r="B5476" s="102">
        <v>44121</v>
      </c>
      <c r="C5476" s="4">
        <v>24</v>
      </c>
      <c r="D5476" s="21">
        <f t="shared" si="500"/>
        <v>453</v>
      </c>
      <c r="F5476" s="95">
        <f t="shared" si="501"/>
        <v>0</v>
      </c>
    </row>
    <row r="5477" spans="1:6" x14ac:dyDescent="0.25">
      <c r="A5477" s="42" t="s">
        <v>16</v>
      </c>
      <c r="B5477" s="102">
        <v>44121</v>
      </c>
      <c r="C5477" s="4">
        <v>167</v>
      </c>
      <c r="D5477" s="21">
        <f t="shared" si="500"/>
        <v>11431</v>
      </c>
      <c r="E5477" s="4">
        <f>2+1</f>
        <v>3</v>
      </c>
      <c r="F5477" s="95">
        <f t="shared" si="501"/>
        <v>357</v>
      </c>
    </row>
    <row r="5478" spans="1:6" x14ac:dyDescent="0.25">
      <c r="A5478" s="42" t="s">
        <v>30</v>
      </c>
      <c r="B5478" s="102">
        <v>44121</v>
      </c>
      <c r="C5478" s="4">
        <v>335</v>
      </c>
      <c r="D5478" s="21">
        <f t="shared" si="500"/>
        <v>8892</v>
      </c>
      <c r="F5478" s="95">
        <f t="shared" si="501"/>
        <v>112</v>
      </c>
    </row>
    <row r="5479" spans="1:6" x14ac:dyDescent="0.25">
      <c r="A5479" s="42" t="s">
        <v>21</v>
      </c>
      <c r="B5479" s="102">
        <v>44121</v>
      </c>
      <c r="C5479" s="4">
        <v>1233</v>
      </c>
      <c r="D5479" s="21">
        <f t="shared" si="500"/>
        <v>61061</v>
      </c>
      <c r="E5479" s="4">
        <v>33</v>
      </c>
      <c r="F5479" s="95">
        <f t="shared" si="501"/>
        <v>823</v>
      </c>
    </row>
    <row r="5480" spans="1:6" x14ac:dyDescent="0.25">
      <c r="A5480" s="42" t="s">
        <v>31</v>
      </c>
      <c r="B5480" s="102">
        <v>44121</v>
      </c>
      <c r="C5480" s="4">
        <v>2</v>
      </c>
      <c r="D5480" s="21">
        <f t="shared" si="500"/>
        <v>1937</v>
      </c>
      <c r="F5480" s="95">
        <f t="shared" si="501"/>
        <v>32</v>
      </c>
    </row>
    <row r="5481" spans="1:6" x14ac:dyDescent="0.25">
      <c r="A5481" s="42" t="s">
        <v>32</v>
      </c>
      <c r="B5481" s="102">
        <v>44121</v>
      </c>
      <c r="C5481" s="4">
        <v>350</v>
      </c>
      <c r="D5481" s="21">
        <f t="shared" si="500"/>
        <v>11155</v>
      </c>
      <c r="E5481" s="4">
        <f>1</f>
        <v>1</v>
      </c>
      <c r="F5481" s="95">
        <f t="shared" si="501"/>
        <v>206</v>
      </c>
    </row>
    <row r="5482" spans="1:6" x14ac:dyDescent="0.25">
      <c r="A5482" s="42" t="s">
        <v>42</v>
      </c>
      <c r="B5482" s="102">
        <v>44121</v>
      </c>
      <c r="C5482" s="4">
        <v>1</v>
      </c>
      <c r="D5482" s="21">
        <f t="shared" si="500"/>
        <v>140</v>
      </c>
      <c r="F5482" s="95">
        <f t="shared" si="501"/>
        <v>1</v>
      </c>
    </row>
    <row r="5483" spans="1:6" x14ac:dyDescent="0.25">
      <c r="A5483" s="42" t="s">
        <v>33</v>
      </c>
      <c r="B5483" s="102">
        <v>44121</v>
      </c>
      <c r="C5483" s="4">
        <v>69</v>
      </c>
      <c r="D5483" s="21">
        <f t="shared" si="500"/>
        <v>17189</v>
      </c>
      <c r="E5483" s="4">
        <f>12+8</f>
        <v>20</v>
      </c>
      <c r="F5483" s="95">
        <f t="shared" si="501"/>
        <v>675</v>
      </c>
    </row>
    <row r="5484" spans="1:6" x14ac:dyDescent="0.25">
      <c r="A5484" s="42" t="s">
        <v>34</v>
      </c>
      <c r="B5484" s="102">
        <v>44121</v>
      </c>
      <c r="C5484" s="4">
        <v>95</v>
      </c>
      <c r="D5484" s="21">
        <f t="shared" si="500"/>
        <v>1531</v>
      </c>
      <c r="F5484" s="95">
        <f t="shared" si="501"/>
        <v>17</v>
      </c>
    </row>
    <row r="5485" spans="1:6" x14ac:dyDescent="0.25">
      <c r="A5485" s="42" t="s">
        <v>22</v>
      </c>
      <c r="B5485" s="102">
        <v>44121</v>
      </c>
      <c r="C5485" s="4">
        <v>55</v>
      </c>
      <c r="D5485" s="21">
        <f t="shared" si="500"/>
        <v>6378</v>
      </c>
      <c r="F5485" s="95">
        <f t="shared" si="501"/>
        <v>202</v>
      </c>
    </row>
    <row r="5486" spans="1:6" x14ac:dyDescent="0.25">
      <c r="A5486" s="42" t="s">
        <v>18</v>
      </c>
      <c r="B5486" s="102">
        <v>44121</v>
      </c>
      <c r="C5486" s="4">
        <v>659</v>
      </c>
      <c r="D5486" s="21">
        <f t="shared" si="500"/>
        <v>36589</v>
      </c>
      <c r="E5486" s="4">
        <f>23+17</f>
        <v>40</v>
      </c>
      <c r="F5486" s="95">
        <f t="shared" si="501"/>
        <v>538</v>
      </c>
    </row>
    <row r="5487" spans="1:6" x14ac:dyDescent="0.25">
      <c r="A5487" s="42" t="s">
        <v>24</v>
      </c>
      <c r="B5487" s="102">
        <v>44121</v>
      </c>
      <c r="C5487" s="4">
        <v>1</v>
      </c>
      <c r="D5487" s="21">
        <f t="shared" si="500"/>
        <v>199</v>
      </c>
      <c r="F5487" s="95">
        <f t="shared" si="501"/>
        <v>4</v>
      </c>
    </row>
    <row r="5488" spans="1:6" x14ac:dyDescent="0.25">
      <c r="A5488" s="42" t="s">
        <v>20</v>
      </c>
      <c r="B5488" s="102">
        <v>44121</v>
      </c>
      <c r="C5488" s="4">
        <v>1005</v>
      </c>
      <c r="D5488" s="21">
        <f t="shared" si="500"/>
        <v>14795</v>
      </c>
      <c r="F5488" s="95">
        <f t="shared" si="501"/>
        <v>218</v>
      </c>
    </row>
    <row r="5489" spans="1:6" x14ac:dyDescent="0.25">
      <c r="A5489" s="42" t="s">
        <v>19</v>
      </c>
      <c r="B5489" s="102">
        <v>44121</v>
      </c>
      <c r="C5489" s="4">
        <v>357</v>
      </c>
      <c r="D5489" s="21">
        <f t="shared" si="500"/>
        <v>18918</v>
      </c>
      <c r="E5489" s="4">
        <f>2</f>
        <v>2</v>
      </c>
      <c r="F5489" s="95">
        <f t="shared" si="501"/>
        <v>403</v>
      </c>
    </row>
    <row r="5490" spans="1:6" x14ac:dyDescent="0.25">
      <c r="A5490" s="42" t="s">
        <v>35</v>
      </c>
      <c r="B5490" s="102">
        <v>44121</v>
      </c>
      <c r="C5490" s="4">
        <v>238</v>
      </c>
      <c r="D5490" s="21">
        <f t="shared" si="500"/>
        <v>16464</v>
      </c>
      <c r="E5490" s="4">
        <f>5+1</f>
        <v>6</v>
      </c>
      <c r="F5490" s="95">
        <f>E5490+F5466</f>
        <v>583</v>
      </c>
    </row>
    <row r="5491" spans="1:6" x14ac:dyDescent="0.25">
      <c r="A5491" s="42" t="s">
        <v>36</v>
      </c>
      <c r="B5491" s="102">
        <v>44121</v>
      </c>
      <c r="C5491" s="4">
        <v>6</v>
      </c>
      <c r="D5491" s="21">
        <f t="shared" si="500"/>
        <v>1291</v>
      </c>
      <c r="F5491" s="95">
        <f>E5491+F5467</f>
        <v>51</v>
      </c>
    </row>
    <row r="5492" spans="1:6" x14ac:dyDescent="0.25">
      <c r="A5492" s="42" t="s">
        <v>37</v>
      </c>
      <c r="B5492" s="102">
        <v>44121</v>
      </c>
      <c r="C5492" s="4">
        <v>201</v>
      </c>
      <c r="D5492" s="21">
        <f t="shared" si="500"/>
        <v>3144</v>
      </c>
      <c r="F5492" s="95">
        <f t="shared" si="501"/>
        <v>35</v>
      </c>
    </row>
    <row r="5493" spans="1:6" x14ac:dyDescent="0.25">
      <c r="A5493" s="42" t="s">
        <v>38</v>
      </c>
      <c r="B5493" s="102">
        <v>44121</v>
      </c>
      <c r="C5493" s="4">
        <v>141</v>
      </c>
      <c r="D5493" s="21">
        <f t="shared" si="500"/>
        <v>7183</v>
      </c>
      <c r="E5493" s="4">
        <f>1</f>
        <v>1</v>
      </c>
      <c r="F5493" s="95">
        <f>E5493+F5469</f>
        <v>97</v>
      </c>
    </row>
    <row r="5494" spans="1:6" x14ac:dyDescent="0.25">
      <c r="A5494" s="42" t="s">
        <v>23</v>
      </c>
      <c r="B5494" s="102">
        <v>44121</v>
      </c>
      <c r="C5494" s="4">
        <v>2199</v>
      </c>
      <c r="D5494" s="21">
        <f t="shared" si="500"/>
        <v>76809</v>
      </c>
      <c r="E5494" s="4">
        <f>11+16</f>
        <v>27</v>
      </c>
      <c r="F5494" s="95">
        <f>E5494+F5470</f>
        <v>848</v>
      </c>
    </row>
    <row r="5495" spans="1:6" x14ac:dyDescent="0.25">
      <c r="A5495" s="42" t="s">
        <v>39</v>
      </c>
      <c r="B5495" s="102">
        <v>44121</v>
      </c>
      <c r="C5495" s="4">
        <v>238</v>
      </c>
      <c r="D5495" s="21">
        <f>C5495+D5471</f>
        <v>6553</v>
      </c>
      <c r="F5495" s="95">
        <f t="shared" si="501"/>
        <v>97</v>
      </c>
    </row>
    <row r="5496" spans="1:6" x14ac:dyDescent="0.25">
      <c r="A5496" s="42" t="s">
        <v>40</v>
      </c>
      <c r="B5496" s="102">
        <v>44121</v>
      </c>
      <c r="C5496" s="4">
        <v>182</v>
      </c>
      <c r="D5496" s="21">
        <f>C5496+D5472</f>
        <v>7940</v>
      </c>
      <c r="E5496" s="4">
        <f>3+1</f>
        <v>4</v>
      </c>
      <c r="F5496" s="95">
        <f>E5496+F5472</f>
        <v>100</v>
      </c>
    </row>
    <row r="5497" spans="1:6" ht="15.75" thickBot="1" x14ac:dyDescent="0.3">
      <c r="A5497" s="60" t="s">
        <v>41</v>
      </c>
      <c r="B5497" s="103">
        <v>44121</v>
      </c>
      <c r="C5497" s="30">
        <v>923</v>
      </c>
      <c r="D5497" s="21">
        <f t="shared" ref="D5497:D5518" si="502">C5497+D5473</f>
        <v>33965</v>
      </c>
      <c r="E5497" s="30"/>
      <c r="F5497" s="104">
        <f>E5497+F5473</f>
        <v>454</v>
      </c>
    </row>
    <row r="5498" spans="1:6" x14ac:dyDescent="0.25">
      <c r="A5498" s="123" t="s">
        <v>17</v>
      </c>
      <c r="B5498" s="124">
        <v>44122</v>
      </c>
      <c r="C5498" s="125">
        <v>2383</v>
      </c>
      <c r="D5498" s="108">
        <f t="shared" si="502"/>
        <v>498224</v>
      </c>
      <c r="E5498" s="125">
        <f>8+7</f>
        <v>15</v>
      </c>
      <c r="F5498" s="126">
        <f t="shared" ref="F5498:F5519" si="503">E5498+F5474</f>
        <v>15717</v>
      </c>
    </row>
    <row r="5499" spans="1:6" x14ac:dyDescent="0.25">
      <c r="A5499" s="127" t="s">
        <v>44</v>
      </c>
      <c r="B5499" s="102">
        <v>44122</v>
      </c>
      <c r="C5499" s="4">
        <v>517</v>
      </c>
      <c r="D5499" s="21">
        <f t="shared" si="502"/>
        <v>139970</v>
      </c>
      <c r="E5499" s="4">
        <f>18+20</f>
        <v>38</v>
      </c>
      <c r="F5499" s="128">
        <f t="shared" si="503"/>
        <v>4339</v>
      </c>
    </row>
    <row r="5500" spans="1:6" x14ac:dyDescent="0.25">
      <c r="A5500" s="127" t="s">
        <v>29</v>
      </c>
      <c r="B5500" s="102">
        <v>44122</v>
      </c>
      <c r="C5500" s="4">
        <v>27</v>
      </c>
      <c r="D5500" s="21">
        <f t="shared" si="502"/>
        <v>480</v>
      </c>
      <c r="F5500" s="128">
        <f t="shared" si="503"/>
        <v>0</v>
      </c>
    </row>
    <row r="5501" spans="1:6" x14ac:dyDescent="0.25">
      <c r="A5501" s="127" t="s">
        <v>16</v>
      </c>
      <c r="B5501" s="102">
        <v>44122</v>
      </c>
      <c r="C5501" s="4">
        <v>232</v>
      </c>
      <c r="D5501" s="21">
        <f t="shared" si="502"/>
        <v>11663</v>
      </c>
      <c r="E5501" s="4">
        <f>1+2</f>
        <v>3</v>
      </c>
      <c r="F5501" s="128">
        <f t="shared" si="503"/>
        <v>360</v>
      </c>
    </row>
    <row r="5502" spans="1:6" x14ac:dyDescent="0.25">
      <c r="A5502" s="127" t="s">
        <v>30</v>
      </c>
      <c r="B5502" s="102">
        <v>44122</v>
      </c>
      <c r="C5502" s="4">
        <v>150</v>
      </c>
      <c r="D5502" s="21">
        <f t="shared" si="502"/>
        <v>9042</v>
      </c>
      <c r="E5502" s="4">
        <f>5+4</f>
        <v>9</v>
      </c>
      <c r="F5502" s="128">
        <f t="shared" si="503"/>
        <v>121</v>
      </c>
    </row>
    <row r="5503" spans="1:6" x14ac:dyDescent="0.25">
      <c r="A5503" s="127" t="s">
        <v>21</v>
      </c>
      <c r="B5503" s="102">
        <v>44122</v>
      </c>
      <c r="C5503" s="4">
        <v>1850</v>
      </c>
      <c r="D5503" s="21">
        <f t="shared" si="502"/>
        <v>62911</v>
      </c>
      <c r="E5503" s="4">
        <f>15+12</f>
        <v>27</v>
      </c>
      <c r="F5503" s="128">
        <f t="shared" si="503"/>
        <v>850</v>
      </c>
    </row>
    <row r="5504" spans="1:6" x14ac:dyDescent="0.25">
      <c r="A5504" s="127" t="s">
        <v>31</v>
      </c>
      <c r="B5504" s="102">
        <v>44122</v>
      </c>
      <c r="C5504" s="4">
        <v>41</v>
      </c>
      <c r="D5504" s="21">
        <f t="shared" si="502"/>
        <v>1978</v>
      </c>
      <c r="F5504" s="128">
        <f t="shared" si="503"/>
        <v>32</v>
      </c>
    </row>
    <row r="5505" spans="1:6" x14ac:dyDescent="0.25">
      <c r="A5505" s="127" t="s">
        <v>32</v>
      </c>
      <c r="B5505" s="102">
        <v>44122</v>
      </c>
      <c r="C5505" s="4">
        <v>279</v>
      </c>
      <c r="D5505" s="21">
        <f t="shared" si="502"/>
        <v>11434</v>
      </c>
      <c r="E5505" s="4">
        <v>1</v>
      </c>
      <c r="F5505" s="128">
        <f t="shared" si="503"/>
        <v>207</v>
      </c>
    </row>
    <row r="5506" spans="1:6" x14ac:dyDescent="0.25">
      <c r="A5506" s="127" t="s">
        <v>42</v>
      </c>
      <c r="B5506" s="102">
        <v>44122</v>
      </c>
      <c r="C5506" s="4">
        <v>-2</v>
      </c>
      <c r="D5506" s="21">
        <f t="shared" si="502"/>
        <v>138</v>
      </c>
      <c r="F5506" s="128">
        <f t="shared" si="503"/>
        <v>1</v>
      </c>
    </row>
    <row r="5507" spans="1:6" x14ac:dyDescent="0.25">
      <c r="A5507" s="127" t="s">
        <v>33</v>
      </c>
      <c r="B5507" s="102">
        <v>44122</v>
      </c>
      <c r="C5507" s="4">
        <v>45</v>
      </c>
      <c r="D5507" s="21">
        <f t="shared" si="502"/>
        <v>17234</v>
      </c>
      <c r="F5507" s="128">
        <f t="shared" si="503"/>
        <v>675</v>
      </c>
    </row>
    <row r="5508" spans="1:6" x14ac:dyDescent="0.25">
      <c r="A5508" s="127" t="s">
        <v>34</v>
      </c>
      <c r="B5508" s="102">
        <v>44122</v>
      </c>
      <c r="C5508" s="4">
        <v>87</v>
      </c>
      <c r="D5508" s="21">
        <f t="shared" si="502"/>
        <v>1618</v>
      </c>
      <c r="F5508" s="128">
        <f t="shared" si="503"/>
        <v>17</v>
      </c>
    </row>
    <row r="5509" spans="1:6" x14ac:dyDescent="0.25">
      <c r="A5509" s="127" t="s">
        <v>22</v>
      </c>
      <c r="B5509" s="102">
        <v>44122</v>
      </c>
      <c r="C5509" s="4">
        <v>181</v>
      </c>
      <c r="D5509" s="21">
        <f t="shared" si="502"/>
        <v>6559</v>
      </c>
      <c r="F5509" s="128">
        <f t="shared" si="503"/>
        <v>202</v>
      </c>
    </row>
    <row r="5510" spans="1:6" x14ac:dyDescent="0.25">
      <c r="A5510" s="127" t="s">
        <v>18</v>
      </c>
      <c r="B5510" s="102">
        <v>44122</v>
      </c>
      <c r="C5510" s="4">
        <v>513</v>
      </c>
      <c r="D5510" s="21">
        <f t="shared" si="502"/>
        <v>37102</v>
      </c>
      <c r="E5510" s="4">
        <f>11+6</f>
        <v>17</v>
      </c>
      <c r="F5510" s="128">
        <f t="shared" si="503"/>
        <v>555</v>
      </c>
    </row>
    <row r="5511" spans="1:6" x14ac:dyDescent="0.25">
      <c r="A5511" s="127" t="s">
        <v>24</v>
      </c>
      <c r="B5511" s="102">
        <v>44122</v>
      </c>
      <c r="C5511" s="4">
        <v>4</v>
      </c>
      <c r="D5511" s="21">
        <f t="shared" si="502"/>
        <v>203</v>
      </c>
      <c r="F5511" s="128">
        <f t="shared" si="503"/>
        <v>4</v>
      </c>
    </row>
    <row r="5512" spans="1:6" x14ac:dyDescent="0.25">
      <c r="A5512" s="127" t="s">
        <v>20</v>
      </c>
      <c r="B5512" s="102">
        <v>44122</v>
      </c>
      <c r="C5512" s="4">
        <v>288</v>
      </c>
      <c r="D5512" s="21">
        <f t="shared" si="502"/>
        <v>15083</v>
      </c>
      <c r="E5512" s="4">
        <f>16+8</f>
        <v>24</v>
      </c>
      <c r="F5512" s="128">
        <f t="shared" si="503"/>
        <v>242</v>
      </c>
    </row>
    <row r="5513" spans="1:6" x14ac:dyDescent="0.25">
      <c r="A5513" s="127" t="s">
        <v>19</v>
      </c>
      <c r="B5513" s="102">
        <v>44122</v>
      </c>
      <c r="C5513" s="4">
        <v>273</v>
      </c>
      <c r="D5513" s="21">
        <f t="shared" si="502"/>
        <v>19191</v>
      </c>
      <c r="E5513" s="4">
        <f>1+4</f>
        <v>5</v>
      </c>
      <c r="F5513" s="128">
        <f t="shared" si="503"/>
        <v>408</v>
      </c>
    </row>
    <row r="5514" spans="1:6" x14ac:dyDescent="0.25">
      <c r="A5514" s="127" t="s">
        <v>35</v>
      </c>
      <c r="B5514" s="102">
        <v>44122</v>
      </c>
      <c r="C5514" s="4">
        <v>168</v>
      </c>
      <c r="D5514" s="21">
        <f t="shared" si="502"/>
        <v>16632</v>
      </c>
      <c r="E5514" s="4">
        <v>13</v>
      </c>
      <c r="F5514" s="128">
        <f>E5514+F5490</f>
        <v>596</v>
      </c>
    </row>
    <row r="5515" spans="1:6" x14ac:dyDescent="0.25">
      <c r="A5515" s="127" t="s">
        <v>36</v>
      </c>
      <c r="B5515" s="102">
        <v>44122</v>
      </c>
      <c r="C5515" s="4">
        <v>1</v>
      </c>
      <c r="D5515" s="21">
        <f t="shared" si="502"/>
        <v>1292</v>
      </c>
      <c r="F5515" s="128">
        <f>E5515+F5491</f>
        <v>51</v>
      </c>
    </row>
    <row r="5516" spans="1:6" x14ac:dyDescent="0.25">
      <c r="A5516" s="127" t="s">
        <v>37</v>
      </c>
      <c r="B5516" s="102">
        <v>44122</v>
      </c>
      <c r="C5516" s="4">
        <v>183</v>
      </c>
      <c r="D5516" s="21">
        <f t="shared" si="502"/>
        <v>3327</v>
      </c>
      <c r="E5516" s="4">
        <f>1</f>
        <v>1</v>
      </c>
      <c r="F5516" s="128">
        <f t="shared" si="503"/>
        <v>36</v>
      </c>
    </row>
    <row r="5517" spans="1:6" x14ac:dyDescent="0.25">
      <c r="A5517" s="127" t="s">
        <v>38</v>
      </c>
      <c r="B5517" s="102">
        <v>44122</v>
      </c>
      <c r="C5517" s="4">
        <v>84</v>
      </c>
      <c r="D5517" s="21">
        <f t="shared" si="502"/>
        <v>7267</v>
      </c>
      <c r="E5517" s="4">
        <f>3</f>
        <v>3</v>
      </c>
      <c r="F5517" s="128">
        <f>E5517+F5493</f>
        <v>100</v>
      </c>
    </row>
    <row r="5518" spans="1:6" x14ac:dyDescent="0.25">
      <c r="A5518" s="127" t="s">
        <v>23</v>
      </c>
      <c r="B5518" s="102">
        <v>44122</v>
      </c>
      <c r="C5518" s="4">
        <v>2015</v>
      </c>
      <c r="D5518" s="21">
        <f t="shared" si="502"/>
        <v>78824</v>
      </c>
      <c r="E5518" s="4">
        <f>1</f>
        <v>1</v>
      </c>
      <c r="F5518" s="128">
        <f>E5518+F5494</f>
        <v>849</v>
      </c>
    </row>
    <row r="5519" spans="1:6" x14ac:dyDescent="0.25">
      <c r="A5519" s="127" t="s">
        <v>39</v>
      </c>
      <c r="B5519" s="102">
        <v>44122</v>
      </c>
      <c r="C5519" s="4">
        <v>262</v>
      </c>
      <c r="D5519" s="21">
        <f>C5519+D5495</f>
        <v>6815</v>
      </c>
      <c r="F5519" s="128">
        <f t="shared" si="503"/>
        <v>97</v>
      </c>
    </row>
    <row r="5520" spans="1:6" x14ac:dyDescent="0.25">
      <c r="A5520" s="127" t="s">
        <v>40</v>
      </c>
      <c r="B5520" s="102">
        <v>44122</v>
      </c>
      <c r="C5520" s="4">
        <v>208</v>
      </c>
      <c r="D5520" s="21">
        <f>C5520+D5496</f>
        <v>8148</v>
      </c>
      <c r="E5520" s="4">
        <f>2</f>
        <v>2</v>
      </c>
      <c r="F5520" s="128">
        <f>E5520+F5496</f>
        <v>102</v>
      </c>
    </row>
    <row r="5521" spans="1:6" ht="15.75" thickBot="1" x14ac:dyDescent="0.3">
      <c r="A5521" s="129" t="s">
        <v>41</v>
      </c>
      <c r="B5521" s="130">
        <v>44122</v>
      </c>
      <c r="C5521" s="131">
        <v>772</v>
      </c>
      <c r="D5521" s="21">
        <f t="shared" ref="D5521:D5542" si="504">C5521+D5497</f>
        <v>34737</v>
      </c>
      <c r="E5521" s="131"/>
      <c r="F5521" s="132">
        <f>E5521+F5497</f>
        <v>454</v>
      </c>
    </row>
    <row r="5522" spans="1:6" x14ac:dyDescent="0.25">
      <c r="A5522" s="123" t="s">
        <v>17</v>
      </c>
      <c r="B5522" s="124">
        <v>44123</v>
      </c>
      <c r="C5522" s="125">
        <v>4206</v>
      </c>
      <c r="D5522" s="108">
        <f t="shared" si="504"/>
        <v>502430</v>
      </c>
      <c r="E5522" s="125">
        <v>197</v>
      </c>
      <c r="F5522" s="133">
        <v>16032</v>
      </c>
    </row>
    <row r="5523" spans="1:6" x14ac:dyDescent="0.25">
      <c r="A5523" s="127" t="s">
        <v>44</v>
      </c>
      <c r="B5523" s="102">
        <v>44123</v>
      </c>
      <c r="C5523" s="4">
        <v>557</v>
      </c>
      <c r="D5523" s="21">
        <f t="shared" si="504"/>
        <v>140527</v>
      </c>
      <c r="E5523" s="4">
        <v>47</v>
      </c>
      <c r="F5523" s="134">
        <v>4227</v>
      </c>
    </row>
    <row r="5524" spans="1:6" x14ac:dyDescent="0.25">
      <c r="A5524" s="127" t="s">
        <v>29</v>
      </c>
      <c r="B5524" s="102">
        <v>44123</v>
      </c>
      <c r="C5524" s="4">
        <v>12</v>
      </c>
      <c r="D5524" s="21">
        <f t="shared" si="504"/>
        <v>492</v>
      </c>
      <c r="F5524" s="134">
        <f>E5524+F5500</f>
        <v>0</v>
      </c>
    </row>
    <row r="5525" spans="1:6" x14ac:dyDescent="0.25">
      <c r="A5525" s="127" t="s">
        <v>16</v>
      </c>
      <c r="B5525" s="102">
        <v>44123</v>
      </c>
      <c r="C5525" s="4">
        <v>185</v>
      </c>
      <c r="D5525" s="21">
        <f t="shared" si="504"/>
        <v>11848</v>
      </c>
      <c r="E5525" s="4">
        <v>8</v>
      </c>
      <c r="F5525" s="134">
        <v>373</v>
      </c>
    </row>
    <row r="5526" spans="1:6" x14ac:dyDescent="0.25">
      <c r="A5526" s="127" t="s">
        <v>30</v>
      </c>
      <c r="B5526" s="102">
        <v>44123</v>
      </c>
      <c r="C5526" s="4">
        <v>220</v>
      </c>
      <c r="D5526" s="21">
        <f t="shared" si="504"/>
        <v>9262</v>
      </c>
      <c r="E5526" s="4">
        <v>1</v>
      </c>
      <c r="F5526" s="134">
        <v>185</v>
      </c>
    </row>
    <row r="5527" spans="1:6" x14ac:dyDescent="0.25">
      <c r="A5527" s="127" t="s">
        <v>21</v>
      </c>
      <c r="B5527" s="102">
        <v>44123</v>
      </c>
      <c r="C5527" s="4">
        <v>1668</v>
      </c>
      <c r="D5527" s="21">
        <f t="shared" si="504"/>
        <v>64579</v>
      </c>
      <c r="E5527" s="4">
        <v>44</v>
      </c>
      <c r="F5527" s="134">
        <v>871</v>
      </c>
    </row>
    <row r="5528" spans="1:6" x14ac:dyDescent="0.25">
      <c r="A5528" s="127" t="s">
        <v>31</v>
      </c>
      <c r="B5528" s="102">
        <v>44123</v>
      </c>
      <c r="C5528" s="4">
        <v>122</v>
      </c>
      <c r="D5528" s="21">
        <f t="shared" si="504"/>
        <v>2100</v>
      </c>
      <c r="E5528" s="4">
        <v>3</v>
      </c>
      <c r="F5528" s="134">
        <v>36</v>
      </c>
    </row>
    <row r="5529" spans="1:6" x14ac:dyDescent="0.25">
      <c r="A5529" s="127" t="s">
        <v>32</v>
      </c>
      <c r="B5529" s="102">
        <v>44123</v>
      </c>
      <c r="C5529" s="4">
        <v>258</v>
      </c>
      <c r="D5529" s="21">
        <f t="shared" si="504"/>
        <v>11692</v>
      </c>
      <c r="E5529" s="4">
        <v>5</v>
      </c>
      <c r="F5529" s="134">
        <v>210</v>
      </c>
    </row>
    <row r="5530" spans="1:6" x14ac:dyDescent="0.25">
      <c r="A5530" s="127" t="s">
        <v>42</v>
      </c>
      <c r="B5530" s="102">
        <v>44123</v>
      </c>
      <c r="C5530" s="4">
        <v>6</v>
      </c>
      <c r="D5530" s="21">
        <f t="shared" si="504"/>
        <v>144</v>
      </c>
      <c r="F5530" s="134">
        <f>E5530+F5506</f>
        <v>1</v>
      </c>
    </row>
    <row r="5531" spans="1:6" x14ac:dyDescent="0.25">
      <c r="A5531" s="127" t="s">
        <v>33</v>
      </c>
      <c r="B5531" s="102">
        <v>44123</v>
      </c>
      <c r="C5531" s="4">
        <v>51</v>
      </c>
      <c r="D5531" s="21">
        <f t="shared" si="504"/>
        <v>17285</v>
      </c>
      <c r="E5531" s="4">
        <v>30</v>
      </c>
      <c r="F5531" s="134">
        <v>734</v>
      </c>
    </row>
    <row r="5532" spans="1:6" x14ac:dyDescent="0.25">
      <c r="A5532" s="127" t="s">
        <v>34</v>
      </c>
      <c r="B5532" s="102">
        <v>44123</v>
      </c>
      <c r="C5532" s="4">
        <v>92</v>
      </c>
      <c r="D5532" s="21">
        <f t="shared" si="504"/>
        <v>1710</v>
      </c>
      <c r="F5532" s="134">
        <v>16</v>
      </c>
    </row>
    <row r="5533" spans="1:6" x14ac:dyDescent="0.25">
      <c r="A5533" s="127" t="s">
        <v>22</v>
      </c>
      <c r="B5533" s="102">
        <v>44123</v>
      </c>
      <c r="C5533" s="4">
        <v>65</v>
      </c>
      <c r="D5533" s="21">
        <f t="shared" si="504"/>
        <v>6624</v>
      </c>
      <c r="E5533" s="4">
        <v>3</v>
      </c>
      <c r="F5533" s="134">
        <v>226</v>
      </c>
    </row>
    <row r="5534" spans="1:6" x14ac:dyDescent="0.25">
      <c r="A5534" s="127" t="s">
        <v>18</v>
      </c>
      <c r="B5534" s="102">
        <v>44123</v>
      </c>
      <c r="C5534" s="4">
        <v>744</v>
      </c>
      <c r="D5534" s="21">
        <f t="shared" si="504"/>
        <v>37846</v>
      </c>
      <c r="E5534" s="4">
        <v>28</v>
      </c>
      <c r="F5534" s="134">
        <v>625</v>
      </c>
    </row>
    <row r="5535" spans="1:6" x14ac:dyDescent="0.25">
      <c r="A5535" s="127" t="s">
        <v>24</v>
      </c>
      <c r="B5535" s="102">
        <v>44123</v>
      </c>
      <c r="C5535" s="4">
        <v>-6</v>
      </c>
      <c r="D5535" s="21">
        <f t="shared" si="504"/>
        <v>197</v>
      </c>
      <c r="F5535" s="134">
        <f>E5535+F5511</f>
        <v>4</v>
      </c>
    </row>
    <row r="5536" spans="1:6" x14ac:dyDescent="0.25">
      <c r="A5536" s="127" t="s">
        <v>20</v>
      </c>
      <c r="B5536" s="102">
        <v>44123</v>
      </c>
      <c r="C5536" s="4">
        <v>271</v>
      </c>
      <c r="D5536" s="21">
        <f t="shared" si="504"/>
        <v>15354</v>
      </c>
      <c r="E5536" s="4">
        <v>4</v>
      </c>
      <c r="F5536" s="134">
        <v>282</v>
      </c>
    </row>
    <row r="5537" spans="1:6" x14ac:dyDescent="0.25">
      <c r="A5537" s="127" t="s">
        <v>19</v>
      </c>
      <c r="B5537" s="102">
        <v>44123</v>
      </c>
      <c r="C5537" s="4">
        <v>207</v>
      </c>
      <c r="D5537" s="21">
        <f t="shared" si="504"/>
        <v>19398</v>
      </c>
      <c r="E5537" s="4">
        <v>11</v>
      </c>
      <c r="F5537" s="134">
        <v>505</v>
      </c>
    </row>
    <row r="5538" spans="1:6" x14ac:dyDescent="0.25">
      <c r="A5538" s="127" t="s">
        <v>35</v>
      </c>
      <c r="B5538" s="102">
        <v>44123</v>
      </c>
      <c r="C5538" s="4">
        <v>80</v>
      </c>
      <c r="D5538" s="21">
        <f t="shared" si="504"/>
        <v>16712</v>
      </c>
      <c r="E5538" s="4">
        <v>18</v>
      </c>
      <c r="F5538" s="134">
        <v>632</v>
      </c>
    </row>
    <row r="5539" spans="1:6" x14ac:dyDescent="0.25">
      <c r="A5539" s="127" t="s">
        <v>36</v>
      </c>
      <c r="B5539" s="102">
        <v>44123</v>
      </c>
      <c r="C5539" s="4">
        <v>10</v>
      </c>
      <c r="D5539" s="21">
        <f t="shared" si="504"/>
        <v>1302</v>
      </c>
      <c r="E5539" s="4">
        <v>2</v>
      </c>
      <c r="F5539" s="134">
        <v>75</v>
      </c>
    </row>
    <row r="5540" spans="1:6" x14ac:dyDescent="0.25">
      <c r="A5540" s="127" t="s">
        <v>37</v>
      </c>
      <c r="B5540" s="102">
        <v>44123</v>
      </c>
      <c r="C5540" s="4">
        <v>277</v>
      </c>
      <c r="D5540" s="21">
        <f t="shared" si="504"/>
        <v>3604</v>
      </c>
      <c r="F5540" s="134">
        <v>51</v>
      </c>
    </row>
    <row r="5541" spans="1:6" x14ac:dyDescent="0.25">
      <c r="A5541" s="127" t="s">
        <v>38</v>
      </c>
      <c r="B5541" s="102">
        <v>44123</v>
      </c>
      <c r="C5541" s="4">
        <v>138</v>
      </c>
      <c r="D5541" s="21">
        <f t="shared" si="504"/>
        <v>7405</v>
      </c>
      <c r="E5541" s="4">
        <v>1</v>
      </c>
      <c r="F5541" s="134">
        <v>99</v>
      </c>
    </row>
    <row r="5542" spans="1:6" x14ac:dyDescent="0.25">
      <c r="A5542" s="127" t="s">
        <v>23</v>
      </c>
      <c r="B5542" s="102">
        <v>44123</v>
      </c>
      <c r="C5542" s="4">
        <v>2050</v>
      </c>
      <c r="D5542" s="21">
        <f t="shared" si="504"/>
        <v>80874</v>
      </c>
      <c r="E5542" s="4">
        <v>28</v>
      </c>
      <c r="F5542" s="134">
        <v>857</v>
      </c>
    </row>
    <row r="5543" spans="1:6" x14ac:dyDescent="0.25">
      <c r="A5543" s="127" t="s">
        <v>39</v>
      </c>
      <c r="B5543" s="102">
        <v>44123</v>
      </c>
      <c r="C5543" s="4">
        <v>145</v>
      </c>
      <c r="D5543" s="21">
        <f>C5543+D5519</f>
        <v>6960</v>
      </c>
      <c r="E5543" s="4">
        <v>1</v>
      </c>
      <c r="F5543" s="134">
        <v>100</v>
      </c>
    </row>
    <row r="5544" spans="1:6" x14ac:dyDescent="0.25">
      <c r="A5544" s="127" t="s">
        <v>40</v>
      </c>
      <c r="B5544" s="102">
        <v>44123</v>
      </c>
      <c r="C5544" s="4">
        <v>238</v>
      </c>
      <c r="D5544" s="21">
        <f>C5544+D5520</f>
        <v>8386</v>
      </c>
      <c r="F5544" s="134">
        <f>E5544+F5520</f>
        <v>102</v>
      </c>
    </row>
    <row r="5545" spans="1:6" ht="15.75" thickBot="1" x14ac:dyDescent="0.3">
      <c r="A5545" s="143" t="s">
        <v>41</v>
      </c>
      <c r="B5545" s="103">
        <v>44123</v>
      </c>
      <c r="C5545" s="30">
        <v>1386</v>
      </c>
      <c r="D5545" s="21">
        <f t="shared" ref="D5545:D5566" si="505">C5545+D5521</f>
        <v>36123</v>
      </c>
      <c r="E5545" s="30">
        <v>17</v>
      </c>
      <c r="F5545" s="134">
        <v>473</v>
      </c>
    </row>
    <row r="5546" spans="1:6" x14ac:dyDescent="0.25">
      <c r="A5546" s="45" t="s">
        <v>17</v>
      </c>
      <c r="B5546" s="32">
        <v>44124</v>
      </c>
      <c r="C5546" s="33">
        <v>4981</v>
      </c>
      <c r="D5546" s="108">
        <f t="shared" si="505"/>
        <v>507411</v>
      </c>
      <c r="E5546" s="33">
        <f>83+60</f>
        <v>143</v>
      </c>
      <c r="F5546" s="94">
        <f t="shared" ref="F5546:F5609" si="506">E5546+F5522</f>
        <v>16175</v>
      </c>
    </row>
    <row r="5547" spans="1:6" x14ac:dyDescent="0.25">
      <c r="A5547" s="105" t="s">
        <v>44</v>
      </c>
      <c r="B5547" s="19">
        <v>44124</v>
      </c>
      <c r="C5547" s="4">
        <v>663</v>
      </c>
      <c r="D5547" s="21">
        <f t="shared" si="505"/>
        <v>141190</v>
      </c>
      <c r="E5547" s="4">
        <f>19+34+1</f>
        <v>54</v>
      </c>
      <c r="F5547" s="95">
        <f t="shared" si="506"/>
        <v>4281</v>
      </c>
    </row>
    <row r="5548" spans="1:6" x14ac:dyDescent="0.25">
      <c r="A5548" s="105" t="s">
        <v>29</v>
      </c>
      <c r="B5548" s="19">
        <v>44124</v>
      </c>
      <c r="C5548" s="4">
        <v>8</v>
      </c>
      <c r="D5548" s="21">
        <f t="shared" si="505"/>
        <v>500</v>
      </c>
      <c r="F5548" s="95">
        <f t="shared" si="506"/>
        <v>0</v>
      </c>
    </row>
    <row r="5549" spans="1:6" x14ac:dyDescent="0.25">
      <c r="A5549" s="105" t="s">
        <v>16</v>
      </c>
      <c r="B5549" s="19">
        <v>44124</v>
      </c>
      <c r="C5549" s="4">
        <v>193</v>
      </c>
      <c r="D5549" s="21">
        <f t="shared" si="505"/>
        <v>12041</v>
      </c>
      <c r="E5549" s="4">
        <f>3+2</f>
        <v>5</v>
      </c>
      <c r="F5549" s="95">
        <f t="shared" si="506"/>
        <v>378</v>
      </c>
    </row>
    <row r="5550" spans="1:6" x14ac:dyDescent="0.25">
      <c r="A5550" s="105" t="s">
        <v>30</v>
      </c>
      <c r="B5550" s="19">
        <v>44124</v>
      </c>
      <c r="C5550" s="4">
        <v>465</v>
      </c>
      <c r="D5550" s="21">
        <f t="shared" si="505"/>
        <v>9727</v>
      </c>
      <c r="E5550" s="4">
        <f>5+2</f>
        <v>7</v>
      </c>
      <c r="F5550" s="95">
        <f t="shared" si="506"/>
        <v>192</v>
      </c>
    </row>
    <row r="5551" spans="1:6" x14ac:dyDescent="0.25">
      <c r="A5551" s="105" t="s">
        <v>21</v>
      </c>
      <c r="B5551" s="19">
        <v>44124</v>
      </c>
      <c r="C5551" s="4">
        <v>1708</v>
      </c>
      <c r="D5551" s="21">
        <f t="shared" si="505"/>
        <v>66287</v>
      </c>
      <c r="E5551" s="4">
        <f>31+21</f>
        <v>52</v>
      </c>
      <c r="F5551" s="95">
        <f t="shared" si="506"/>
        <v>923</v>
      </c>
    </row>
    <row r="5552" spans="1:6" x14ac:dyDescent="0.25">
      <c r="A5552" s="105" t="s">
        <v>31</v>
      </c>
      <c r="B5552" s="19">
        <v>44124</v>
      </c>
      <c r="C5552" s="4">
        <v>34</v>
      </c>
      <c r="D5552" s="21">
        <f t="shared" si="505"/>
        <v>2134</v>
      </c>
      <c r="F5552" s="95">
        <f t="shared" si="506"/>
        <v>36</v>
      </c>
    </row>
    <row r="5553" spans="1:6" x14ac:dyDescent="0.25">
      <c r="A5553" s="105" t="s">
        <v>32</v>
      </c>
      <c r="B5553" s="19">
        <v>44124</v>
      </c>
      <c r="C5553" s="4">
        <v>402</v>
      </c>
      <c r="D5553" s="21">
        <f t="shared" si="505"/>
        <v>12094</v>
      </c>
      <c r="E5553" s="4">
        <f>2+3</f>
        <v>5</v>
      </c>
      <c r="F5553" s="95">
        <f t="shared" si="506"/>
        <v>215</v>
      </c>
    </row>
    <row r="5554" spans="1:6" x14ac:dyDescent="0.25">
      <c r="A5554" s="105" t="s">
        <v>42</v>
      </c>
      <c r="B5554" s="19">
        <v>44124</v>
      </c>
      <c r="C5554" s="4">
        <v>-4</v>
      </c>
      <c r="D5554" s="21">
        <f t="shared" si="505"/>
        <v>140</v>
      </c>
      <c r="F5554" s="95">
        <f t="shared" si="506"/>
        <v>1</v>
      </c>
    </row>
    <row r="5555" spans="1:6" x14ac:dyDescent="0.25">
      <c r="A5555" s="105" t="s">
        <v>33</v>
      </c>
      <c r="B5555" s="19">
        <v>44124</v>
      </c>
      <c r="C5555" s="4">
        <v>59</v>
      </c>
      <c r="D5555" s="21">
        <f t="shared" si="505"/>
        <v>17344</v>
      </c>
      <c r="E5555" s="4">
        <f>2+2</f>
        <v>4</v>
      </c>
      <c r="F5555" s="95">
        <f t="shared" si="506"/>
        <v>738</v>
      </c>
    </row>
    <row r="5556" spans="1:6" x14ac:dyDescent="0.25">
      <c r="A5556" s="105" t="s">
        <v>34</v>
      </c>
      <c r="B5556" s="19">
        <v>44124</v>
      </c>
      <c r="C5556" s="4">
        <v>98</v>
      </c>
      <c r="D5556" s="21">
        <f t="shared" si="505"/>
        <v>1808</v>
      </c>
      <c r="E5556" s="4">
        <f>1+1</f>
        <v>2</v>
      </c>
      <c r="F5556" s="95">
        <f t="shared" si="506"/>
        <v>18</v>
      </c>
    </row>
    <row r="5557" spans="1:6" x14ac:dyDescent="0.25">
      <c r="A5557" s="105" t="s">
        <v>22</v>
      </c>
      <c r="B5557" s="19">
        <v>44124</v>
      </c>
      <c r="C5557" s="4">
        <v>41</v>
      </c>
      <c r="D5557" s="21">
        <f t="shared" si="505"/>
        <v>6665</v>
      </c>
      <c r="E5557" s="4">
        <f>1+1</f>
        <v>2</v>
      </c>
      <c r="F5557" s="95">
        <f t="shared" si="506"/>
        <v>228</v>
      </c>
    </row>
    <row r="5558" spans="1:6" x14ac:dyDescent="0.25">
      <c r="A5558" s="105" t="s">
        <v>18</v>
      </c>
      <c r="B5558" s="19">
        <v>44124</v>
      </c>
      <c r="C5558" s="4">
        <v>968</v>
      </c>
      <c r="D5558" s="21">
        <f t="shared" si="505"/>
        <v>38814</v>
      </c>
      <c r="E5558" s="4">
        <f>7+2</f>
        <v>9</v>
      </c>
      <c r="F5558" s="95">
        <f t="shared" si="506"/>
        <v>634</v>
      </c>
    </row>
    <row r="5559" spans="1:6" x14ac:dyDescent="0.25">
      <c r="A5559" s="105" t="s">
        <v>24</v>
      </c>
      <c r="B5559" s="19">
        <v>44124</v>
      </c>
      <c r="C5559" s="4">
        <v>-2</v>
      </c>
      <c r="D5559" s="21">
        <f t="shared" si="505"/>
        <v>195</v>
      </c>
      <c r="F5559" s="95">
        <f t="shared" si="506"/>
        <v>4</v>
      </c>
    </row>
    <row r="5560" spans="1:6" x14ac:dyDescent="0.25">
      <c r="A5560" s="105" t="s">
        <v>20</v>
      </c>
      <c r="B5560" s="19">
        <v>44124</v>
      </c>
      <c r="C5560" s="4">
        <v>1305</v>
      </c>
      <c r="D5560" s="21">
        <f t="shared" si="505"/>
        <v>16659</v>
      </c>
      <c r="E5560" s="4">
        <f>5+2</f>
        <v>7</v>
      </c>
      <c r="F5560" s="95">
        <f t="shared" si="506"/>
        <v>289</v>
      </c>
    </row>
    <row r="5561" spans="1:6" x14ac:dyDescent="0.25">
      <c r="A5561" s="105" t="s">
        <v>19</v>
      </c>
      <c r="B5561" s="19">
        <v>44124</v>
      </c>
      <c r="C5561" s="4">
        <v>393</v>
      </c>
      <c r="D5561" s="21">
        <f t="shared" si="505"/>
        <v>19791</v>
      </c>
      <c r="E5561" s="4">
        <f>1+1</f>
        <v>2</v>
      </c>
      <c r="F5561" s="95">
        <f t="shared" si="506"/>
        <v>507</v>
      </c>
    </row>
    <row r="5562" spans="1:6" x14ac:dyDescent="0.25">
      <c r="A5562" s="105" t="s">
        <v>35</v>
      </c>
      <c r="B5562" s="19">
        <v>44124</v>
      </c>
      <c r="C5562" s="4">
        <v>201</v>
      </c>
      <c r="D5562" s="21">
        <f t="shared" si="505"/>
        <v>16913</v>
      </c>
      <c r="E5562" s="4">
        <v>6</v>
      </c>
      <c r="F5562" s="95">
        <f t="shared" si="506"/>
        <v>638</v>
      </c>
    </row>
    <row r="5563" spans="1:6" x14ac:dyDescent="0.25">
      <c r="A5563" s="105" t="s">
        <v>36</v>
      </c>
      <c r="B5563" s="19">
        <v>44124</v>
      </c>
      <c r="C5563" s="4">
        <v>5</v>
      </c>
      <c r="D5563" s="21">
        <f t="shared" si="505"/>
        <v>1307</v>
      </c>
      <c r="E5563" s="4">
        <f>1</f>
        <v>1</v>
      </c>
      <c r="F5563" s="95">
        <f t="shared" si="506"/>
        <v>76</v>
      </c>
    </row>
    <row r="5564" spans="1:6" x14ac:dyDescent="0.25">
      <c r="A5564" s="105" t="s">
        <v>37</v>
      </c>
      <c r="B5564" s="19">
        <v>44124</v>
      </c>
      <c r="C5564" s="4">
        <v>266</v>
      </c>
      <c r="D5564" s="21">
        <f t="shared" si="505"/>
        <v>3870</v>
      </c>
      <c r="F5564" s="95">
        <f t="shared" si="506"/>
        <v>51</v>
      </c>
    </row>
    <row r="5565" spans="1:6" x14ac:dyDescent="0.25">
      <c r="A5565" s="105" t="s">
        <v>38</v>
      </c>
      <c r="B5565" s="19">
        <v>44124</v>
      </c>
      <c r="C5565" s="4">
        <v>158</v>
      </c>
      <c r="D5565" s="21">
        <f t="shared" si="505"/>
        <v>7563</v>
      </c>
      <c r="E5565" s="4">
        <v>3</v>
      </c>
      <c r="F5565" s="95">
        <f t="shared" si="506"/>
        <v>102</v>
      </c>
    </row>
    <row r="5566" spans="1:6" x14ac:dyDescent="0.25">
      <c r="A5566" s="105" t="s">
        <v>23</v>
      </c>
      <c r="B5566" s="19">
        <v>44124</v>
      </c>
      <c r="C5566" s="4">
        <v>2575</v>
      </c>
      <c r="D5566" s="21">
        <f t="shared" si="505"/>
        <v>83449</v>
      </c>
      <c r="E5566" s="4">
        <f>33+27</f>
        <v>60</v>
      </c>
      <c r="F5566" s="95">
        <f t="shared" si="506"/>
        <v>917</v>
      </c>
    </row>
    <row r="5567" spans="1:6" x14ac:dyDescent="0.25">
      <c r="A5567" s="105" t="s">
        <v>39</v>
      </c>
      <c r="B5567" s="19">
        <v>44124</v>
      </c>
      <c r="C5567" s="4">
        <v>104</v>
      </c>
      <c r="D5567" s="21">
        <f>C5567+D5543</f>
        <v>7064</v>
      </c>
      <c r="E5567" s="4">
        <f>2+1</f>
        <v>3</v>
      </c>
      <c r="F5567" s="95">
        <f t="shared" si="506"/>
        <v>103</v>
      </c>
    </row>
    <row r="5568" spans="1:6" x14ac:dyDescent="0.25">
      <c r="A5568" s="105" t="s">
        <v>40</v>
      </c>
      <c r="B5568" s="19">
        <v>44124</v>
      </c>
      <c r="C5568" s="4">
        <v>295</v>
      </c>
      <c r="D5568" s="21">
        <f>C5568+D5544</f>
        <v>8681</v>
      </c>
      <c r="E5568" s="4">
        <f>1</f>
        <v>1</v>
      </c>
      <c r="F5568" s="95">
        <f t="shared" si="506"/>
        <v>103</v>
      </c>
    </row>
    <row r="5569" spans="1:6" ht="15.75" thickBot="1" x14ac:dyDescent="0.3">
      <c r="A5569" s="107" t="s">
        <v>41</v>
      </c>
      <c r="B5569" s="29">
        <v>44124</v>
      </c>
      <c r="C5569" s="30">
        <v>1421</v>
      </c>
      <c r="D5569" s="21">
        <f t="shared" ref="D5569:D5590" si="507">C5569+D5545</f>
        <v>37544</v>
      </c>
      <c r="E5569" s="30">
        <f>9+6</f>
        <v>15</v>
      </c>
      <c r="F5569" s="104">
        <f t="shared" si="506"/>
        <v>488</v>
      </c>
    </row>
    <row r="5570" spans="1:6" x14ac:dyDescent="0.25">
      <c r="A5570" s="45" t="s">
        <v>17</v>
      </c>
      <c r="B5570" s="32">
        <v>44125</v>
      </c>
      <c r="C5570" s="33">
        <v>5179</v>
      </c>
      <c r="D5570" s="108">
        <f t="shared" si="507"/>
        <v>512590</v>
      </c>
      <c r="E5570" s="33">
        <f>52+54</f>
        <v>106</v>
      </c>
      <c r="F5570" s="94">
        <f t="shared" si="506"/>
        <v>16281</v>
      </c>
    </row>
    <row r="5571" spans="1:6" x14ac:dyDescent="0.25">
      <c r="A5571" s="105" t="s">
        <v>44</v>
      </c>
      <c r="B5571" s="19">
        <v>44125</v>
      </c>
      <c r="C5571" s="4">
        <v>740</v>
      </c>
      <c r="D5571" s="21">
        <f t="shared" si="507"/>
        <v>141930</v>
      </c>
      <c r="E5571" s="4">
        <f>30+22</f>
        <v>52</v>
      </c>
      <c r="F5571" s="95">
        <f t="shared" si="506"/>
        <v>4333</v>
      </c>
    </row>
    <row r="5572" spans="1:6" x14ac:dyDescent="0.25">
      <c r="A5572" s="105" t="s">
        <v>29</v>
      </c>
      <c r="B5572" s="19">
        <v>44125</v>
      </c>
      <c r="C5572" s="4">
        <v>25</v>
      </c>
      <c r="D5572" s="21">
        <f t="shared" si="507"/>
        <v>525</v>
      </c>
      <c r="F5572" s="95">
        <f t="shared" si="506"/>
        <v>0</v>
      </c>
    </row>
    <row r="5573" spans="1:6" x14ac:dyDescent="0.25">
      <c r="A5573" s="105" t="s">
        <v>16</v>
      </c>
      <c r="B5573" s="19">
        <v>44125</v>
      </c>
      <c r="C5573" s="4">
        <v>255</v>
      </c>
      <c r="D5573" s="21">
        <f t="shared" si="507"/>
        <v>12296</v>
      </c>
      <c r="E5573" s="4">
        <f>2+2</f>
        <v>4</v>
      </c>
      <c r="F5573" s="95">
        <f t="shared" si="506"/>
        <v>382</v>
      </c>
    </row>
    <row r="5574" spans="1:6" x14ac:dyDescent="0.25">
      <c r="A5574" s="105" t="s">
        <v>30</v>
      </c>
      <c r="B5574" s="19">
        <v>44125</v>
      </c>
      <c r="C5574" s="4">
        <v>531</v>
      </c>
      <c r="D5574" s="21">
        <f t="shared" si="507"/>
        <v>10258</v>
      </c>
      <c r="E5574" s="4">
        <f>2</f>
        <v>2</v>
      </c>
      <c r="F5574" s="95">
        <f t="shared" si="506"/>
        <v>194</v>
      </c>
    </row>
    <row r="5575" spans="1:6" x14ac:dyDescent="0.25">
      <c r="A5575" s="105" t="s">
        <v>21</v>
      </c>
      <c r="B5575" s="19">
        <v>44125</v>
      </c>
      <c r="C5575" s="4">
        <v>2480</v>
      </c>
      <c r="D5575" s="21">
        <f t="shared" si="507"/>
        <v>68767</v>
      </c>
      <c r="E5575" s="4">
        <f>29+26</f>
        <v>55</v>
      </c>
      <c r="F5575" s="95">
        <f t="shared" si="506"/>
        <v>978</v>
      </c>
    </row>
    <row r="5576" spans="1:6" x14ac:dyDescent="0.25">
      <c r="A5576" s="105" t="s">
        <v>31</v>
      </c>
      <c r="B5576" s="19">
        <v>44125</v>
      </c>
      <c r="C5576" s="4">
        <v>20</v>
      </c>
      <c r="D5576" s="21">
        <f t="shared" si="507"/>
        <v>2154</v>
      </c>
      <c r="F5576" s="95">
        <f t="shared" si="506"/>
        <v>36</v>
      </c>
    </row>
    <row r="5577" spans="1:6" x14ac:dyDescent="0.25">
      <c r="A5577" s="105" t="s">
        <v>32</v>
      </c>
      <c r="B5577" s="19">
        <v>44125</v>
      </c>
      <c r="C5577" s="4">
        <v>467</v>
      </c>
      <c r="D5577" s="21">
        <f t="shared" si="507"/>
        <v>12561</v>
      </c>
      <c r="E5577" s="4">
        <f>1+2</f>
        <v>3</v>
      </c>
      <c r="F5577" s="95">
        <f t="shared" si="506"/>
        <v>218</v>
      </c>
    </row>
    <row r="5578" spans="1:6" x14ac:dyDescent="0.25">
      <c r="A5578" s="105" t="s">
        <v>42</v>
      </c>
      <c r="B5578" s="19">
        <v>44125</v>
      </c>
      <c r="C5578" s="4">
        <v>7</v>
      </c>
      <c r="D5578" s="21">
        <f t="shared" si="507"/>
        <v>147</v>
      </c>
      <c r="F5578" s="95">
        <f t="shared" si="506"/>
        <v>1</v>
      </c>
    </row>
    <row r="5579" spans="1:6" x14ac:dyDescent="0.25">
      <c r="A5579" s="105" t="s">
        <v>33</v>
      </c>
      <c r="B5579" s="19">
        <v>44125</v>
      </c>
      <c r="C5579" s="4">
        <v>68</v>
      </c>
      <c r="D5579" s="21">
        <f t="shared" si="507"/>
        <v>17412</v>
      </c>
      <c r="E5579" s="4">
        <f>2+1</f>
        <v>3</v>
      </c>
      <c r="F5579" s="95">
        <f t="shared" si="506"/>
        <v>741</v>
      </c>
    </row>
    <row r="5580" spans="1:6" x14ac:dyDescent="0.25">
      <c r="A5580" s="105" t="s">
        <v>34</v>
      </c>
      <c r="B5580" s="19">
        <v>44125</v>
      </c>
      <c r="C5580" s="4">
        <v>161</v>
      </c>
      <c r="D5580" s="21">
        <f t="shared" si="507"/>
        <v>1969</v>
      </c>
      <c r="E5580" s="4">
        <f>2</f>
        <v>2</v>
      </c>
      <c r="F5580" s="95">
        <f t="shared" si="506"/>
        <v>20</v>
      </c>
    </row>
    <row r="5581" spans="1:6" x14ac:dyDescent="0.25">
      <c r="A5581" s="105" t="s">
        <v>22</v>
      </c>
      <c r="B5581" s="19">
        <v>44125</v>
      </c>
      <c r="C5581" s="4">
        <v>134</v>
      </c>
      <c r="D5581" s="21">
        <f t="shared" si="507"/>
        <v>6799</v>
      </c>
      <c r="E5581" s="4">
        <f>6</f>
        <v>6</v>
      </c>
      <c r="F5581" s="95">
        <f t="shared" si="506"/>
        <v>234</v>
      </c>
    </row>
    <row r="5582" spans="1:6" x14ac:dyDescent="0.25">
      <c r="A5582" s="105" t="s">
        <v>18</v>
      </c>
      <c r="B5582" s="19">
        <v>44125</v>
      </c>
      <c r="C5582" s="4">
        <v>1155</v>
      </c>
      <c r="D5582" s="21">
        <f t="shared" si="507"/>
        <v>39969</v>
      </c>
      <c r="E5582" s="4">
        <f>14+7</f>
        <v>21</v>
      </c>
      <c r="F5582" s="95">
        <f t="shared" si="506"/>
        <v>655</v>
      </c>
    </row>
    <row r="5583" spans="1:6" x14ac:dyDescent="0.25">
      <c r="A5583" s="105" t="s">
        <v>24</v>
      </c>
      <c r="B5583" s="19">
        <v>44125</v>
      </c>
      <c r="C5583" s="4">
        <v>3</v>
      </c>
      <c r="D5583" s="21">
        <f t="shared" si="507"/>
        <v>198</v>
      </c>
      <c r="F5583" s="95">
        <f t="shared" si="506"/>
        <v>4</v>
      </c>
    </row>
    <row r="5584" spans="1:6" x14ac:dyDescent="0.25">
      <c r="A5584" s="105" t="s">
        <v>20</v>
      </c>
      <c r="B5584" s="19">
        <v>44125</v>
      </c>
      <c r="C5584" s="4">
        <v>976</v>
      </c>
      <c r="D5584" s="21">
        <f t="shared" si="507"/>
        <v>17635</v>
      </c>
      <c r="E5584" s="4">
        <f>21+7</f>
        <v>28</v>
      </c>
      <c r="F5584" s="95">
        <f t="shared" si="506"/>
        <v>317</v>
      </c>
    </row>
    <row r="5585" spans="1:6" x14ac:dyDescent="0.25">
      <c r="A5585" s="105" t="s">
        <v>19</v>
      </c>
      <c r="B5585" s="19">
        <v>44125</v>
      </c>
      <c r="C5585" s="4">
        <v>536</v>
      </c>
      <c r="D5585" s="21">
        <f t="shared" si="507"/>
        <v>20327</v>
      </c>
      <c r="E5585" s="4">
        <f>7+5</f>
        <v>12</v>
      </c>
      <c r="F5585" s="95">
        <f t="shared" si="506"/>
        <v>519</v>
      </c>
    </row>
    <row r="5586" spans="1:6" x14ac:dyDescent="0.25">
      <c r="A5586" s="105" t="s">
        <v>35</v>
      </c>
      <c r="B5586" s="19">
        <v>44125</v>
      </c>
      <c r="C5586" s="4">
        <v>254</v>
      </c>
      <c r="D5586" s="21">
        <f t="shared" si="507"/>
        <v>17167</v>
      </c>
      <c r="E5586" s="4">
        <v>11</v>
      </c>
      <c r="F5586" s="95">
        <f t="shared" si="506"/>
        <v>649</v>
      </c>
    </row>
    <row r="5587" spans="1:6" x14ac:dyDescent="0.25">
      <c r="A5587" s="105" t="s">
        <v>36</v>
      </c>
      <c r="B5587" s="19">
        <v>44125</v>
      </c>
      <c r="C5587" s="4">
        <v>8</v>
      </c>
      <c r="D5587" s="21">
        <f t="shared" si="507"/>
        <v>1315</v>
      </c>
      <c r="F5587" s="95">
        <f t="shared" si="506"/>
        <v>76</v>
      </c>
    </row>
    <row r="5588" spans="1:6" x14ac:dyDescent="0.25">
      <c r="A5588" s="105" t="s">
        <v>37</v>
      </c>
      <c r="B5588" s="19">
        <v>44125</v>
      </c>
      <c r="C5588" s="4">
        <v>507</v>
      </c>
      <c r="D5588" s="21">
        <f t="shared" si="507"/>
        <v>4377</v>
      </c>
      <c r="F5588" s="95">
        <f t="shared" si="506"/>
        <v>51</v>
      </c>
    </row>
    <row r="5589" spans="1:6" x14ac:dyDescent="0.25">
      <c r="A5589" s="105" t="s">
        <v>38</v>
      </c>
      <c r="B5589" s="19">
        <v>44125</v>
      </c>
      <c r="C5589" s="4">
        <v>197</v>
      </c>
      <c r="D5589" s="21">
        <f t="shared" si="507"/>
        <v>7760</v>
      </c>
      <c r="E5589" s="4">
        <f>1</f>
        <v>1</v>
      </c>
      <c r="F5589" s="95">
        <f t="shared" si="506"/>
        <v>103</v>
      </c>
    </row>
    <row r="5590" spans="1:6" x14ac:dyDescent="0.25">
      <c r="A5590" s="105" t="s">
        <v>23</v>
      </c>
      <c r="B5590" s="19">
        <v>44125</v>
      </c>
      <c r="C5590" s="4">
        <v>2673</v>
      </c>
      <c r="D5590" s="21">
        <f t="shared" si="507"/>
        <v>86122</v>
      </c>
      <c r="E5590" s="4">
        <f>29+23</f>
        <v>52</v>
      </c>
      <c r="F5590" s="95">
        <f t="shared" si="506"/>
        <v>969</v>
      </c>
    </row>
    <row r="5591" spans="1:6" x14ac:dyDescent="0.25">
      <c r="A5591" s="105" t="s">
        <v>39</v>
      </c>
      <c r="B5591" s="19">
        <v>44125</v>
      </c>
      <c r="C5591" s="4">
        <v>185</v>
      </c>
      <c r="D5591" s="21">
        <f>C5591+D5567</f>
        <v>7249</v>
      </c>
      <c r="E5591" s="4">
        <f>1</f>
        <v>1</v>
      </c>
      <c r="F5591" s="95">
        <f t="shared" si="506"/>
        <v>104</v>
      </c>
    </row>
    <row r="5592" spans="1:6" x14ac:dyDescent="0.25">
      <c r="A5592" s="105" t="s">
        <v>40</v>
      </c>
      <c r="B5592" s="19">
        <v>44125</v>
      </c>
      <c r="C5592" s="4">
        <v>205</v>
      </c>
      <c r="D5592" s="21">
        <f>C5592+D5568</f>
        <v>8886</v>
      </c>
      <c r="E5592" s="4">
        <f>4</f>
        <v>4</v>
      </c>
      <c r="F5592" s="95">
        <f t="shared" si="506"/>
        <v>107</v>
      </c>
    </row>
    <row r="5593" spans="1:6" ht="15.75" thickBot="1" x14ac:dyDescent="0.3">
      <c r="A5593" s="106" t="s">
        <v>41</v>
      </c>
      <c r="B5593" s="36">
        <v>44125</v>
      </c>
      <c r="C5593" s="37">
        <v>1560</v>
      </c>
      <c r="D5593" s="21">
        <f t="shared" ref="D5593:D5614" si="508">C5593+D5569</f>
        <v>39104</v>
      </c>
      <c r="E5593" s="37">
        <f>38+20</f>
        <v>58</v>
      </c>
      <c r="F5593" s="104">
        <f t="shared" si="506"/>
        <v>546</v>
      </c>
    </row>
    <row r="5594" spans="1:6" ht="15.75" thickBot="1" x14ac:dyDescent="0.3">
      <c r="A5594" s="45" t="s">
        <v>17</v>
      </c>
      <c r="B5594" s="32">
        <v>44126</v>
      </c>
      <c r="C5594" s="33">
        <v>4854</v>
      </c>
      <c r="D5594" s="108">
        <f t="shared" si="508"/>
        <v>517444</v>
      </c>
      <c r="E5594" s="33">
        <v>193</v>
      </c>
      <c r="F5594" s="94">
        <f t="shared" si="506"/>
        <v>16474</v>
      </c>
    </row>
    <row r="5595" spans="1:6" ht="15.75" thickBot="1" x14ac:dyDescent="0.3">
      <c r="A5595" s="105" t="s">
        <v>44</v>
      </c>
      <c r="B5595" s="32">
        <v>44126</v>
      </c>
      <c r="C5595" s="4">
        <v>566</v>
      </c>
      <c r="D5595" s="21">
        <f t="shared" si="508"/>
        <v>142496</v>
      </c>
      <c r="E5595" s="4">
        <f>31+21</f>
        <v>52</v>
      </c>
      <c r="F5595" s="95">
        <f t="shared" si="506"/>
        <v>4385</v>
      </c>
    </row>
    <row r="5596" spans="1:6" ht="15.75" thickBot="1" x14ac:dyDescent="0.3">
      <c r="A5596" s="105" t="s">
        <v>29</v>
      </c>
      <c r="B5596" s="32">
        <v>44126</v>
      </c>
      <c r="C5596" s="4">
        <v>27</v>
      </c>
      <c r="D5596" s="21">
        <f t="shared" si="508"/>
        <v>552</v>
      </c>
      <c r="F5596" s="95">
        <f t="shared" si="506"/>
        <v>0</v>
      </c>
    </row>
    <row r="5597" spans="1:6" ht="15.75" thickBot="1" x14ac:dyDescent="0.3">
      <c r="A5597" s="105" t="s">
        <v>16</v>
      </c>
      <c r="B5597" s="32">
        <v>44126</v>
      </c>
      <c r="C5597" s="4">
        <v>254</v>
      </c>
      <c r="D5597" s="21">
        <f t="shared" si="508"/>
        <v>12550</v>
      </c>
      <c r="E5597" s="4">
        <f>5+2</f>
        <v>7</v>
      </c>
      <c r="F5597" s="95">
        <f t="shared" si="506"/>
        <v>389</v>
      </c>
    </row>
    <row r="5598" spans="1:6" ht="15.75" thickBot="1" x14ac:dyDescent="0.3">
      <c r="A5598" s="105" t="s">
        <v>30</v>
      </c>
      <c r="B5598" s="32">
        <v>44126</v>
      </c>
      <c r="C5598" s="4">
        <v>670</v>
      </c>
      <c r="D5598" s="21">
        <f t="shared" si="508"/>
        <v>10928</v>
      </c>
      <c r="E5598" s="4">
        <f>2+2</f>
        <v>4</v>
      </c>
      <c r="F5598" s="95">
        <f t="shared" si="506"/>
        <v>198</v>
      </c>
    </row>
    <row r="5599" spans="1:6" ht="15.75" thickBot="1" x14ac:dyDescent="0.3">
      <c r="A5599" s="105" t="s">
        <v>21</v>
      </c>
      <c r="B5599" s="32">
        <v>44126</v>
      </c>
      <c r="C5599" s="4">
        <v>1857</v>
      </c>
      <c r="D5599" s="21">
        <f t="shared" si="508"/>
        <v>70624</v>
      </c>
      <c r="E5599" s="4">
        <f>21+8</f>
        <v>29</v>
      </c>
      <c r="F5599" s="95">
        <f t="shared" si="506"/>
        <v>1007</v>
      </c>
    </row>
    <row r="5600" spans="1:6" ht="15.75" thickBot="1" x14ac:dyDescent="0.3">
      <c r="A5600" s="105" t="s">
        <v>31</v>
      </c>
      <c r="B5600" s="32">
        <v>44126</v>
      </c>
      <c r="C5600" s="4">
        <v>34</v>
      </c>
      <c r="D5600" s="21">
        <f t="shared" si="508"/>
        <v>2188</v>
      </c>
      <c r="F5600" s="95">
        <f t="shared" si="506"/>
        <v>36</v>
      </c>
    </row>
    <row r="5601" spans="1:6" ht="15.75" thickBot="1" x14ac:dyDescent="0.3">
      <c r="A5601" s="105" t="s">
        <v>32</v>
      </c>
      <c r="B5601" s="32">
        <v>44126</v>
      </c>
      <c r="C5601" s="4">
        <v>393</v>
      </c>
      <c r="D5601" s="21">
        <f t="shared" si="508"/>
        <v>12954</v>
      </c>
      <c r="E5601" s="4">
        <f>2+2</f>
        <v>4</v>
      </c>
      <c r="F5601" s="95">
        <f t="shared" si="506"/>
        <v>222</v>
      </c>
    </row>
    <row r="5602" spans="1:6" ht="15.75" thickBot="1" x14ac:dyDescent="0.3">
      <c r="A5602" s="105" t="s">
        <v>42</v>
      </c>
      <c r="B5602" s="32">
        <v>44126</v>
      </c>
      <c r="C5602" s="4">
        <v>-7</v>
      </c>
      <c r="D5602" s="21">
        <f t="shared" si="508"/>
        <v>140</v>
      </c>
      <c r="F5602" s="95">
        <f t="shared" si="506"/>
        <v>1</v>
      </c>
    </row>
    <row r="5603" spans="1:6" ht="15.75" thickBot="1" x14ac:dyDescent="0.3">
      <c r="A5603" s="105" t="s">
        <v>33</v>
      </c>
      <c r="B5603" s="32">
        <v>44126</v>
      </c>
      <c r="C5603" s="4">
        <v>59</v>
      </c>
      <c r="D5603" s="21">
        <f t="shared" si="508"/>
        <v>17471</v>
      </c>
      <c r="E5603" s="4">
        <f>5+1</f>
        <v>6</v>
      </c>
      <c r="F5603" s="95">
        <f t="shared" si="506"/>
        <v>747</v>
      </c>
    </row>
    <row r="5604" spans="1:6" ht="15.75" thickBot="1" x14ac:dyDescent="0.3">
      <c r="A5604" s="105" t="s">
        <v>34</v>
      </c>
      <c r="B5604" s="32">
        <v>44126</v>
      </c>
      <c r="C5604" s="4">
        <v>161</v>
      </c>
      <c r="D5604" s="21">
        <f t="shared" si="508"/>
        <v>2130</v>
      </c>
      <c r="E5604" s="4">
        <f>3</f>
        <v>3</v>
      </c>
      <c r="F5604" s="95">
        <f t="shared" si="506"/>
        <v>23</v>
      </c>
    </row>
    <row r="5605" spans="1:6" ht="15.75" thickBot="1" x14ac:dyDescent="0.3">
      <c r="A5605" s="105" t="s">
        <v>22</v>
      </c>
      <c r="B5605" s="32">
        <v>44126</v>
      </c>
      <c r="C5605" s="4">
        <v>62</v>
      </c>
      <c r="D5605" s="21">
        <f t="shared" si="508"/>
        <v>6861</v>
      </c>
      <c r="F5605" s="95">
        <f t="shared" si="506"/>
        <v>234</v>
      </c>
    </row>
    <row r="5606" spans="1:6" ht="15.75" thickBot="1" x14ac:dyDescent="0.3">
      <c r="A5606" s="105" t="s">
        <v>18</v>
      </c>
      <c r="B5606" s="32">
        <v>44126</v>
      </c>
      <c r="C5606" s="4">
        <v>936</v>
      </c>
      <c r="D5606" s="21">
        <f t="shared" si="508"/>
        <v>40905</v>
      </c>
      <c r="E5606" s="4">
        <f>11+6</f>
        <v>17</v>
      </c>
      <c r="F5606" s="95">
        <f t="shared" si="506"/>
        <v>672</v>
      </c>
    </row>
    <row r="5607" spans="1:6" ht="15.75" thickBot="1" x14ac:dyDescent="0.3">
      <c r="A5607" s="105" t="s">
        <v>24</v>
      </c>
      <c r="B5607" s="32">
        <v>44126</v>
      </c>
      <c r="C5607" s="4">
        <v>9</v>
      </c>
      <c r="D5607" s="21">
        <f t="shared" si="508"/>
        <v>207</v>
      </c>
      <c r="F5607" s="95">
        <f t="shared" si="506"/>
        <v>4</v>
      </c>
    </row>
    <row r="5608" spans="1:6" ht="15.75" thickBot="1" x14ac:dyDescent="0.3">
      <c r="A5608" s="105" t="s">
        <v>20</v>
      </c>
      <c r="B5608" s="32">
        <v>44126</v>
      </c>
      <c r="C5608" s="4">
        <v>567</v>
      </c>
      <c r="D5608" s="21">
        <f t="shared" si="508"/>
        <v>18202</v>
      </c>
      <c r="E5608" s="4">
        <f>1</f>
        <v>1</v>
      </c>
      <c r="F5608" s="95">
        <f t="shared" si="506"/>
        <v>318</v>
      </c>
    </row>
    <row r="5609" spans="1:6" ht="15.75" thickBot="1" x14ac:dyDescent="0.3">
      <c r="A5609" s="105" t="s">
        <v>19</v>
      </c>
      <c r="B5609" s="32">
        <v>44126</v>
      </c>
      <c r="C5609" s="4">
        <v>511</v>
      </c>
      <c r="D5609" s="21">
        <f t="shared" si="508"/>
        <v>20838</v>
      </c>
      <c r="E5609" s="4">
        <f>6+3</f>
        <v>9</v>
      </c>
      <c r="F5609" s="95">
        <f t="shared" si="506"/>
        <v>528</v>
      </c>
    </row>
    <row r="5610" spans="1:6" ht="15.75" thickBot="1" x14ac:dyDescent="0.3">
      <c r="A5610" s="105" t="s">
        <v>35</v>
      </c>
      <c r="B5610" s="32">
        <v>44126</v>
      </c>
      <c r="C5610" s="4">
        <v>287</v>
      </c>
      <c r="D5610" s="21">
        <f t="shared" si="508"/>
        <v>17454</v>
      </c>
      <c r="E5610" s="4">
        <f>14+4</f>
        <v>18</v>
      </c>
      <c r="F5610" s="95">
        <f t="shared" ref="F5610:F5673" si="509">E5610+F5586</f>
        <v>667</v>
      </c>
    </row>
    <row r="5611" spans="1:6" ht="15.75" thickBot="1" x14ac:dyDescent="0.3">
      <c r="A5611" s="105" t="s">
        <v>36</v>
      </c>
      <c r="B5611" s="32">
        <v>44126</v>
      </c>
      <c r="C5611" s="4">
        <v>7</v>
      </c>
      <c r="D5611" s="21">
        <f t="shared" si="508"/>
        <v>1322</v>
      </c>
      <c r="F5611" s="95">
        <f t="shared" si="509"/>
        <v>76</v>
      </c>
    </row>
    <row r="5612" spans="1:6" ht="15.75" thickBot="1" x14ac:dyDescent="0.3">
      <c r="A5612" s="105" t="s">
        <v>37</v>
      </c>
      <c r="B5612" s="32">
        <v>44126</v>
      </c>
      <c r="C5612" s="4">
        <v>369</v>
      </c>
      <c r="D5612" s="21">
        <f t="shared" si="508"/>
        <v>4746</v>
      </c>
      <c r="E5612" s="4">
        <f>1</f>
        <v>1</v>
      </c>
      <c r="F5612" s="95">
        <f t="shared" si="509"/>
        <v>52</v>
      </c>
    </row>
    <row r="5613" spans="1:6" ht="15.75" thickBot="1" x14ac:dyDescent="0.3">
      <c r="A5613" s="105" t="s">
        <v>38</v>
      </c>
      <c r="B5613" s="32">
        <v>44126</v>
      </c>
      <c r="C5613" s="4">
        <v>195</v>
      </c>
      <c r="D5613" s="21">
        <f t="shared" si="508"/>
        <v>7955</v>
      </c>
      <c r="E5613" s="4">
        <f>3+2</f>
        <v>5</v>
      </c>
      <c r="F5613" s="95">
        <f t="shared" si="509"/>
        <v>108</v>
      </c>
    </row>
    <row r="5614" spans="1:6" ht="15.75" thickBot="1" x14ac:dyDescent="0.3">
      <c r="A5614" s="105" t="s">
        <v>23</v>
      </c>
      <c r="B5614" s="32">
        <v>44126</v>
      </c>
      <c r="C5614" s="4">
        <v>2536</v>
      </c>
      <c r="D5614" s="21">
        <f t="shared" si="508"/>
        <v>88658</v>
      </c>
      <c r="E5614" s="4">
        <f>21+17</f>
        <v>38</v>
      </c>
      <c r="F5614" s="95">
        <f t="shared" si="509"/>
        <v>1007</v>
      </c>
    </row>
    <row r="5615" spans="1:6" ht="15.75" thickBot="1" x14ac:dyDescent="0.3">
      <c r="A5615" s="105" t="s">
        <v>39</v>
      </c>
      <c r="B5615" s="32">
        <v>44126</v>
      </c>
      <c r="C5615" s="4">
        <v>247</v>
      </c>
      <c r="D5615" s="21">
        <f>C5615+D5591</f>
        <v>7496</v>
      </c>
      <c r="E5615" s="4">
        <f>2</f>
        <v>2</v>
      </c>
      <c r="F5615" s="95">
        <f t="shared" si="509"/>
        <v>106</v>
      </c>
    </row>
    <row r="5616" spans="1:6" ht="15.75" thickBot="1" x14ac:dyDescent="0.3">
      <c r="A5616" s="105" t="s">
        <v>40</v>
      </c>
      <c r="B5616" s="32">
        <v>44126</v>
      </c>
      <c r="C5616" s="4">
        <v>254</v>
      </c>
      <c r="D5616" s="21">
        <f>C5616+D5592</f>
        <v>9140</v>
      </c>
      <c r="E5616" s="4">
        <f>4+1</f>
        <v>5</v>
      </c>
      <c r="F5616" s="95">
        <f t="shared" si="509"/>
        <v>112</v>
      </c>
    </row>
    <row r="5617" spans="1:6" ht="15.75" thickBot="1" x14ac:dyDescent="0.3">
      <c r="A5617" s="106" t="s">
        <v>41</v>
      </c>
      <c r="B5617" s="32">
        <v>44126</v>
      </c>
      <c r="C5617" s="37">
        <v>1477</v>
      </c>
      <c r="D5617" s="21">
        <f t="shared" ref="D5617:D5638" si="510">C5617+D5593</f>
        <v>40581</v>
      </c>
      <c r="E5617" s="37">
        <f>26+15</f>
        <v>41</v>
      </c>
      <c r="F5617" s="104">
        <f t="shared" si="509"/>
        <v>587</v>
      </c>
    </row>
    <row r="5618" spans="1:6" ht="15.75" thickBot="1" x14ac:dyDescent="0.3">
      <c r="A5618" s="45" t="s">
        <v>17</v>
      </c>
      <c r="B5618" s="32">
        <v>44127</v>
      </c>
      <c r="C5618" s="4">
        <v>4649</v>
      </c>
      <c r="D5618" s="108">
        <f t="shared" si="510"/>
        <v>522093</v>
      </c>
      <c r="E5618" s="4">
        <f>83+56</f>
        <v>139</v>
      </c>
      <c r="F5618" s="94">
        <f t="shared" si="509"/>
        <v>16613</v>
      </c>
    </row>
    <row r="5619" spans="1:6" ht="15.75" thickBot="1" x14ac:dyDescent="0.3">
      <c r="A5619" s="105" t="s">
        <v>44</v>
      </c>
      <c r="B5619" s="32">
        <v>44127</v>
      </c>
      <c r="C5619" s="4">
        <v>585</v>
      </c>
      <c r="D5619" s="21">
        <f t="shared" si="510"/>
        <v>143081</v>
      </c>
      <c r="E5619" s="4">
        <f>1+28+24</f>
        <v>53</v>
      </c>
      <c r="F5619" s="95">
        <f t="shared" si="509"/>
        <v>4438</v>
      </c>
    </row>
    <row r="5620" spans="1:6" ht="15.75" thickBot="1" x14ac:dyDescent="0.3">
      <c r="A5620" s="105" t="s">
        <v>29</v>
      </c>
      <c r="B5620" s="32">
        <v>44127</v>
      </c>
      <c r="C5620" s="4">
        <v>11</v>
      </c>
      <c r="D5620" s="21">
        <f t="shared" si="510"/>
        <v>563</v>
      </c>
      <c r="F5620" s="95">
        <f t="shared" si="509"/>
        <v>0</v>
      </c>
    </row>
    <row r="5621" spans="1:6" ht="15.75" thickBot="1" x14ac:dyDescent="0.3">
      <c r="A5621" s="105" t="s">
        <v>16</v>
      </c>
      <c r="B5621" s="32">
        <v>44127</v>
      </c>
      <c r="C5621" s="4">
        <v>231</v>
      </c>
      <c r="D5621" s="21">
        <f t="shared" si="510"/>
        <v>12781</v>
      </c>
      <c r="E5621" s="4">
        <f>4+1</f>
        <v>5</v>
      </c>
      <c r="F5621" s="95">
        <f t="shared" si="509"/>
        <v>394</v>
      </c>
    </row>
    <row r="5622" spans="1:6" ht="15.75" thickBot="1" x14ac:dyDescent="0.3">
      <c r="A5622" s="105" t="s">
        <v>30</v>
      </c>
      <c r="B5622" s="32">
        <v>44127</v>
      </c>
      <c r="C5622" s="4">
        <v>673</v>
      </c>
      <c r="D5622" s="21">
        <f t="shared" si="510"/>
        <v>11601</v>
      </c>
      <c r="E5622" s="4">
        <f>5+3</f>
        <v>8</v>
      </c>
      <c r="F5622" s="95">
        <f t="shared" si="509"/>
        <v>206</v>
      </c>
    </row>
    <row r="5623" spans="1:6" ht="15.75" thickBot="1" x14ac:dyDescent="0.3">
      <c r="A5623" s="105" t="s">
        <v>21</v>
      </c>
      <c r="B5623" s="32">
        <v>44127</v>
      </c>
      <c r="C5623" s="4">
        <v>2134</v>
      </c>
      <c r="D5623" s="21">
        <f t="shared" si="510"/>
        <v>72758</v>
      </c>
      <c r="E5623" s="4">
        <f>26+13</f>
        <v>39</v>
      </c>
      <c r="F5623" s="95">
        <f t="shared" si="509"/>
        <v>1046</v>
      </c>
    </row>
    <row r="5624" spans="1:6" ht="15.75" thickBot="1" x14ac:dyDescent="0.3">
      <c r="A5624" s="105" t="s">
        <v>31</v>
      </c>
      <c r="B5624" s="32">
        <v>44127</v>
      </c>
      <c r="C5624" s="4">
        <v>12</v>
      </c>
      <c r="D5624" s="21">
        <f t="shared" si="510"/>
        <v>2200</v>
      </c>
      <c r="E5624" s="4">
        <f>2+2</f>
        <v>4</v>
      </c>
      <c r="F5624" s="95">
        <f t="shared" si="509"/>
        <v>40</v>
      </c>
    </row>
    <row r="5625" spans="1:6" ht="15.75" thickBot="1" x14ac:dyDescent="0.3">
      <c r="A5625" s="105" t="s">
        <v>32</v>
      </c>
      <c r="B5625" s="32">
        <v>44127</v>
      </c>
      <c r="C5625" s="4">
        <v>475</v>
      </c>
      <c r="D5625" s="21">
        <f t="shared" si="510"/>
        <v>13429</v>
      </c>
      <c r="E5625" s="4">
        <f>3+2</f>
        <v>5</v>
      </c>
      <c r="F5625" s="95">
        <f t="shared" si="509"/>
        <v>227</v>
      </c>
    </row>
    <row r="5626" spans="1:6" ht="15.75" thickBot="1" x14ac:dyDescent="0.3">
      <c r="A5626" s="105" t="s">
        <v>42</v>
      </c>
      <c r="B5626" s="32">
        <v>44127</v>
      </c>
      <c r="C5626" s="4">
        <v>2</v>
      </c>
      <c r="D5626" s="21">
        <f t="shared" si="510"/>
        <v>142</v>
      </c>
      <c r="F5626" s="95">
        <f t="shared" si="509"/>
        <v>1</v>
      </c>
    </row>
    <row r="5627" spans="1:6" ht="15.75" thickBot="1" x14ac:dyDescent="0.3">
      <c r="A5627" s="105" t="s">
        <v>33</v>
      </c>
      <c r="B5627" s="32">
        <v>44127</v>
      </c>
      <c r="C5627" s="4">
        <v>46</v>
      </c>
      <c r="D5627" s="21">
        <f t="shared" si="510"/>
        <v>17517</v>
      </c>
      <c r="E5627" s="4">
        <f>15+6</f>
        <v>21</v>
      </c>
      <c r="F5627" s="95">
        <f t="shared" si="509"/>
        <v>768</v>
      </c>
    </row>
    <row r="5628" spans="1:6" ht="15.75" thickBot="1" x14ac:dyDescent="0.3">
      <c r="A5628" s="105" t="s">
        <v>34</v>
      </c>
      <c r="B5628" s="32">
        <v>44127</v>
      </c>
      <c r="C5628" s="4">
        <v>129</v>
      </c>
      <c r="D5628" s="21">
        <f t="shared" si="510"/>
        <v>2259</v>
      </c>
      <c r="E5628" s="4">
        <f>2</f>
        <v>2</v>
      </c>
      <c r="F5628" s="95">
        <f t="shared" si="509"/>
        <v>25</v>
      </c>
    </row>
    <row r="5629" spans="1:6" ht="15.75" thickBot="1" x14ac:dyDescent="0.3">
      <c r="A5629" s="105" t="s">
        <v>22</v>
      </c>
      <c r="B5629" s="32">
        <v>44127</v>
      </c>
      <c r="C5629" s="4">
        <v>109</v>
      </c>
      <c r="D5629" s="21">
        <f t="shared" si="510"/>
        <v>6970</v>
      </c>
      <c r="E5629" s="4">
        <f>5</f>
        <v>5</v>
      </c>
      <c r="F5629" s="95">
        <f t="shared" si="509"/>
        <v>239</v>
      </c>
    </row>
    <row r="5630" spans="1:6" ht="15.75" thickBot="1" x14ac:dyDescent="0.3">
      <c r="A5630" s="105" t="s">
        <v>18</v>
      </c>
      <c r="B5630" s="32">
        <v>44127</v>
      </c>
      <c r="C5630" s="4">
        <v>830</v>
      </c>
      <c r="D5630" s="21">
        <f t="shared" si="510"/>
        <v>41735</v>
      </c>
      <c r="E5630" s="4">
        <f>7+4</f>
        <v>11</v>
      </c>
      <c r="F5630" s="95">
        <f t="shared" si="509"/>
        <v>683</v>
      </c>
    </row>
    <row r="5631" spans="1:6" ht="15.75" thickBot="1" x14ac:dyDescent="0.3">
      <c r="A5631" s="105" t="s">
        <v>24</v>
      </c>
      <c r="B5631" s="32">
        <v>44127</v>
      </c>
      <c r="C5631" s="4">
        <v>2</v>
      </c>
      <c r="D5631" s="21">
        <f t="shared" si="510"/>
        <v>209</v>
      </c>
      <c r="F5631" s="95">
        <f t="shared" si="509"/>
        <v>4</v>
      </c>
    </row>
    <row r="5632" spans="1:6" ht="15.75" thickBot="1" x14ac:dyDescent="0.3">
      <c r="A5632" s="105" t="s">
        <v>20</v>
      </c>
      <c r="B5632" s="32">
        <v>44127</v>
      </c>
      <c r="C5632" s="4">
        <v>411</v>
      </c>
      <c r="D5632" s="21">
        <f t="shared" si="510"/>
        <v>18613</v>
      </c>
      <c r="E5632" s="4">
        <v>16</v>
      </c>
      <c r="F5632" s="95">
        <f t="shared" si="509"/>
        <v>334</v>
      </c>
    </row>
    <row r="5633" spans="1:6" ht="15.75" thickBot="1" x14ac:dyDescent="0.3">
      <c r="A5633" s="105" t="s">
        <v>19</v>
      </c>
      <c r="B5633" s="32">
        <v>44127</v>
      </c>
      <c r="C5633" s="4">
        <v>417</v>
      </c>
      <c r="D5633" s="21">
        <f t="shared" si="510"/>
        <v>21255</v>
      </c>
      <c r="E5633" s="4">
        <f>4+7</f>
        <v>11</v>
      </c>
      <c r="F5633" s="95">
        <f t="shared" si="509"/>
        <v>539</v>
      </c>
    </row>
    <row r="5634" spans="1:6" ht="15.75" thickBot="1" x14ac:dyDescent="0.3">
      <c r="A5634" s="105" t="s">
        <v>35</v>
      </c>
      <c r="B5634" s="32">
        <v>44127</v>
      </c>
      <c r="C5634" s="4">
        <v>238</v>
      </c>
      <c r="D5634" s="21">
        <f t="shared" si="510"/>
        <v>17692</v>
      </c>
      <c r="E5634" s="4">
        <v>12</v>
      </c>
      <c r="F5634" s="95">
        <f t="shared" si="509"/>
        <v>679</v>
      </c>
    </row>
    <row r="5635" spans="1:6" ht="15.75" thickBot="1" x14ac:dyDescent="0.3">
      <c r="A5635" s="105" t="s">
        <v>36</v>
      </c>
      <c r="B5635" s="32">
        <v>44127</v>
      </c>
      <c r="C5635" s="4">
        <v>52</v>
      </c>
      <c r="D5635" s="21">
        <f t="shared" si="510"/>
        <v>1374</v>
      </c>
      <c r="F5635" s="95">
        <f t="shared" si="509"/>
        <v>76</v>
      </c>
    </row>
    <row r="5636" spans="1:6" ht="15.75" thickBot="1" x14ac:dyDescent="0.3">
      <c r="A5636" s="105" t="s">
        <v>37</v>
      </c>
      <c r="B5636" s="32">
        <v>44127</v>
      </c>
      <c r="C5636" s="4">
        <v>316</v>
      </c>
      <c r="D5636" s="21">
        <f t="shared" si="510"/>
        <v>5062</v>
      </c>
      <c r="F5636" s="95">
        <f t="shared" si="509"/>
        <v>52</v>
      </c>
    </row>
    <row r="5637" spans="1:6" ht="15.75" thickBot="1" x14ac:dyDescent="0.3">
      <c r="A5637" s="105" t="s">
        <v>38</v>
      </c>
      <c r="B5637" s="32">
        <v>44127</v>
      </c>
      <c r="C5637" s="4">
        <v>200</v>
      </c>
      <c r="D5637" s="21">
        <f t="shared" si="510"/>
        <v>8155</v>
      </c>
      <c r="E5637" s="4">
        <f>4+1</f>
        <v>5</v>
      </c>
      <c r="F5637" s="95">
        <f t="shared" si="509"/>
        <v>113</v>
      </c>
    </row>
    <row r="5638" spans="1:6" ht="15.75" thickBot="1" x14ac:dyDescent="0.3">
      <c r="A5638" s="105" t="s">
        <v>23</v>
      </c>
      <c r="B5638" s="32">
        <v>44127</v>
      </c>
      <c r="C5638" s="4">
        <v>2517</v>
      </c>
      <c r="D5638" s="21">
        <f t="shared" si="510"/>
        <v>91175</v>
      </c>
      <c r="E5638" s="4">
        <f>16+11</f>
        <v>27</v>
      </c>
      <c r="F5638" s="95">
        <f t="shared" si="509"/>
        <v>1034</v>
      </c>
    </row>
    <row r="5639" spans="1:6" ht="15.75" thickBot="1" x14ac:dyDescent="0.3">
      <c r="A5639" s="105" t="s">
        <v>39</v>
      </c>
      <c r="B5639" s="32">
        <v>44127</v>
      </c>
      <c r="C5639" s="4">
        <v>316</v>
      </c>
      <c r="D5639" s="21">
        <f>C5639+D5615</f>
        <v>7812</v>
      </c>
      <c r="F5639" s="95">
        <f t="shared" si="509"/>
        <v>106</v>
      </c>
    </row>
    <row r="5640" spans="1:6" ht="15.75" thickBot="1" x14ac:dyDescent="0.3">
      <c r="A5640" s="105" t="s">
        <v>40</v>
      </c>
      <c r="B5640" s="32">
        <v>44127</v>
      </c>
      <c r="C5640" s="4">
        <v>331</v>
      </c>
      <c r="D5640" s="21">
        <f>C5640+D5616</f>
        <v>9471</v>
      </c>
      <c r="E5640" s="4">
        <f>3+4</f>
        <v>7</v>
      </c>
      <c r="F5640" s="95">
        <f t="shared" si="509"/>
        <v>119</v>
      </c>
    </row>
    <row r="5641" spans="1:6" ht="15.75" thickBot="1" x14ac:dyDescent="0.3">
      <c r="A5641" s="106" t="s">
        <v>41</v>
      </c>
      <c r="B5641" s="32">
        <v>44127</v>
      </c>
      <c r="C5641" s="4">
        <v>1032</v>
      </c>
      <c r="D5641" s="21">
        <f t="shared" ref="D5641:D5662" si="511">C5641+D5617</f>
        <v>41613</v>
      </c>
      <c r="E5641" s="4">
        <f>4+6</f>
        <v>10</v>
      </c>
      <c r="F5641" s="104">
        <f t="shared" si="509"/>
        <v>597</v>
      </c>
    </row>
    <row r="5642" spans="1:6" ht="15.75" thickBot="1" x14ac:dyDescent="0.3">
      <c r="A5642" s="45" t="s">
        <v>17</v>
      </c>
      <c r="B5642" s="32">
        <v>44128</v>
      </c>
      <c r="C5642" s="4">
        <v>3030</v>
      </c>
      <c r="D5642" s="108">
        <f t="shared" si="511"/>
        <v>525123</v>
      </c>
      <c r="E5642" s="4">
        <f>55+41</f>
        <v>96</v>
      </c>
      <c r="F5642" s="94">
        <f t="shared" si="509"/>
        <v>16709</v>
      </c>
    </row>
    <row r="5643" spans="1:6" ht="15.75" thickBot="1" x14ac:dyDescent="0.3">
      <c r="A5643" s="105" t="s">
        <v>44</v>
      </c>
      <c r="B5643" s="32">
        <v>44128</v>
      </c>
      <c r="C5643" s="4">
        <v>464</v>
      </c>
      <c r="D5643" s="21">
        <f t="shared" si="511"/>
        <v>143545</v>
      </c>
      <c r="E5643" s="4">
        <f>1+17+23</f>
        <v>41</v>
      </c>
      <c r="F5643" s="95">
        <f t="shared" si="509"/>
        <v>4479</v>
      </c>
    </row>
    <row r="5644" spans="1:6" ht="15.75" thickBot="1" x14ac:dyDescent="0.3">
      <c r="A5644" s="105" t="s">
        <v>29</v>
      </c>
      <c r="B5644" s="32">
        <v>44128</v>
      </c>
      <c r="C5644" s="4">
        <v>33</v>
      </c>
      <c r="D5644" s="21">
        <f t="shared" si="511"/>
        <v>596</v>
      </c>
      <c r="F5644" s="95">
        <f t="shared" si="509"/>
        <v>0</v>
      </c>
    </row>
    <row r="5645" spans="1:6" ht="15.75" thickBot="1" x14ac:dyDescent="0.3">
      <c r="A5645" s="105" t="s">
        <v>16</v>
      </c>
      <c r="B5645" s="32">
        <v>44128</v>
      </c>
      <c r="C5645" s="4">
        <v>147</v>
      </c>
      <c r="D5645" s="21">
        <f t="shared" si="511"/>
        <v>12928</v>
      </c>
      <c r="E5645" s="4">
        <f>5+1</f>
        <v>6</v>
      </c>
      <c r="F5645" s="95">
        <f t="shared" si="509"/>
        <v>400</v>
      </c>
    </row>
    <row r="5646" spans="1:6" ht="15.75" thickBot="1" x14ac:dyDescent="0.3">
      <c r="A5646" s="105" t="s">
        <v>30</v>
      </c>
      <c r="B5646" s="32">
        <v>44128</v>
      </c>
      <c r="C5646" s="4">
        <v>351</v>
      </c>
      <c r="D5646" s="21">
        <f t="shared" si="511"/>
        <v>11952</v>
      </c>
      <c r="E5646" s="4">
        <f>3+2</f>
        <v>5</v>
      </c>
      <c r="F5646" s="95">
        <f t="shared" si="509"/>
        <v>211</v>
      </c>
    </row>
    <row r="5647" spans="1:6" ht="15.75" thickBot="1" x14ac:dyDescent="0.3">
      <c r="A5647" s="105" t="s">
        <v>21</v>
      </c>
      <c r="B5647" s="32">
        <v>44128</v>
      </c>
      <c r="C5647" s="4">
        <v>1847</v>
      </c>
      <c r="D5647" s="21">
        <f t="shared" si="511"/>
        <v>74605</v>
      </c>
      <c r="E5647" s="4">
        <f>17+13</f>
        <v>30</v>
      </c>
      <c r="F5647" s="95">
        <f t="shared" si="509"/>
        <v>1076</v>
      </c>
    </row>
    <row r="5648" spans="1:6" ht="15.75" thickBot="1" x14ac:dyDescent="0.3">
      <c r="A5648" s="105" t="s">
        <v>31</v>
      </c>
      <c r="B5648" s="32">
        <v>44128</v>
      </c>
      <c r="C5648" s="4">
        <v>45</v>
      </c>
      <c r="D5648" s="21">
        <f t="shared" si="511"/>
        <v>2245</v>
      </c>
      <c r="F5648" s="95">
        <f t="shared" si="509"/>
        <v>40</v>
      </c>
    </row>
    <row r="5649" spans="1:6" ht="15.75" thickBot="1" x14ac:dyDescent="0.3">
      <c r="A5649" s="105" t="s">
        <v>32</v>
      </c>
      <c r="B5649" s="32">
        <v>44128</v>
      </c>
      <c r="C5649" s="4">
        <v>309</v>
      </c>
      <c r="D5649" s="21">
        <f t="shared" si="511"/>
        <v>13738</v>
      </c>
      <c r="E5649" s="4">
        <f>1+1</f>
        <v>2</v>
      </c>
      <c r="F5649" s="95">
        <f t="shared" si="509"/>
        <v>229</v>
      </c>
    </row>
    <row r="5650" spans="1:6" ht="15.75" thickBot="1" x14ac:dyDescent="0.3">
      <c r="A5650" s="105" t="s">
        <v>42</v>
      </c>
      <c r="B5650" s="32">
        <v>44128</v>
      </c>
      <c r="C5650" s="4">
        <v>0</v>
      </c>
      <c r="D5650" s="21">
        <f t="shared" si="511"/>
        <v>142</v>
      </c>
      <c r="F5650" s="95">
        <f t="shared" si="509"/>
        <v>1</v>
      </c>
    </row>
    <row r="5651" spans="1:6" ht="15.75" thickBot="1" x14ac:dyDescent="0.3">
      <c r="A5651" s="105" t="s">
        <v>33</v>
      </c>
      <c r="B5651" s="32">
        <v>44128</v>
      </c>
      <c r="C5651" s="4">
        <v>62</v>
      </c>
      <c r="D5651" s="21">
        <f t="shared" si="511"/>
        <v>17579</v>
      </c>
      <c r="E5651" s="4">
        <f>3+1</f>
        <v>4</v>
      </c>
      <c r="F5651" s="95">
        <f t="shared" si="509"/>
        <v>772</v>
      </c>
    </row>
    <row r="5652" spans="1:6" ht="15.75" thickBot="1" x14ac:dyDescent="0.3">
      <c r="A5652" s="105" t="s">
        <v>34</v>
      </c>
      <c r="B5652" s="32">
        <v>44128</v>
      </c>
      <c r="C5652" s="4">
        <v>77</v>
      </c>
      <c r="D5652" s="21">
        <f t="shared" si="511"/>
        <v>2336</v>
      </c>
      <c r="F5652" s="95">
        <f t="shared" si="509"/>
        <v>25</v>
      </c>
    </row>
    <row r="5653" spans="1:6" ht="15.75" thickBot="1" x14ac:dyDescent="0.3">
      <c r="A5653" s="105" t="s">
        <v>22</v>
      </c>
      <c r="B5653" s="32">
        <v>44128</v>
      </c>
      <c r="C5653" s="4">
        <v>46</v>
      </c>
      <c r="D5653" s="21">
        <f t="shared" si="511"/>
        <v>7016</v>
      </c>
      <c r="F5653" s="95">
        <f t="shared" si="509"/>
        <v>239</v>
      </c>
    </row>
    <row r="5654" spans="1:6" ht="15.75" thickBot="1" x14ac:dyDescent="0.3">
      <c r="A5654" s="105" t="s">
        <v>18</v>
      </c>
      <c r="B5654" s="32">
        <v>44128</v>
      </c>
      <c r="C5654" s="4">
        <v>653</v>
      </c>
      <c r="D5654" s="21">
        <f t="shared" si="511"/>
        <v>42388</v>
      </c>
      <c r="E5654" s="4">
        <f>2+4</f>
        <v>6</v>
      </c>
      <c r="F5654" s="95">
        <f t="shared" si="509"/>
        <v>689</v>
      </c>
    </row>
    <row r="5655" spans="1:6" ht="15.75" thickBot="1" x14ac:dyDescent="0.3">
      <c r="A5655" s="105" t="s">
        <v>24</v>
      </c>
      <c r="B5655" s="32">
        <v>44128</v>
      </c>
      <c r="C5655" s="4">
        <v>3</v>
      </c>
      <c r="D5655" s="21">
        <f t="shared" si="511"/>
        <v>212</v>
      </c>
      <c r="E5655" s="4">
        <f>1</f>
        <v>1</v>
      </c>
      <c r="F5655" s="95">
        <f t="shared" si="509"/>
        <v>5</v>
      </c>
    </row>
    <row r="5656" spans="1:6" ht="15.75" thickBot="1" x14ac:dyDescent="0.3">
      <c r="A5656" s="105" t="s">
        <v>20</v>
      </c>
      <c r="B5656" s="32">
        <v>44128</v>
      </c>
      <c r="C5656" s="4">
        <v>534</v>
      </c>
      <c r="D5656" s="21">
        <f t="shared" si="511"/>
        <v>19147</v>
      </c>
      <c r="F5656" s="95">
        <f t="shared" si="509"/>
        <v>334</v>
      </c>
    </row>
    <row r="5657" spans="1:6" ht="15.75" thickBot="1" x14ac:dyDescent="0.3">
      <c r="A5657" s="105" t="s">
        <v>19</v>
      </c>
      <c r="B5657" s="32">
        <v>44128</v>
      </c>
      <c r="C5657" s="4">
        <v>267</v>
      </c>
      <c r="D5657" s="21">
        <f t="shared" si="511"/>
        <v>21522</v>
      </c>
      <c r="E5657" s="4">
        <f>4+6</f>
        <v>10</v>
      </c>
      <c r="F5657" s="95">
        <f t="shared" si="509"/>
        <v>549</v>
      </c>
    </row>
    <row r="5658" spans="1:6" ht="15.75" thickBot="1" x14ac:dyDescent="0.3">
      <c r="A5658" s="105" t="s">
        <v>35</v>
      </c>
      <c r="B5658" s="32">
        <v>44128</v>
      </c>
      <c r="C5658" s="4">
        <v>193</v>
      </c>
      <c r="D5658" s="21">
        <f t="shared" si="511"/>
        <v>17885</v>
      </c>
      <c r="E5658" s="4">
        <v>3</v>
      </c>
      <c r="F5658" s="95">
        <f t="shared" si="509"/>
        <v>682</v>
      </c>
    </row>
    <row r="5659" spans="1:6" ht="15.75" thickBot="1" x14ac:dyDescent="0.3">
      <c r="A5659" s="105" t="s">
        <v>36</v>
      </c>
      <c r="B5659" s="32">
        <v>44128</v>
      </c>
      <c r="C5659" s="4">
        <v>6</v>
      </c>
      <c r="D5659" s="21">
        <f t="shared" si="511"/>
        <v>1380</v>
      </c>
      <c r="E5659" s="4">
        <f>1</f>
        <v>1</v>
      </c>
      <c r="F5659" s="95">
        <f t="shared" si="509"/>
        <v>77</v>
      </c>
    </row>
    <row r="5660" spans="1:6" ht="15.75" thickBot="1" x14ac:dyDescent="0.3">
      <c r="A5660" s="105" t="s">
        <v>37</v>
      </c>
      <c r="B5660" s="32">
        <v>44128</v>
      </c>
      <c r="C5660" s="4">
        <v>233</v>
      </c>
      <c r="D5660" s="21">
        <f t="shared" si="511"/>
        <v>5295</v>
      </c>
      <c r="F5660" s="95">
        <f t="shared" si="509"/>
        <v>52</v>
      </c>
    </row>
    <row r="5661" spans="1:6" ht="15.75" thickBot="1" x14ac:dyDescent="0.3">
      <c r="A5661" s="105" t="s">
        <v>38</v>
      </c>
      <c r="B5661" s="32">
        <v>44128</v>
      </c>
      <c r="C5661" s="4">
        <v>136</v>
      </c>
      <c r="D5661" s="21">
        <f t="shared" si="511"/>
        <v>8291</v>
      </c>
      <c r="F5661" s="95">
        <f t="shared" si="509"/>
        <v>113</v>
      </c>
    </row>
    <row r="5662" spans="1:6" ht="15.75" thickBot="1" x14ac:dyDescent="0.3">
      <c r="A5662" s="105" t="s">
        <v>23</v>
      </c>
      <c r="B5662" s="32">
        <v>44128</v>
      </c>
      <c r="C5662" s="4">
        <v>1927</v>
      </c>
      <c r="D5662" s="21">
        <f t="shared" si="511"/>
        <v>93102</v>
      </c>
      <c r="E5662" s="4">
        <f>7+10</f>
        <v>17</v>
      </c>
      <c r="F5662" s="95">
        <f t="shared" si="509"/>
        <v>1051</v>
      </c>
    </row>
    <row r="5663" spans="1:6" ht="15.75" thickBot="1" x14ac:dyDescent="0.3">
      <c r="A5663" s="105" t="s">
        <v>39</v>
      </c>
      <c r="B5663" s="32">
        <v>44128</v>
      </c>
      <c r="C5663" s="4">
        <v>311</v>
      </c>
      <c r="D5663" s="21">
        <f>C5663+D5639</f>
        <v>8123</v>
      </c>
      <c r="F5663" s="95">
        <f t="shared" si="509"/>
        <v>106</v>
      </c>
    </row>
    <row r="5664" spans="1:6" ht="15.75" thickBot="1" x14ac:dyDescent="0.3">
      <c r="A5664" s="105" t="s">
        <v>40</v>
      </c>
      <c r="B5664" s="32">
        <v>44128</v>
      </c>
      <c r="C5664" s="4">
        <v>338</v>
      </c>
      <c r="D5664" s="21">
        <f>C5664+D5640</f>
        <v>9809</v>
      </c>
      <c r="E5664" s="4">
        <f>6+1</f>
        <v>7</v>
      </c>
      <c r="F5664" s="95">
        <f t="shared" si="509"/>
        <v>126</v>
      </c>
    </row>
    <row r="5665" spans="1:6" ht="15.75" thickBot="1" x14ac:dyDescent="0.3">
      <c r="A5665" s="107" t="s">
        <v>41</v>
      </c>
      <c r="B5665" s="152">
        <v>44128</v>
      </c>
      <c r="C5665" s="30">
        <v>956</v>
      </c>
      <c r="D5665" s="21">
        <f t="shared" ref="D5665:D5686" si="512">C5665+D5641</f>
        <v>42569</v>
      </c>
      <c r="E5665" s="30">
        <f>29+14</f>
        <v>43</v>
      </c>
      <c r="F5665" s="104">
        <f t="shared" si="509"/>
        <v>640</v>
      </c>
    </row>
    <row r="5666" spans="1:6" x14ac:dyDescent="0.25">
      <c r="A5666" s="45" t="s">
        <v>17</v>
      </c>
      <c r="B5666" s="32">
        <v>44129</v>
      </c>
      <c r="C5666" s="33">
        <v>2170</v>
      </c>
      <c r="D5666" s="108">
        <f t="shared" si="512"/>
        <v>527293</v>
      </c>
      <c r="E5666" s="33">
        <f>40+46</f>
        <v>86</v>
      </c>
      <c r="F5666" s="94">
        <f t="shared" si="509"/>
        <v>16795</v>
      </c>
    </row>
    <row r="5667" spans="1:6" x14ac:dyDescent="0.25">
      <c r="A5667" s="105" t="s">
        <v>44</v>
      </c>
      <c r="B5667" s="19">
        <v>44129</v>
      </c>
      <c r="C5667" s="4">
        <v>445</v>
      </c>
      <c r="D5667" s="21">
        <f t="shared" si="512"/>
        <v>143990</v>
      </c>
      <c r="E5667" s="4">
        <f>22+13</f>
        <v>35</v>
      </c>
      <c r="F5667" s="95">
        <f t="shared" si="509"/>
        <v>4514</v>
      </c>
    </row>
    <row r="5668" spans="1:6" x14ac:dyDescent="0.25">
      <c r="A5668" s="105" t="s">
        <v>29</v>
      </c>
      <c r="B5668" s="19">
        <v>44129</v>
      </c>
      <c r="C5668" s="4">
        <v>35</v>
      </c>
      <c r="D5668" s="21">
        <f t="shared" si="512"/>
        <v>631</v>
      </c>
      <c r="F5668" s="95">
        <f t="shared" si="509"/>
        <v>0</v>
      </c>
    </row>
    <row r="5669" spans="1:6" x14ac:dyDescent="0.25">
      <c r="A5669" s="105" t="s">
        <v>16</v>
      </c>
      <c r="B5669" s="19">
        <v>44129</v>
      </c>
      <c r="C5669" s="4">
        <v>162</v>
      </c>
      <c r="D5669" s="21">
        <f t="shared" si="512"/>
        <v>13090</v>
      </c>
      <c r="E5669" s="4">
        <f>4+1</f>
        <v>5</v>
      </c>
      <c r="F5669" s="95">
        <f t="shared" si="509"/>
        <v>405</v>
      </c>
    </row>
    <row r="5670" spans="1:6" x14ac:dyDescent="0.25">
      <c r="A5670" s="105" t="s">
        <v>30</v>
      </c>
      <c r="B5670" s="19">
        <v>44129</v>
      </c>
      <c r="C5670" s="4">
        <v>485</v>
      </c>
      <c r="D5670" s="21">
        <f t="shared" si="512"/>
        <v>12437</v>
      </c>
      <c r="E5670" s="4">
        <f>4+1</f>
        <v>5</v>
      </c>
      <c r="F5670" s="95">
        <f t="shared" si="509"/>
        <v>216</v>
      </c>
    </row>
    <row r="5671" spans="1:6" x14ac:dyDescent="0.25">
      <c r="A5671" s="105" t="s">
        <v>21</v>
      </c>
      <c r="B5671" s="19">
        <v>44129</v>
      </c>
      <c r="C5671" s="4">
        <v>1390</v>
      </c>
      <c r="D5671" s="21">
        <f t="shared" si="512"/>
        <v>75995</v>
      </c>
      <c r="E5671" s="4">
        <f>15+14</f>
        <v>29</v>
      </c>
      <c r="F5671" s="95">
        <f t="shared" si="509"/>
        <v>1105</v>
      </c>
    </row>
    <row r="5672" spans="1:6" x14ac:dyDescent="0.25">
      <c r="A5672" s="105" t="s">
        <v>31</v>
      </c>
      <c r="B5672" s="19">
        <v>44129</v>
      </c>
      <c r="C5672" s="4">
        <v>24</v>
      </c>
      <c r="D5672" s="21">
        <f t="shared" si="512"/>
        <v>2269</v>
      </c>
      <c r="F5672" s="95">
        <f t="shared" si="509"/>
        <v>40</v>
      </c>
    </row>
    <row r="5673" spans="1:6" x14ac:dyDescent="0.25">
      <c r="A5673" s="105" t="s">
        <v>32</v>
      </c>
      <c r="B5673" s="19">
        <v>44129</v>
      </c>
      <c r="C5673" s="4">
        <v>202</v>
      </c>
      <c r="D5673" s="21">
        <f t="shared" si="512"/>
        <v>13940</v>
      </c>
      <c r="E5673" s="4">
        <f>7+4</f>
        <v>11</v>
      </c>
      <c r="F5673" s="95">
        <f t="shared" si="509"/>
        <v>240</v>
      </c>
    </row>
    <row r="5674" spans="1:6" x14ac:dyDescent="0.25">
      <c r="A5674" s="105" t="s">
        <v>42</v>
      </c>
      <c r="B5674" s="19">
        <v>44129</v>
      </c>
      <c r="C5674" s="4">
        <v>1</v>
      </c>
      <c r="D5674" s="21">
        <f t="shared" si="512"/>
        <v>143</v>
      </c>
      <c r="F5674" s="95">
        <f t="shared" ref="F5674:F5737" si="513">E5674+F5650</f>
        <v>1</v>
      </c>
    </row>
    <row r="5675" spans="1:6" x14ac:dyDescent="0.25">
      <c r="A5675" s="105" t="s">
        <v>33</v>
      </c>
      <c r="B5675" s="19">
        <v>44129</v>
      </c>
      <c r="C5675" s="4">
        <v>35</v>
      </c>
      <c r="D5675" s="21">
        <f t="shared" si="512"/>
        <v>17614</v>
      </c>
      <c r="E5675" s="4">
        <f>4</f>
        <v>4</v>
      </c>
      <c r="F5675" s="95">
        <f t="shared" si="513"/>
        <v>776</v>
      </c>
    </row>
    <row r="5676" spans="1:6" x14ac:dyDescent="0.25">
      <c r="A5676" s="105" t="s">
        <v>34</v>
      </c>
      <c r="B5676" s="19">
        <v>44129</v>
      </c>
      <c r="C5676" s="4">
        <v>120</v>
      </c>
      <c r="D5676" s="21">
        <f t="shared" si="512"/>
        <v>2456</v>
      </c>
      <c r="F5676" s="95">
        <f t="shared" si="513"/>
        <v>25</v>
      </c>
    </row>
    <row r="5677" spans="1:6" x14ac:dyDescent="0.25">
      <c r="A5677" s="105" t="s">
        <v>22</v>
      </c>
      <c r="B5677" s="19">
        <v>44129</v>
      </c>
      <c r="C5677" s="4">
        <v>108</v>
      </c>
      <c r="D5677" s="21">
        <f t="shared" si="512"/>
        <v>7124</v>
      </c>
      <c r="F5677" s="95">
        <f t="shared" si="513"/>
        <v>239</v>
      </c>
    </row>
    <row r="5678" spans="1:6" x14ac:dyDescent="0.25">
      <c r="A5678" s="105" t="s">
        <v>18</v>
      </c>
      <c r="B5678" s="19">
        <v>44129</v>
      </c>
      <c r="C5678" s="4">
        <v>561</v>
      </c>
      <c r="D5678" s="21">
        <f t="shared" si="512"/>
        <v>42949</v>
      </c>
      <c r="E5678" s="4">
        <f>11+5</f>
        <v>16</v>
      </c>
      <c r="F5678" s="95">
        <f t="shared" si="513"/>
        <v>705</v>
      </c>
    </row>
    <row r="5679" spans="1:6" x14ac:dyDescent="0.25">
      <c r="A5679" s="105" t="s">
        <v>24</v>
      </c>
      <c r="B5679" s="19">
        <v>44129</v>
      </c>
      <c r="C5679" s="4">
        <v>5</v>
      </c>
      <c r="D5679" s="21">
        <f t="shared" si="512"/>
        <v>217</v>
      </c>
      <c r="F5679" s="95">
        <f t="shared" si="513"/>
        <v>5</v>
      </c>
    </row>
    <row r="5680" spans="1:6" x14ac:dyDescent="0.25">
      <c r="A5680" s="105" t="s">
        <v>20</v>
      </c>
      <c r="B5680" s="19">
        <v>44129</v>
      </c>
      <c r="C5680" s="4">
        <v>236</v>
      </c>
      <c r="D5680" s="21">
        <f t="shared" si="512"/>
        <v>19383</v>
      </c>
      <c r="E5680" s="4">
        <f>10+10</f>
        <v>20</v>
      </c>
      <c r="F5680" s="95">
        <f t="shared" si="513"/>
        <v>354</v>
      </c>
    </row>
    <row r="5681" spans="1:6" x14ac:dyDescent="0.25">
      <c r="A5681" s="105" t="s">
        <v>19</v>
      </c>
      <c r="B5681" s="19">
        <v>44129</v>
      </c>
      <c r="C5681" s="4">
        <v>238</v>
      </c>
      <c r="D5681" s="21">
        <f t="shared" si="512"/>
        <v>21760</v>
      </c>
      <c r="E5681" s="4">
        <f>7+4</f>
        <v>11</v>
      </c>
      <c r="F5681" s="95">
        <f t="shared" si="513"/>
        <v>560</v>
      </c>
    </row>
    <row r="5682" spans="1:6" x14ac:dyDescent="0.25">
      <c r="A5682" s="105" t="s">
        <v>35</v>
      </c>
      <c r="B5682" s="19">
        <v>44129</v>
      </c>
      <c r="C5682" s="4">
        <v>145</v>
      </c>
      <c r="D5682" s="21">
        <f t="shared" si="512"/>
        <v>18030</v>
      </c>
      <c r="E5682" s="4">
        <v>24</v>
      </c>
      <c r="F5682" s="95">
        <f t="shared" si="513"/>
        <v>706</v>
      </c>
    </row>
    <row r="5683" spans="1:6" x14ac:dyDescent="0.25">
      <c r="A5683" s="105" t="s">
        <v>36</v>
      </c>
      <c r="B5683" s="19">
        <v>44129</v>
      </c>
      <c r="C5683" s="4">
        <v>6</v>
      </c>
      <c r="D5683" s="21">
        <f t="shared" si="512"/>
        <v>1386</v>
      </c>
      <c r="F5683" s="95">
        <f t="shared" si="513"/>
        <v>77</v>
      </c>
    </row>
    <row r="5684" spans="1:6" x14ac:dyDescent="0.25">
      <c r="A5684" s="105" t="s">
        <v>37</v>
      </c>
      <c r="B5684" s="19">
        <v>44129</v>
      </c>
      <c r="C5684" s="4">
        <v>188</v>
      </c>
      <c r="D5684" s="21">
        <f t="shared" si="512"/>
        <v>5483</v>
      </c>
      <c r="F5684" s="95">
        <f t="shared" si="513"/>
        <v>52</v>
      </c>
    </row>
    <row r="5685" spans="1:6" x14ac:dyDescent="0.25">
      <c r="A5685" s="105" t="s">
        <v>38</v>
      </c>
      <c r="B5685" s="19">
        <v>44129</v>
      </c>
      <c r="C5685" s="4">
        <v>178</v>
      </c>
      <c r="D5685" s="21">
        <f t="shared" si="512"/>
        <v>8469</v>
      </c>
      <c r="F5685" s="95">
        <f t="shared" si="513"/>
        <v>113</v>
      </c>
    </row>
    <row r="5686" spans="1:6" x14ac:dyDescent="0.25">
      <c r="A5686" s="105" t="s">
        <v>23</v>
      </c>
      <c r="B5686" s="19">
        <v>44129</v>
      </c>
      <c r="C5686" s="4">
        <v>1405</v>
      </c>
      <c r="D5686" s="21">
        <f t="shared" si="512"/>
        <v>94507</v>
      </c>
      <c r="E5686" s="4">
        <f>3+3</f>
        <v>6</v>
      </c>
      <c r="F5686" s="95">
        <f t="shared" si="513"/>
        <v>1057</v>
      </c>
    </row>
    <row r="5687" spans="1:6" x14ac:dyDescent="0.25">
      <c r="A5687" s="105" t="s">
        <v>39</v>
      </c>
      <c r="B5687" s="19">
        <v>44129</v>
      </c>
      <c r="C5687" s="4">
        <v>262</v>
      </c>
      <c r="D5687" s="21">
        <f>C5687+D5663</f>
        <v>8385</v>
      </c>
      <c r="E5687" s="4">
        <f>5+3</f>
        <v>8</v>
      </c>
      <c r="F5687" s="95">
        <f t="shared" si="513"/>
        <v>114</v>
      </c>
    </row>
    <row r="5688" spans="1:6" x14ac:dyDescent="0.25">
      <c r="A5688" s="105" t="s">
        <v>40</v>
      </c>
      <c r="B5688" s="19">
        <v>44129</v>
      </c>
      <c r="C5688" s="4">
        <v>243</v>
      </c>
      <c r="D5688" s="21">
        <f>C5688+D5664</f>
        <v>10052</v>
      </c>
      <c r="E5688" s="4">
        <f>2</f>
        <v>2</v>
      </c>
      <c r="F5688" s="95">
        <f t="shared" si="513"/>
        <v>128</v>
      </c>
    </row>
    <row r="5689" spans="1:6" ht="15.75" thickBot="1" x14ac:dyDescent="0.3">
      <c r="A5689" s="106" t="s">
        <v>41</v>
      </c>
      <c r="B5689" s="36">
        <v>44129</v>
      </c>
      <c r="C5689" s="37">
        <v>609</v>
      </c>
      <c r="D5689" s="21">
        <f t="shared" ref="D5689:D5710" si="514">C5689+D5665</f>
        <v>43178</v>
      </c>
      <c r="E5689" s="37">
        <f>13+7</f>
        <v>20</v>
      </c>
      <c r="F5689" s="104">
        <f t="shared" si="513"/>
        <v>660</v>
      </c>
    </row>
    <row r="5690" spans="1:6" x14ac:dyDescent="0.25">
      <c r="A5690" s="153" t="s">
        <v>17</v>
      </c>
      <c r="B5690" s="102">
        <v>44130</v>
      </c>
      <c r="C5690" s="31">
        <v>3694</v>
      </c>
      <c r="D5690" s="108">
        <f t="shared" si="514"/>
        <v>530987</v>
      </c>
      <c r="E5690" s="31">
        <v>146</v>
      </c>
      <c r="F5690" s="94">
        <f t="shared" si="513"/>
        <v>16941</v>
      </c>
    </row>
    <row r="5691" spans="1:6" x14ac:dyDescent="0.25">
      <c r="A5691" s="105" t="s">
        <v>44</v>
      </c>
      <c r="B5691" s="19">
        <v>44130</v>
      </c>
      <c r="C5691" s="4">
        <v>515</v>
      </c>
      <c r="D5691" s="21">
        <f t="shared" si="514"/>
        <v>144505</v>
      </c>
      <c r="E5691" s="4">
        <v>64</v>
      </c>
      <c r="F5691" s="95">
        <f t="shared" si="513"/>
        <v>4578</v>
      </c>
    </row>
    <row r="5692" spans="1:6" x14ac:dyDescent="0.25">
      <c r="A5692" s="105" t="s">
        <v>29</v>
      </c>
      <c r="B5692" s="19">
        <v>44130</v>
      </c>
      <c r="C5692" s="4">
        <v>7</v>
      </c>
      <c r="D5692" s="21">
        <f t="shared" si="514"/>
        <v>638</v>
      </c>
      <c r="F5692" s="95">
        <f t="shared" si="513"/>
        <v>0</v>
      </c>
    </row>
    <row r="5693" spans="1:6" x14ac:dyDescent="0.25">
      <c r="A5693" s="105" t="s">
        <v>16</v>
      </c>
      <c r="B5693" s="19">
        <v>44130</v>
      </c>
      <c r="C5693" s="4">
        <v>137</v>
      </c>
      <c r="D5693" s="21">
        <f t="shared" si="514"/>
        <v>13227</v>
      </c>
      <c r="E5693" s="4">
        <v>1</v>
      </c>
      <c r="F5693" s="95">
        <f t="shared" si="513"/>
        <v>406</v>
      </c>
    </row>
    <row r="5694" spans="1:6" x14ac:dyDescent="0.25">
      <c r="A5694" s="105" t="s">
        <v>30</v>
      </c>
      <c r="B5694" s="19">
        <v>44130</v>
      </c>
      <c r="C5694" s="4">
        <v>544</v>
      </c>
      <c r="D5694" s="21">
        <f t="shared" si="514"/>
        <v>12981</v>
      </c>
      <c r="E5694" s="4">
        <v>2</v>
      </c>
      <c r="F5694" s="95">
        <f t="shared" si="513"/>
        <v>218</v>
      </c>
    </row>
    <row r="5695" spans="1:6" x14ac:dyDescent="0.25">
      <c r="A5695" s="105" t="s">
        <v>21</v>
      </c>
      <c r="B5695" s="19">
        <v>44130</v>
      </c>
      <c r="C5695" s="4">
        <v>1271</v>
      </c>
      <c r="D5695" s="21">
        <f t="shared" si="514"/>
        <v>77266</v>
      </c>
      <c r="E5695" s="4">
        <v>32</v>
      </c>
      <c r="F5695" s="95">
        <f t="shared" si="513"/>
        <v>1137</v>
      </c>
    </row>
    <row r="5696" spans="1:6" x14ac:dyDescent="0.25">
      <c r="A5696" s="105" t="s">
        <v>31</v>
      </c>
      <c r="B5696" s="19">
        <v>44130</v>
      </c>
      <c r="C5696" s="4">
        <v>114</v>
      </c>
      <c r="D5696" s="21">
        <f t="shared" si="514"/>
        <v>2383</v>
      </c>
      <c r="E5696" s="4">
        <v>3</v>
      </c>
      <c r="F5696" s="95">
        <f t="shared" si="513"/>
        <v>43</v>
      </c>
    </row>
    <row r="5697" spans="1:6" x14ac:dyDescent="0.25">
      <c r="A5697" s="105" t="s">
        <v>32</v>
      </c>
      <c r="B5697" s="19">
        <v>44130</v>
      </c>
      <c r="C5697" s="4">
        <v>352</v>
      </c>
      <c r="D5697" s="21">
        <f t="shared" si="514"/>
        <v>14292</v>
      </c>
      <c r="E5697" s="4">
        <v>11</v>
      </c>
      <c r="F5697" s="95">
        <f t="shared" si="513"/>
        <v>251</v>
      </c>
    </row>
    <row r="5698" spans="1:6" x14ac:dyDescent="0.25">
      <c r="A5698" s="105" t="s">
        <v>42</v>
      </c>
      <c r="B5698" s="19">
        <v>44130</v>
      </c>
      <c r="C5698" s="4">
        <v>2</v>
      </c>
      <c r="D5698" s="21">
        <f t="shared" si="514"/>
        <v>145</v>
      </c>
      <c r="F5698" s="95">
        <f t="shared" si="513"/>
        <v>1</v>
      </c>
    </row>
    <row r="5699" spans="1:6" x14ac:dyDescent="0.25">
      <c r="A5699" s="105" t="s">
        <v>33</v>
      </c>
      <c r="B5699" s="19">
        <v>44130</v>
      </c>
      <c r="C5699" s="4">
        <v>38</v>
      </c>
      <c r="D5699" s="21">
        <f t="shared" si="514"/>
        <v>17652</v>
      </c>
      <c r="E5699" s="4">
        <v>10</v>
      </c>
      <c r="F5699" s="95">
        <f t="shared" si="513"/>
        <v>786</v>
      </c>
    </row>
    <row r="5700" spans="1:6" x14ac:dyDescent="0.25">
      <c r="A5700" s="105" t="s">
        <v>34</v>
      </c>
      <c r="B5700" s="19">
        <v>44130</v>
      </c>
      <c r="C5700" s="4">
        <v>68</v>
      </c>
      <c r="D5700" s="21">
        <f t="shared" si="514"/>
        <v>2524</v>
      </c>
      <c r="F5700" s="95">
        <f t="shared" si="513"/>
        <v>25</v>
      </c>
    </row>
    <row r="5701" spans="1:6" x14ac:dyDescent="0.25">
      <c r="A5701" s="105" t="s">
        <v>22</v>
      </c>
      <c r="B5701" s="19">
        <v>44130</v>
      </c>
      <c r="C5701" s="4">
        <v>49</v>
      </c>
      <c r="D5701" s="21">
        <f t="shared" si="514"/>
        <v>7173</v>
      </c>
      <c r="E5701" s="4">
        <v>13</v>
      </c>
      <c r="F5701" s="95">
        <f t="shared" si="513"/>
        <v>252</v>
      </c>
    </row>
    <row r="5702" spans="1:6" x14ac:dyDescent="0.25">
      <c r="A5702" s="105" t="s">
        <v>18</v>
      </c>
      <c r="B5702" s="19">
        <v>44130</v>
      </c>
      <c r="C5702" s="4">
        <v>652</v>
      </c>
      <c r="D5702" s="21">
        <f t="shared" si="514"/>
        <v>43601</v>
      </c>
      <c r="E5702" s="4">
        <v>11</v>
      </c>
      <c r="F5702" s="95">
        <f t="shared" si="513"/>
        <v>716</v>
      </c>
    </row>
    <row r="5703" spans="1:6" x14ac:dyDescent="0.25">
      <c r="A5703" s="105" t="s">
        <v>24</v>
      </c>
      <c r="B5703" s="19">
        <v>44130</v>
      </c>
      <c r="C5703" s="4">
        <v>12</v>
      </c>
      <c r="D5703" s="21">
        <f t="shared" si="514"/>
        <v>229</v>
      </c>
      <c r="F5703" s="95">
        <f t="shared" si="513"/>
        <v>5</v>
      </c>
    </row>
    <row r="5704" spans="1:6" x14ac:dyDescent="0.25">
      <c r="A5704" s="105" t="s">
        <v>20</v>
      </c>
      <c r="B5704" s="19">
        <v>44130</v>
      </c>
      <c r="C5704" s="4">
        <v>395</v>
      </c>
      <c r="D5704" s="21">
        <f t="shared" si="514"/>
        <v>19778</v>
      </c>
      <c r="E5704" s="4">
        <v>6</v>
      </c>
      <c r="F5704" s="95">
        <f t="shared" si="513"/>
        <v>360</v>
      </c>
    </row>
    <row r="5705" spans="1:6" x14ac:dyDescent="0.25">
      <c r="A5705" s="105" t="s">
        <v>19</v>
      </c>
      <c r="B5705" s="19">
        <v>44130</v>
      </c>
      <c r="C5705" s="4">
        <v>308</v>
      </c>
      <c r="D5705" s="21">
        <f t="shared" si="514"/>
        <v>22068</v>
      </c>
      <c r="E5705" s="4">
        <v>12</v>
      </c>
      <c r="F5705" s="95">
        <f t="shared" si="513"/>
        <v>572</v>
      </c>
    </row>
    <row r="5706" spans="1:6" x14ac:dyDescent="0.25">
      <c r="A5706" s="105" t="s">
        <v>35</v>
      </c>
      <c r="B5706" s="19">
        <v>44130</v>
      </c>
      <c r="C5706" s="4">
        <v>95</v>
      </c>
      <c r="D5706" s="21">
        <f t="shared" si="514"/>
        <v>18125</v>
      </c>
      <c r="E5706" s="4">
        <v>24</v>
      </c>
      <c r="F5706" s="95">
        <f t="shared" si="513"/>
        <v>730</v>
      </c>
    </row>
    <row r="5707" spans="1:6" x14ac:dyDescent="0.25">
      <c r="A5707" s="105" t="s">
        <v>36</v>
      </c>
      <c r="B5707" s="19">
        <v>44130</v>
      </c>
      <c r="C5707" s="4">
        <v>10</v>
      </c>
      <c r="D5707" s="21">
        <f t="shared" si="514"/>
        <v>1396</v>
      </c>
      <c r="F5707" s="95">
        <f t="shared" si="513"/>
        <v>77</v>
      </c>
    </row>
    <row r="5708" spans="1:6" x14ac:dyDescent="0.25">
      <c r="A5708" s="105" t="s">
        <v>37</v>
      </c>
      <c r="B5708" s="19">
        <v>44130</v>
      </c>
      <c r="C5708" s="4">
        <v>136</v>
      </c>
      <c r="D5708" s="21">
        <f t="shared" si="514"/>
        <v>5619</v>
      </c>
      <c r="F5708" s="95">
        <f t="shared" si="513"/>
        <v>52</v>
      </c>
    </row>
    <row r="5709" spans="1:6" x14ac:dyDescent="0.25">
      <c r="A5709" s="105" t="s">
        <v>38</v>
      </c>
      <c r="B5709" s="19">
        <v>44130</v>
      </c>
      <c r="C5709" s="4">
        <v>86</v>
      </c>
      <c r="D5709" s="21">
        <f t="shared" si="514"/>
        <v>8555</v>
      </c>
      <c r="E5709" s="4">
        <v>3</v>
      </c>
      <c r="F5709" s="95">
        <f t="shared" si="513"/>
        <v>116</v>
      </c>
    </row>
    <row r="5710" spans="1:6" x14ac:dyDescent="0.25">
      <c r="A5710" s="105" t="s">
        <v>23</v>
      </c>
      <c r="B5710" s="19">
        <v>44130</v>
      </c>
      <c r="C5710" s="4">
        <v>1733</v>
      </c>
      <c r="D5710" s="21">
        <f t="shared" si="514"/>
        <v>96240</v>
      </c>
      <c r="E5710" s="4">
        <v>37</v>
      </c>
      <c r="F5710" s="95">
        <f t="shared" si="513"/>
        <v>1094</v>
      </c>
    </row>
    <row r="5711" spans="1:6" x14ac:dyDescent="0.25">
      <c r="A5711" s="105" t="s">
        <v>39</v>
      </c>
      <c r="B5711" s="19">
        <v>44130</v>
      </c>
      <c r="C5711" s="4">
        <v>240</v>
      </c>
      <c r="D5711" s="21">
        <f>C5711+D5687</f>
        <v>8625</v>
      </c>
      <c r="E5711" s="4">
        <v>1</v>
      </c>
      <c r="F5711" s="95">
        <f t="shared" si="513"/>
        <v>115</v>
      </c>
    </row>
    <row r="5712" spans="1:6" x14ac:dyDescent="0.25">
      <c r="A5712" s="105" t="s">
        <v>40</v>
      </c>
      <c r="B5712" s="19">
        <v>44130</v>
      </c>
      <c r="C5712" s="4">
        <v>305</v>
      </c>
      <c r="D5712" s="21">
        <f>C5712+D5688</f>
        <v>10357</v>
      </c>
      <c r="E5712" s="4">
        <v>4</v>
      </c>
      <c r="F5712" s="95">
        <f t="shared" si="513"/>
        <v>132</v>
      </c>
    </row>
    <row r="5713" spans="1:6" ht="15.75" thickBot="1" x14ac:dyDescent="0.3">
      <c r="A5713" s="106" t="s">
        <v>41</v>
      </c>
      <c r="B5713" s="36">
        <v>44130</v>
      </c>
      <c r="C5713" s="37">
        <v>949</v>
      </c>
      <c r="D5713" s="21">
        <f t="shared" ref="D5713:D5734" si="515">C5713+D5689</f>
        <v>44127</v>
      </c>
      <c r="E5713" s="37">
        <v>26</v>
      </c>
      <c r="F5713" s="104">
        <f t="shared" si="513"/>
        <v>686</v>
      </c>
    </row>
    <row r="5714" spans="1:6" x14ac:dyDescent="0.25">
      <c r="A5714" s="153" t="s">
        <v>17</v>
      </c>
      <c r="B5714" s="102">
        <v>44131</v>
      </c>
      <c r="C5714" s="31">
        <v>4221</v>
      </c>
      <c r="D5714" s="108">
        <f t="shared" si="515"/>
        <v>535208</v>
      </c>
      <c r="E5714" s="31">
        <v>179</v>
      </c>
      <c r="F5714" s="94">
        <f t="shared" si="513"/>
        <v>17120</v>
      </c>
    </row>
    <row r="5715" spans="1:6" x14ac:dyDescent="0.25">
      <c r="A5715" s="105" t="s">
        <v>44</v>
      </c>
      <c r="B5715" s="102">
        <v>44131</v>
      </c>
      <c r="C5715" s="4">
        <v>598</v>
      </c>
      <c r="D5715" s="21">
        <f t="shared" si="515"/>
        <v>145103</v>
      </c>
      <c r="E5715" s="4">
        <f>30+17+1</f>
        <v>48</v>
      </c>
      <c r="F5715" s="95">
        <f t="shared" si="513"/>
        <v>4626</v>
      </c>
    </row>
    <row r="5716" spans="1:6" x14ac:dyDescent="0.25">
      <c r="A5716" s="105" t="s">
        <v>29</v>
      </c>
      <c r="B5716" s="102">
        <v>44131</v>
      </c>
      <c r="C5716" s="4">
        <v>28</v>
      </c>
      <c r="D5716" s="21">
        <f t="shared" si="515"/>
        <v>666</v>
      </c>
      <c r="F5716" s="95">
        <f t="shared" si="513"/>
        <v>0</v>
      </c>
    </row>
    <row r="5717" spans="1:6" x14ac:dyDescent="0.25">
      <c r="A5717" s="105" t="s">
        <v>16</v>
      </c>
      <c r="B5717" s="102">
        <v>44131</v>
      </c>
      <c r="C5717" s="4">
        <v>167</v>
      </c>
      <c r="D5717" s="21">
        <f t="shared" si="515"/>
        <v>13394</v>
      </c>
      <c r="E5717" s="4">
        <f>4+3</f>
        <v>7</v>
      </c>
      <c r="F5717" s="95">
        <f t="shared" si="513"/>
        <v>413</v>
      </c>
    </row>
    <row r="5718" spans="1:6" x14ac:dyDescent="0.25">
      <c r="A5718" s="105" t="s">
        <v>30</v>
      </c>
      <c r="B5718" s="102">
        <v>44131</v>
      </c>
      <c r="C5718" s="4">
        <v>318</v>
      </c>
      <c r="D5718" s="21">
        <f t="shared" si="515"/>
        <v>13299</v>
      </c>
      <c r="E5718" s="4">
        <f>13+11</f>
        <v>24</v>
      </c>
      <c r="F5718" s="95">
        <f t="shared" si="513"/>
        <v>242</v>
      </c>
    </row>
    <row r="5719" spans="1:6" x14ac:dyDescent="0.25">
      <c r="A5719" s="105" t="s">
        <v>21</v>
      </c>
      <c r="B5719" s="102">
        <v>44131</v>
      </c>
      <c r="C5719" s="4">
        <v>1819</v>
      </c>
      <c r="D5719" s="21">
        <f t="shared" si="515"/>
        <v>79085</v>
      </c>
      <c r="E5719" s="4">
        <f>19+19</f>
        <v>38</v>
      </c>
      <c r="F5719" s="95">
        <f t="shared" si="513"/>
        <v>1175</v>
      </c>
    </row>
    <row r="5720" spans="1:6" x14ac:dyDescent="0.25">
      <c r="A5720" s="105" t="s">
        <v>31</v>
      </c>
      <c r="B5720" s="102">
        <v>44131</v>
      </c>
      <c r="C5720" s="4">
        <v>17</v>
      </c>
      <c r="D5720" s="21">
        <f t="shared" si="515"/>
        <v>2400</v>
      </c>
      <c r="F5720" s="95">
        <f t="shared" si="513"/>
        <v>43</v>
      </c>
    </row>
    <row r="5721" spans="1:6" x14ac:dyDescent="0.25">
      <c r="A5721" s="105" t="s">
        <v>32</v>
      </c>
      <c r="B5721" s="102">
        <v>44131</v>
      </c>
      <c r="C5721" s="4">
        <v>395</v>
      </c>
      <c r="D5721" s="21">
        <f t="shared" si="515"/>
        <v>14687</v>
      </c>
      <c r="E5721" s="4">
        <f>4+2</f>
        <v>6</v>
      </c>
      <c r="F5721" s="95">
        <f t="shared" si="513"/>
        <v>257</v>
      </c>
    </row>
    <row r="5722" spans="1:6" x14ac:dyDescent="0.25">
      <c r="A5722" s="105" t="s">
        <v>42</v>
      </c>
      <c r="B5722" s="102">
        <v>44131</v>
      </c>
      <c r="C5722" s="4">
        <v>3</v>
      </c>
      <c r="D5722" s="21">
        <f t="shared" si="515"/>
        <v>148</v>
      </c>
      <c r="F5722" s="95">
        <f t="shared" si="513"/>
        <v>1</v>
      </c>
    </row>
    <row r="5723" spans="1:6" x14ac:dyDescent="0.25">
      <c r="A5723" s="105" t="s">
        <v>33</v>
      </c>
      <c r="B5723" s="102">
        <v>44131</v>
      </c>
      <c r="C5723" s="4">
        <v>35</v>
      </c>
      <c r="D5723" s="21">
        <f t="shared" si="515"/>
        <v>17687</v>
      </c>
      <c r="E5723" s="4">
        <f>9+2</f>
        <v>11</v>
      </c>
      <c r="F5723" s="95">
        <f t="shared" si="513"/>
        <v>797</v>
      </c>
    </row>
    <row r="5724" spans="1:6" x14ac:dyDescent="0.25">
      <c r="A5724" s="105" t="s">
        <v>34</v>
      </c>
      <c r="B5724" s="102">
        <v>44131</v>
      </c>
      <c r="C5724" s="4">
        <v>144</v>
      </c>
      <c r="D5724" s="21">
        <f t="shared" si="515"/>
        <v>2668</v>
      </c>
      <c r="E5724" s="4">
        <v>4</v>
      </c>
      <c r="F5724" s="95">
        <f t="shared" si="513"/>
        <v>29</v>
      </c>
    </row>
    <row r="5725" spans="1:6" x14ac:dyDescent="0.25">
      <c r="A5725" s="105" t="s">
        <v>22</v>
      </c>
      <c r="B5725" s="102">
        <v>44131</v>
      </c>
      <c r="C5725" s="4">
        <v>123</v>
      </c>
      <c r="D5725" s="21">
        <f t="shared" si="515"/>
        <v>7296</v>
      </c>
      <c r="E5725" s="4">
        <f>5+3</f>
        <v>8</v>
      </c>
      <c r="F5725" s="95">
        <f t="shared" si="513"/>
        <v>260</v>
      </c>
    </row>
    <row r="5726" spans="1:6" x14ac:dyDescent="0.25">
      <c r="A5726" s="105" t="s">
        <v>18</v>
      </c>
      <c r="B5726" s="102">
        <v>44131</v>
      </c>
      <c r="C5726" s="4">
        <v>771</v>
      </c>
      <c r="D5726" s="21">
        <f t="shared" si="515"/>
        <v>44372</v>
      </c>
      <c r="E5726" s="4">
        <f>8+4</f>
        <v>12</v>
      </c>
      <c r="F5726" s="95">
        <f t="shared" si="513"/>
        <v>728</v>
      </c>
    </row>
    <row r="5727" spans="1:6" x14ac:dyDescent="0.25">
      <c r="A5727" s="105" t="s">
        <v>24</v>
      </c>
      <c r="B5727" s="102">
        <v>44131</v>
      </c>
      <c r="C5727" s="4">
        <v>11</v>
      </c>
      <c r="D5727" s="21">
        <f t="shared" si="515"/>
        <v>240</v>
      </c>
      <c r="F5727" s="95">
        <f t="shared" si="513"/>
        <v>5</v>
      </c>
    </row>
    <row r="5728" spans="1:6" x14ac:dyDescent="0.25">
      <c r="A5728" s="105" t="s">
        <v>20</v>
      </c>
      <c r="B5728" s="102">
        <v>44131</v>
      </c>
      <c r="C5728" s="4">
        <v>414</v>
      </c>
      <c r="D5728" s="21">
        <f t="shared" si="515"/>
        <v>20192</v>
      </c>
      <c r="E5728" s="4">
        <f>5+5</f>
        <v>10</v>
      </c>
      <c r="F5728" s="95">
        <f t="shared" si="513"/>
        <v>370</v>
      </c>
    </row>
    <row r="5729" spans="1:6" x14ac:dyDescent="0.25">
      <c r="A5729" s="105" t="s">
        <v>19</v>
      </c>
      <c r="B5729" s="102">
        <v>44131</v>
      </c>
      <c r="C5729" s="4">
        <v>461</v>
      </c>
      <c r="D5729" s="21">
        <f t="shared" si="515"/>
        <v>22529</v>
      </c>
      <c r="E5729" s="4">
        <f>5+4</f>
        <v>9</v>
      </c>
      <c r="F5729" s="95">
        <f t="shared" si="513"/>
        <v>581</v>
      </c>
    </row>
    <row r="5730" spans="1:6" x14ac:dyDescent="0.25">
      <c r="A5730" s="105" t="s">
        <v>35</v>
      </c>
      <c r="B5730" s="102">
        <v>44131</v>
      </c>
      <c r="C5730" s="4">
        <v>156</v>
      </c>
      <c r="D5730" s="21">
        <f t="shared" si="515"/>
        <v>18281</v>
      </c>
      <c r="E5730" s="4">
        <f>5+4</f>
        <v>9</v>
      </c>
      <c r="F5730" s="95">
        <f t="shared" si="513"/>
        <v>739</v>
      </c>
    </row>
    <row r="5731" spans="1:6" x14ac:dyDescent="0.25">
      <c r="A5731" s="105" t="s">
        <v>36</v>
      </c>
      <c r="B5731" s="102">
        <v>44131</v>
      </c>
      <c r="C5731" s="4">
        <v>40</v>
      </c>
      <c r="D5731" s="21">
        <f t="shared" si="515"/>
        <v>1436</v>
      </c>
      <c r="E5731" s="4">
        <f>1</f>
        <v>1</v>
      </c>
      <c r="F5731" s="95">
        <f t="shared" si="513"/>
        <v>78</v>
      </c>
    </row>
    <row r="5732" spans="1:6" x14ac:dyDescent="0.25">
      <c r="A5732" s="105" t="s">
        <v>37</v>
      </c>
      <c r="B5732" s="102">
        <v>44131</v>
      </c>
      <c r="C5732" s="4">
        <v>446</v>
      </c>
      <c r="D5732" s="21">
        <f t="shared" si="515"/>
        <v>6065</v>
      </c>
      <c r="E5732" s="4">
        <f>1</f>
        <v>1</v>
      </c>
      <c r="F5732" s="95">
        <f t="shared" si="513"/>
        <v>53</v>
      </c>
    </row>
    <row r="5733" spans="1:6" x14ac:dyDescent="0.25">
      <c r="A5733" s="105" t="s">
        <v>38</v>
      </c>
      <c r="B5733" s="102">
        <v>44131</v>
      </c>
      <c r="C5733" s="4">
        <v>91</v>
      </c>
      <c r="D5733" s="21">
        <f t="shared" si="515"/>
        <v>8646</v>
      </c>
      <c r="E5733" s="4">
        <f>1</f>
        <v>1</v>
      </c>
      <c r="F5733" s="95">
        <f t="shared" si="513"/>
        <v>117</v>
      </c>
    </row>
    <row r="5734" spans="1:6" x14ac:dyDescent="0.25">
      <c r="A5734" s="105" t="s">
        <v>23</v>
      </c>
      <c r="B5734" s="102">
        <v>44131</v>
      </c>
      <c r="C5734" s="4">
        <v>2235</v>
      </c>
      <c r="D5734" s="21">
        <f t="shared" si="515"/>
        <v>98475</v>
      </c>
      <c r="E5734" s="4">
        <f>19+10</f>
        <v>29</v>
      </c>
      <c r="F5734" s="95">
        <f t="shared" si="513"/>
        <v>1123</v>
      </c>
    </row>
    <row r="5735" spans="1:6" x14ac:dyDescent="0.25">
      <c r="A5735" s="105" t="s">
        <v>39</v>
      </c>
      <c r="B5735" s="102">
        <v>44131</v>
      </c>
      <c r="C5735" s="4">
        <v>144</v>
      </c>
      <c r="D5735" s="21">
        <f>C5735+D5711</f>
        <v>8769</v>
      </c>
      <c r="E5735" s="4">
        <f>1</f>
        <v>1</v>
      </c>
      <c r="F5735" s="95">
        <f t="shared" si="513"/>
        <v>116</v>
      </c>
    </row>
    <row r="5736" spans="1:6" x14ac:dyDescent="0.25">
      <c r="A5736" s="105" t="s">
        <v>40</v>
      </c>
      <c r="B5736" s="102">
        <v>44131</v>
      </c>
      <c r="C5736" s="4">
        <v>231</v>
      </c>
      <c r="D5736" s="21">
        <f>C5736+D5712</f>
        <v>10588</v>
      </c>
      <c r="E5736" s="4">
        <v>5</v>
      </c>
      <c r="F5736" s="95">
        <f t="shared" si="513"/>
        <v>137</v>
      </c>
    </row>
    <row r="5737" spans="1:6" ht="15.75" thickBot="1" x14ac:dyDescent="0.3">
      <c r="A5737" s="106" t="s">
        <v>41</v>
      </c>
      <c r="B5737" s="102">
        <v>44131</v>
      </c>
      <c r="C5737" s="37">
        <v>1440</v>
      </c>
      <c r="D5737" s="21">
        <f t="shared" ref="D5737:D5758" si="516">C5737+D5713</f>
        <v>45567</v>
      </c>
      <c r="E5737" s="37">
        <f>12+11</f>
        <v>23</v>
      </c>
      <c r="F5737" s="104">
        <f t="shared" si="513"/>
        <v>709</v>
      </c>
    </row>
    <row r="5738" spans="1:6" x14ac:dyDescent="0.25">
      <c r="A5738" s="153" t="s">
        <v>17</v>
      </c>
      <c r="B5738" s="102">
        <v>44132</v>
      </c>
      <c r="C5738" s="4">
        <v>4238</v>
      </c>
      <c r="D5738" s="108">
        <f t="shared" si="516"/>
        <v>539446</v>
      </c>
      <c r="E5738" s="4">
        <f>61+61</f>
        <v>122</v>
      </c>
      <c r="F5738" s="94">
        <f t="shared" ref="F5738:F5801" si="517">E5738+F5714</f>
        <v>17242</v>
      </c>
    </row>
    <row r="5739" spans="1:6" x14ac:dyDescent="0.25">
      <c r="A5739" s="105" t="s">
        <v>44</v>
      </c>
      <c r="B5739" s="102">
        <v>44132</v>
      </c>
      <c r="C5739" s="4">
        <v>641</v>
      </c>
      <c r="D5739" s="21">
        <f t="shared" si="516"/>
        <v>145744</v>
      </c>
      <c r="E5739" s="4">
        <f>20+16</f>
        <v>36</v>
      </c>
      <c r="F5739" s="95">
        <f t="shared" si="517"/>
        <v>4662</v>
      </c>
    </row>
    <row r="5740" spans="1:6" x14ac:dyDescent="0.25">
      <c r="A5740" s="105" t="s">
        <v>29</v>
      </c>
      <c r="B5740" s="102">
        <v>44132</v>
      </c>
      <c r="C5740" s="4">
        <v>54</v>
      </c>
      <c r="D5740" s="21">
        <f t="shared" si="516"/>
        <v>720</v>
      </c>
      <c r="F5740" s="95">
        <f t="shared" si="517"/>
        <v>0</v>
      </c>
    </row>
    <row r="5741" spans="1:6" x14ac:dyDescent="0.25">
      <c r="A5741" s="105" t="s">
        <v>16</v>
      </c>
      <c r="B5741" s="102">
        <v>44132</v>
      </c>
      <c r="C5741" s="4">
        <v>186</v>
      </c>
      <c r="D5741" s="21">
        <f t="shared" si="516"/>
        <v>13580</v>
      </c>
      <c r="E5741" s="4">
        <f>1+5</f>
        <v>6</v>
      </c>
      <c r="F5741" s="95">
        <f t="shared" si="517"/>
        <v>419</v>
      </c>
    </row>
    <row r="5742" spans="1:6" x14ac:dyDescent="0.25">
      <c r="A5742" s="105" t="s">
        <v>30</v>
      </c>
      <c r="B5742" s="102">
        <v>44132</v>
      </c>
      <c r="C5742" s="4">
        <v>295</v>
      </c>
      <c r="D5742" s="21">
        <f t="shared" si="516"/>
        <v>13594</v>
      </c>
      <c r="F5742" s="95">
        <f t="shared" si="517"/>
        <v>242</v>
      </c>
    </row>
    <row r="5743" spans="1:6" x14ac:dyDescent="0.25">
      <c r="A5743" s="105" t="s">
        <v>21</v>
      </c>
      <c r="B5743" s="102">
        <v>44132</v>
      </c>
      <c r="C5743" s="4">
        <v>1848</v>
      </c>
      <c r="D5743" s="21">
        <f t="shared" si="516"/>
        <v>80933</v>
      </c>
      <c r="E5743" s="4">
        <f>16+17</f>
        <v>33</v>
      </c>
      <c r="F5743" s="95">
        <f t="shared" si="517"/>
        <v>1208</v>
      </c>
    </row>
    <row r="5744" spans="1:6" x14ac:dyDescent="0.25">
      <c r="A5744" s="105" t="s">
        <v>31</v>
      </c>
      <c r="B5744" s="102">
        <v>44132</v>
      </c>
      <c r="C5744" s="4">
        <v>69</v>
      </c>
      <c r="D5744" s="21">
        <f t="shared" si="516"/>
        <v>2469</v>
      </c>
      <c r="E5744" s="4">
        <f>2+2</f>
        <v>4</v>
      </c>
      <c r="F5744" s="95">
        <f t="shared" si="517"/>
        <v>47</v>
      </c>
    </row>
    <row r="5745" spans="1:6" x14ac:dyDescent="0.25">
      <c r="A5745" s="105" t="s">
        <v>32</v>
      </c>
      <c r="B5745" s="102">
        <v>44132</v>
      </c>
      <c r="C5745" s="4">
        <v>343</v>
      </c>
      <c r="D5745" s="21">
        <f t="shared" si="516"/>
        <v>15030</v>
      </c>
      <c r="E5745" s="4">
        <v>10</v>
      </c>
      <c r="F5745" s="95">
        <f t="shared" si="517"/>
        <v>267</v>
      </c>
    </row>
    <row r="5746" spans="1:6" x14ac:dyDescent="0.25">
      <c r="A5746" s="105" t="s">
        <v>42</v>
      </c>
      <c r="B5746" s="102">
        <v>44132</v>
      </c>
      <c r="C5746" s="4">
        <v>1</v>
      </c>
      <c r="D5746" s="21">
        <f t="shared" si="516"/>
        <v>149</v>
      </c>
      <c r="F5746" s="95">
        <f t="shared" si="517"/>
        <v>1</v>
      </c>
    </row>
    <row r="5747" spans="1:6" x14ac:dyDescent="0.25">
      <c r="A5747" s="105" t="s">
        <v>33</v>
      </c>
      <c r="B5747" s="102">
        <v>44132</v>
      </c>
      <c r="C5747" s="4">
        <v>53</v>
      </c>
      <c r="D5747" s="21">
        <f t="shared" si="516"/>
        <v>17740</v>
      </c>
      <c r="E5747" s="4">
        <f>1+1</f>
        <v>2</v>
      </c>
      <c r="F5747" s="95">
        <f t="shared" si="517"/>
        <v>799</v>
      </c>
    </row>
    <row r="5748" spans="1:6" x14ac:dyDescent="0.25">
      <c r="A5748" s="105" t="s">
        <v>34</v>
      </c>
      <c r="B5748" s="102">
        <v>44132</v>
      </c>
      <c r="C5748" s="4">
        <v>161</v>
      </c>
      <c r="D5748" s="21">
        <f t="shared" si="516"/>
        <v>2829</v>
      </c>
      <c r="F5748" s="95">
        <f t="shared" si="517"/>
        <v>29</v>
      </c>
    </row>
    <row r="5749" spans="1:6" x14ac:dyDescent="0.25">
      <c r="A5749" s="105" t="s">
        <v>22</v>
      </c>
      <c r="B5749" s="102">
        <v>44132</v>
      </c>
      <c r="C5749" s="4">
        <v>90</v>
      </c>
      <c r="D5749" s="21">
        <f t="shared" si="516"/>
        <v>7386</v>
      </c>
      <c r="E5749" s="4">
        <f>4</f>
        <v>4</v>
      </c>
      <c r="F5749" s="95">
        <f t="shared" si="517"/>
        <v>264</v>
      </c>
    </row>
    <row r="5750" spans="1:6" x14ac:dyDescent="0.25">
      <c r="A5750" s="105" t="s">
        <v>18</v>
      </c>
      <c r="B5750" s="102">
        <v>44132</v>
      </c>
      <c r="C5750" s="4">
        <v>675</v>
      </c>
      <c r="D5750" s="21">
        <f t="shared" si="516"/>
        <v>45047</v>
      </c>
      <c r="E5750" s="4">
        <f>7+5</f>
        <v>12</v>
      </c>
      <c r="F5750" s="95">
        <f t="shared" si="517"/>
        <v>740</v>
      </c>
    </row>
    <row r="5751" spans="1:6" x14ac:dyDescent="0.25">
      <c r="A5751" s="105" t="s">
        <v>24</v>
      </c>
      <c r="B5751" s="102">
        <v>44132</v>
      </c>
      <c r="C5751" s="4">
        <v>9</v>
      </c>
      <c r="D5751" s="21">
        <f t="shared" si="516"/>
        <v>249</v>
      </c>
      <c r="F5751" s="95">
        <f t="shared" si="517"/>
        <v>5</v>
      </c>
    </row>
    <row r="5752" spans="1:6" x14ac:dyDescent="0.25">
      <c r="A5752" s="105" t="s">
        <v>20</v>
      </c>
      <c r="B5752" s="102">
        <v>44132</v>
      </c>
      <c r="C5752" s="4">
        <v>384</v>
      </c>
      <c r="D5752" s="21">
        <f t="shared" si="516"/>
        <v>20576</v>
      </c>
      <c r="E5752" s="4">
        <f>8+5</f>
        <v>13</v>
      </c>
      <c r="F5752" s="95">
        <f t="shared" si="517"/>
        <v>383</v>
      </c>
    </row>
    <row r="5753" spans="1:6" x14ac:dyDescent="0.25">
      <c r="A5753" s="105" t="s">
        <v>19</v>
      </c>
      <c r="B5753" s="102">
        <v>44132</v>
      </c>
      <c r="C5753" s="4">
        <v>450</v>
      </c>
      <c r="D5753" s="21">
        <f t="shared" si="516"/>
        <v>22979</v>
      </c>
      <c r="E5753" s="4">
        <f>5+5</f>
        <v>10</v>
      </c>
      <c r="F5753" s="95">
        <f t="shared" si="517"/>
        <v>591</v>
      </c>
    </row>
    <row r="5754" spans="1:6" x14ac:dyDescent="0.25">
      <c r="A5754" s="105" t="s">
        <v>35</v>
      </c>
      <c r="B5754" s="102">
        <v>44132</v>
      </c>
      <c r="C5754" s="4">
        <v>219</v>
      </c>
      <c r="D5754" s="21">
        <f t="shared" si="516"/>
        <v>18500</v>
      </c>
      <c r="E5754" s="4">
        <f>7+5</f>
        <v>12</v>
      </c>
      <c r="F5754" s="95">
        <f t="shared" si="517"/>
        <v>751</v>
      </c>
    </row>
    <row r="5755" spans="1:6" x14ac:dyDescent="0.25">
      <c r="A5755" s="105" t="s">
        <v>36</v>
      </c>
      <c r="B5755" s="102">
        <v>44132</v>
      </c>
      <c r="C5755" s="4">
        <v>144</v>
      </c>
      <c r="D5755" s="21">
        <f t="shared" si="516"/>
        <v>1580</v>
      </c>
      <c r="E5755" s="4">
        <f>2+3</f>
        <v>5</v>
      </c>
      <c r="F5755" s="95">
        <f t="shared" si="517"/>
        <v>83</v>
      </c>
    </row>
    <row r="5756" spans="1:6" x14ac:dyDescent="0.25">
      <c r="A5756" s="105" t="s">
        <v>37</v>
      </c>
      <c r="B5756" s="102">
        <v>44132</v>
      </c>
      <c r="C5756" s="4">
        <v>167</v>
      </c>
      <c r="D5756" s="21">
        <f t="shared" si="516"/>
        <v>6232</v>
      </c>
      <c r="F5756" s="95">
        <f t="shared" si="517"/>
        <v>53</v>
      </c>
    </row>
    <row r="5757" spans="1:6" x14ac:dyDescent="0.25">
      <c r="A5757" s="105" t="s">
        <v>38</v>
      </c>
      <c r="B5757" s="102">
        <v>44132</v>
      </c>
      <c r="C5757" s="4">
        <v>239</v>
      </c>
      <c r="D5757" s="21">
        <f t="shared" si="516"/>
        <v>8885</v>
      </c>
      <c r="F5757" s="95">
        <f t="shared" si="517"/>
        <v>117</v>
      </c>
    </row>
    <row r="5758" spans="1:6" x14ac:dyDescent="0.25">
      <c r="A5758" s="105" t="s">
        <v>23</v>
      </c>
      <c r="B5758" s="102">
        <v>44132</v>
      </c>
      <c r="C5758" s="4">
        <v>2003</v>
      </c>
      <c r="D5758" s="21">
        <f t="shared" si="516"/>
        <v>100478</v>
      </c>
      <c r="E5758" s="4">
        <f>24+19</f>
        <v>43</v>
      </c>
      <c r="F5758" s="95">
        <f t="shared" si="517"/>
        <v>1166</v>
      </c>
    </row>
    <row r="5759" spans="1:6" x14ac:dyDescent="0.25">
      <c r="A5759" s="105" t="s">
        <v>39</v>
      </c>
      <c r="B5759" s="102">
        <v>44132</v>
      </c>
      <c r="C5759" s="4">
        <v>292</v>
      </c>
      <c r="D5759" s="21">
        <f>C5759+D5735</f>
        <v>9061</v>
      </c>
      <c r="E5759" s="4">
        <f>2+2</f>
        <v>4</v>
      </c>
      <c r="F5759" s="95">
        <f t="shared" si="517"/>
        <v>120</v>
      </c>
    </row>
    <row r="5760" spans="1:6" x14ac:dyDescent="0.25">
      <c r="A5760" s="105" t="s">
        <v>40</v>
      </c>
      <c r="B5760" s="102">
        <v>44132</v>
      </c>
      <c r="C5760" s="4">
        <v>236</v>
      </c>
      <c r="D5760" s="21">
        <f>C5760+D5736</f>
        <v>10824</v>
      </c>
      <c r="E5760" s="4">
        <f>3+1</f>
        <v>4</v>
      </c>
      <c r="F5760" s="95">
        <f t="shared" si="517"/>
        <v>141</v>
      </c>
    </row>
    <row r="5761" spans="1:6" ht="15.75" thickBot="1" x14ac:dyDescent="0.3">
      <c r="A5761" s="106" t="s">
        <v>41</v>
      </c>
      <c r="B5761" s="102">
        <v>44132</v>
      </c>
      <c r="C5761" s="4">
        <v>1127</v>
      </c>
      <c r="D5761" s="21">
        <f>C5761+D5737</f>
        <v>46694</v>
      </c>
      <c r="E5761" s="4">
        <f>17+7</f>
        <v>24</v>
      </c>
      <c r="F5761" s="104">
        <f t="shared" si="517"/>
        <v>733</v>
      </c>
    </row>
    <row r="5762" spans="1:6" x14ac:dyDescent="0.25">
      <c r="A5762" s="153" t="s">
        <v>17</v>
      </c>
      <c r="B5762" s="102">
        <v>44133</v>
      </c>
      <c r="C5762" s="4">
        <v>3708</v>
      </c>
      <c r="D5762" s="108">
        <f>543181</f>
        <v>543181</v>
      </c>
      <c r="E5762" s="4">
        <f>78+60</f>
        <v>138</v>
      </c>
      <c r="F5762" s="94">
        <f t="shared" si="517"/>
        <v>17380</v>
      </c>
    </row>
    <row r="5763" spans="1:6" x14ac:dyDescent="0.25">
      <c r="A5763" s="105" t="s">
        <v>44</v>
      </c>
      <c r="B5763" s="102">
        <v>44133</v>
      </c>
      <c r="C5763" s="4">
        <v>512</v>
      </c>
      <c r="D5763" s="21">
        <f t="shared" ref="D5763:D5825" si="518">C5763+D5739</f>
        <v>146256</v>
      </c>
      <c r="E5763" s="4">
        <v>39</v>
      </c>
      <c r="F5763" s="95">
        <f t="shared" si="517"/>
        <v>4701</v>
      </c>
    </row>
    <row r="5764" spans="1:6" x14ac:dyDescent="0.25">
      <c r="A5764" s="105" t="s">
        <v>29</v>
      </c>
      <c r="B5764" s="102">
        <v>44133</v>
      </c>
      <c r="C5764" s="4">
        <v>16</v>
      </c>
      <c r="D5764" s="21">
        <f t="shared" si="518"/>
        <v>736</v>
      </c>
      <c r="F5764" s="95">
        <f t="shared" si="517"/>
        <v>0</v>
      </c>
    </row>
    <row r="5765" spans="1:6" x14ac:dyDescent="0.25">
      <c r="A5765" s="105" t="s">
        <v>16</v>
      </c>
      <c r="B5765" s="102">
        <v>44133</v>
      </c>
      <c r="C5765" s="4">
        <v>130</v>
      </c>
      <c r="D5765" s="21">
        <f t="shared" si="518"/>
        <v>13710</v>
      </c>
      <c r="E5765" s="4">
        <f>2+2</f>
        <v>4</v>
      </c>
      <c r="F5765" s="95">
        <f t="shared" si="517"/>
        <v>423</v>
      </c>
    </row>
    <row r="5766" spans="1:6" x14ac:dyDescent="0.25">
      <c r="A5766" s="105" t="s">
        <v>30</v>
      </c>
      <c r="B5766" s="102">
        <v>44133</v>
      </c>
      <c r="C5766" s="4">
        <v>284</v>
      </c>
      <c r="D5766" s="21">
        <f t="shared" si="518"/>
        <v>13878</v>
      </c>
      <c r="E5766" s="4">
        <f>2</f>
        <v>2</v>
      </c>
      <c r="F5766" s="95">
        <f t="shared" si="517"/>
        <v>244</v>
      </c>
    </row>
    <row r="5767" spans="1:6" x14ac:dyDescent="0.25">
      <c r="A5767" s="105" t="s">
        <v>21</v>
      </c>
      <c r="B5767" s="102">
        <v>44133</v>
      </c>
      <c r="C5767" s="4">
        <v>1457</v>
      </c>
      <c r="D5767" s="21">
        <f t="shared" si="518"/>
        <v>82390</v>
      </c>
      <c r="E5767" s="4">
        <f>19+16</f>
        <v>35</v>
      </c>
      <c r="F5767" s="95">
        <f t="shared" si="517"/>
        <v>1243</v>
      </c>
    </row>
    <row r="5768" spans="1:6" x14ac:dyDescent="0.25">
      <c r="A5768" s="105" t="s">
        <v>31</v>
      </c>
      <c r="B5768" s="102">
        <v>44133</v>
      </c>
      <c r="C5768" s="4">
        <v>61</v>
      </c>
      <c r="D5768" s="21">
        <f t="shared" si="518"/>
        <v>2530</v>
      </c>
      <c r="F5768" s="95">
        <f t="shared" si="517"/>
        <v>47</v>
      </c>
    </row>
    <row r="5769" spans="1:6" x14ac:dyDescent="0.25">
      <c r="A5769" s="105" t="s">
        <v>32</v>
      </c>
      <c r="B5769" s="102">
        <v>44133</v>
      </c>
      <c r="C5769" s="4">
        <v>360</v>
      </c>
      <c r="D5769" s="21">
        <f t="shared" si="518"/>
        <v>15390</v>
      </c>
      <c r="E5769" s="4">
        <f>2+2</f>
        <v>4</v>
      </c>
      <c r="F5769" s="95">
        <f t="shared" si="517"/>
        <v>271</v>
      </c>
    </row>
    <row r="5770" spans="1:6" x14ac:dyDescent="0.25">
      <c r="A5770" s="105" t="s">
        <v>42</v>
      </c>
      <c r="B5770" s="102">
        <v>44133</v>
      </c>
      <c r="C5770" s="4">
        <v>1</v>
      </c>
      <c r="D5770" s="21">
        <f t="shared" si="518"/>
        <v>150</v>
      </c>
      <c r="F5770" s="95">
        <f t="shared" si="517"/>
        <v>1</v>
      </c>
    </row>
    <row r="5771" spans="1:6" x14ac:dyDescent="0.25">
      <c r="A5771" s="105" t="s">
        <v>33</v>
      </c>
      <c r="B5771" s="102">
        <v>44133</v>
      </c>
      <c r="C5771" s="4">
        <v>46</v>
      </c>
      <c r="D5771" s="21">
        <f t="shared" si="518"/>
        <v>17786</v>
      </c>
      <c r="E5771" s="4">
        <f>2+2</f>
        <v>4</v>
      </c>
      <c r="F5771" s="95">
        <f t="shared" si="517"/>
        <v>803</v>
      </c>
    </row>
    <row r="5772" spans="1:6" x14ac:dyDescent="0.25">
      <c r="A5772" s="105" t="s">
        <v>34</v>
      </c>
      <c r="B5772" s="102">
        <v>44133</v>
      </c>
      <c r="C5772" s="4">
        <v>231</v>
      </c>
      <c r="D5772" s="21">
        <f t="shared" si="518"/>
        <v>3060</v>
      </c>
      <c r="E5772" s="4">
        <f>3</f>
        <v>3</v>
      </c>
      <c r="F5772" s="95">
        <f t="shared" si="517"/>
        <v>32</v>
      </c>
    </row>
    <row r="5773" spans="1:6" x14ac:dyDescent="0.25">
      <c r="A5773" s="105" t="s">
        <v>22</v>
      </c>
      <c r="B5773" s="102">
        <v>44133</v>
      </c>
      <c r="C5773" s="4">
        <v>55</v>
      </c>
      <c r="D5773" s="21">
        <f t="shared" si="518"/>
        <v>7441</v>
      </c>
      <c r="F5773" s="95">
        <f t="shared" si="517"/>
        <v>264</v>
      </c>
    </row>
    <row r="5774" spans="1:6" x14ac:dyDescent="0.25">
      <c r="A5774" s="105" t="s">
        <v>18</v>
      </c>
      <c r="B5774" s="102">
        <v>44133</v>
      </c>
      <c r="C5774" s="4">
        <v>813</v>
      </c>
      <c r="D5774" s="21">
        <f t="shared" si="518"/>
        <v>45860</v>
      </c>
      <c r="E5774" s="4">
        <f>13+3</f>
        <v>16</v>
      </c>
      <c r="F5774" s="95">
        <f t="shared" si="517"/>
        <v>756</v>
      </c>
    </row>
    <row r="5775" spans="1:6" x14ac:dyDescent="0.25">
      <c r="A5775" s="105" t="s">
        <v>24</v>
      </c>
      <c r="B5775" s="102">
        <v>44133</v>
      </c>
      <c r="C5775" s="4">
        <v>11</v>
      </c>
      <c r="D5775" s="21">
        <f t="shared" si="518"/>
        <v>260</v>
      </c>
      <c r="F5775" s="95">
        <f t="shared" si="517"/>
        <v>5</v>
      </c>
    </row>
    <row r="5776" spans="1:6" x14ac:dyDescent="0.25">
      <c r="A5776" s="105" t="s">
        <v>20</v>
      </c>
      <c r="B5776" s="102">
        <v>44133</v>
      </c>
      <c r="C5776" s="4">
        <v>499</v>
      </c>
      <c r="D5776" s="21">
        <f t="shared" si="518"/>
        <v>21075</v>
      </c>
      <c r="E5776" s="4">
        <f>2</f>
        <v>2</v>
      </c>
      <c r="F5776" s="95">
        <f t="shared" si="517"/>
        <v>385</v>
      </c>
    </row>
    <row r="5777" spans="1:6" x14ac:dyDescent="0.25">
      <c r="A5777" s="105" t="s">
        <v>19</v>
      </c>
      <c r="B5777" s="102">
        <v>44133</v>
      </c>
      <c r="C5777" s="4">
        <v>451</v>
      </c>
      <c r="D5777" s="21">
        <v>23450</v>
      </c>
      <c r="E5777" s="4">
        <f>7+6</f>
        <v>13</v>
      </c>
      <c r="F5777" s="95">
        <f t="shared" si="517"/>
        <v>604</v>
      </c>
    </row>
    <row r="5778" spans="1:6" x14ac:dyDescent="0.25">
      <c r="A5778" s="105" t="s">
        <v>35</v>
      </c>
      <c r="B5778" s="102">
        <v>44133</v>
      </c>
      <c r="C5778" s="4">
        <v>157</v>
      </c>
      <c r="D5778" s="21">
        <v>18409</v>
      </c>
      <c r="E5778" s="4">
        <v>11</v>
      </c>
      <c r="F5778" s="95">
        <f t="shared" si="517"/>
        <v>762</v>
      </c>
    </row>
    <row r="5779" spans="1:6" x14ac:dyDescent="0.25">
      <c r="A5779" s="105" t="s">
        <v>36</v>
      </c>
      <c r="B5779" s="102">
        <v>44133</v>
      </c>
      <c r="C5779" s="4">
        <v>297</v>
      </c>
      <c r="D5779" s="21">
        <f t="shared" si="518"/>
        <v>1877</v>
      </c>
      <c r="E5779" s="4">
        <f>1</f>
        <v>1</v>
      </c>
      <c r="F5779" s="95">
        <f t="shared" si="517"/>
        <v>84</v>
      </c>
    </row>
    <row r="5780" spans="1:6" x14ac:dyDescent="0.25">
      <c r="A5780" s="105" t="s">
        <v>37</v>
      </c>
      <c r="B5780" s="102">
        <v>44133</v>
      </c>
      <c r="C5780" s="4">
        <v>314</v>
      </c>
      <c r="D5780" s="21">
        <v>6556</v>
      </c>
      <c r="E5780" s="4">
        <f>1</f>
        <v>1</v>
      </c>
      <c r="F5780" s="95">
        <f t="shared" si="517"/>
        <v>54</v>
      </c>
    </row>
    <row r="5781" spans="1:6" x14ac:dyDescent="0.25">
      <c r="A5781" s="105" t="s">
        <v>38</v>
      </c>
      <c r="B5781" s="102">
        <v>44133</v>
      </c>
      <c r="C5781" s="4">
        <v>250</v>
      </c>
      <c r="D5781" s="21">
        <f t="shared" si="518"/>
        <v>9135</v>
      </c>
      <c r="E5781" s="4">
        <f>6+5</f>
        <v>11</v>
      </c>
      <c r="F5781" s="95">
        <f t="shared" si="517"/>
        <v>128</v>
      </c>
    </row>
    <row r="5782" spans="1:6" x14ac:dyDescent="0.25">
      <c r="A5782" s="105" t="s">
        <v>23</v>
      </c>
      <c r="B5782" s="102">
        <v>44133</v>
      </c>
      <c r="C5782" s="4">
        <v>2013</v>
      </c>
      <c r="D5782" s="21">
        <v>102490</v>
      </c>
      <c r="E5782" s="4">
        <f>42+24</f>
        <v>66</v>
      </c>
      <c r="F5782" s="95">
        <f t="shared" si="517"/>
        <v>1232</v>
      </c>
    </row>
    <row r="5783" spans="1:6" x14ac:dyDescent="0.25">
      <c r="A5783" s="105" t="s">
        <v>39</v>
      </c>
      <c r="B5783" s="102">
        <v>44133</v>
      </c>
      <c r="C5783" s="4">
        <v>308</v>
      </c>
      <c r="D5783" s="21">
        <v>9369</v>
      </c>
      <c r="E5783" s="4">
        <f>1</f>
        <v>1</v>
      </c>
      <c r="F5783" s="95">
        <f t="shared" si="517"/>
        <v>121</v>
      </c>
    </row>
    <row r="5784" spans="1:6" x14ac:dyDescent="0.25">
      <c r="A5784" s="105" t="s">
        <v>40</v>
      </c>
      <c r="B5784" s="102">
        <v>44133</v>
      </c>
      <c r="C5784" s="4">
        <v>204</v>
      </c>
      <c r="D5784" s="21">
        <f t="shared" si="518"/>
        <v>11028</v>
      </c>
      <c r="E5784" s="4">
        <f>3+1</f>
        <v>4</v>
      </c>
      <c r="F5784" s="95">
        <f t="shared" si="517"/>
        <v>145</v>
      </c>
    </row>
    <row r="5785" spans="1:6" ht="15.75" thickBot="1" x14ac:dyDescent="0.3">
      <c r="A5785" s="106" t="s">
        <v>41</v>
      </c>
      <c r="B5785" s="102">
        <v>44133</v>
      </c>
      <c r="C5785" s="4">
        <v>1089</v>
      </c>
      <c r="D5785" s="21">
        <f>C5785+D5761</f>
        <v>47783</v>
      </c>
      <c r="E5785" s="4">
        <f>10+5</f>
        <v>15</v>
      </c>
      <c r="F5785" s="104">
        <f t="shared" si="517"/>
        <v>748</v>
      </c>
    </row>
    <row r="5786" spans="1:6" x14ac:dyDescent="0.25">
      <c r="A5786" s="153" t="s">
        <v>17</v>
      </c>
      <c r="B5786" s="102">
        <v>44134</v>
      </c>
      <c r="C5786" s="4">
        <v>3830</v>
      </c>
      <c r="D5786" s="108">
        <f t="shared" si="518"/>
        <v>547011</v>
      </c>
      <c r="E5786" s="4">
        <f>70+47</f>
        <v>117</v>
      </c>
      <c r="F5786" s="94">
        <f t="shared" si="517"/>
        <v>17497</v>
      </c>
    </row>
    <row r="5787" spans="1:6" x14ac:dyDescent="0.25">
      <c r="A5787" s="105" t="s">
        <v>44</v>
      </c>
      <c r="B5787" s="102">
        <v>44134</v>
      </c>
      <c r="C5787" s="4">
        <v>504</v>
      </c>
      <c r="D5787" s="21">
        <f t="shared" si="518"/>
        <v>146760</v>
      </c>
      <c r="E5787" s="4">
        <f>14+22</f>
        <v>36</v>
      </c>
      <c r="F5787" s="95">
        <f t="shared" si="517"/>
        <v>4737</v>
      </c>
    </row>
    <row r="5788" spans="1:6" x14ac:dyDescent="0.25">
      <c r="A5788" s="105" t="s">
        <v>29</v>
      </c>
      <c r="B5788" s="102">
        <v>44134</v>
      </c>
      <c r="C5788" s="4">
        <v>83</v>
      </c>
      <c r="D5788" s="21">
        <f t="shared" si="518"/>
        <v>819</v>
      </c>
      <c r="F5788" s="95">
        <f t="shared" si="517"/>
        <v>0</v>
      </c>
    </row>
    <row r="5789" spans="1:6" x14ac:dyDescent="0.25">
      <c r="A5789" s="105" t="s">
        <v>16</v>
      </c>
      <c r="B5789" s="102">
        <v>44134</v>
      </c>
      <c r="C5789" s="4">
        <v>203</v>
      </c>
      <c r="D5789" s="21">
        <f t="shared" si="518"/>
        <v>13913</v>
      </c>
      <c r="E5789" s="4">
        <f>1</f>
        <v>1</v>
      </c>
      <c r="F5789" s="95">
        <f t="shared" si="517"/>
        <v>424</v>
      </c>
    </row>
    <row r="5790" spans="1:6" x14ac:dyDescent="0.25">
      <c r="A5790" s="105" t="s">
        <v>30</v>
      </c>
      <c r="B5790" s="102">
        <v>44134</v>
      </c>
      <c r="C5790" s="4">
        <v>309</v>
      </c>
      <c r="D5790" s="21">
        <f t="shared" si="518"/>
        <v>14187</v>
      </c>
      <c r="E5790" s="4">
        <f>1+1</f>
        <v>2</v>
      </c>
      <c r="F5790" s="95">
        <f t="shared" si="517"/>
        <v>246</v>
      </c>
    </row>
    <row r="5791" spans="1:6" x14ac:dyDescent="0.25">
      <c r="A5791" s="105" t="s">
        <v>21</v>
      </c>
      <c r="B5791" s="102">
        <v>44134</v>
      </c>
      <c r="C5791" s="4">
        <v>1601</v>
      </c>
      <c r="D5791" s="21">
        <f t="shared" si="518"/>
        <v>83991</v>
      </c>
      <c r="E5791" s="4">
        <f>15+12</f>
        <v>27</v>
      </c>
      <c r="F5791" s="95">
        <f t="shared" si="517"/>
        <v>1270</v>
      </c>
    </row>
    <row r="5792" spans="1:6" x14ac:dyDescent="0.25">
      <c r="A5792" s="105" t="s">
        <v>31</v>
      </c>
      <c r="B5792" s="102">
        <v>44134</v>
      </c>
      <c r="C5792" s="4">
        <v>9</v>
      </c>
      <c r="D5792" s="21">
        <f t="shared" si="518"/>
        <v>2539</v>
      </c>
      <c r="F5792" s="95">
        <f t="shared" si="517"/>
        <v>47</v>
      </c>
    </row>
    <row r="5793" spans="1:6" x14ac:dyDescent="0.25">
      <c r="A5793" s="105" t="s">
        <v>32</v>
      </c>
      <c r="B5793" s="102">
        <v>44134</v>
      </c>
      <c r="C5793" s="4">
        <v>343</v>
      </c>
      <c r="D5793" s="21">
        <f t="shared" si="518"/>
        <v>15733</v>
      </c>
      <c r="E5793" s="4">
        <f>2+3</f>
        <v>5</v>
      </c>
      <c r="F5793" s="95">
        <f t="shared" si="517"/>
        <v>276</v>
      </c>
    </row>
    <row r="5794" spans="1:6" x14ac:dyDescent="0.25">
      <c r="A5794" s="105" t="s">
        <v>42</v>
      </c>
      <c r="B5794" s="102">
        <v>44134</v>
      </c>
      <c r="C5794" s="4">
        <v>-1</v>
      </c>
      <c r="D5794" s="21">
        <f t="shared" si="518"/>
        <v>149</v>
      </c>
      <c r="F5794" s="95">
        <f t="shared" si="517"/>
        <v>1</v>
      </c>
    </row>
    <row r="5795" spans="1:6" x14ac:dyDescent="0.25">
      <c r="A5795" s="105" t="s">
        <v>33</v>
      </c>
      <c r="B5795" s="102">
        <v>44134</v>
      </c>
      <c r="C5795" s="4">
        <v>37</v>
      </c>
      <c r="D5795" s="21">
        <f t="shared" si="518"/>
        <v>17823</v>
      </c>
      <c r="E5795" s="4">
        <f>1+3</f>
        <v>4</v>
      </c>
      <c r="F5795" s="95">
        <f t="shared" si="517"/>
        <v>807</v>
      </c>
    </row>
    <row r="5796" spans="1:6" x14ac:dyDescent="0.25">
      <c r="A5796" s="105" t="s">
        <v>34</v>
      </c>
      <c r="B5796" s="102">
        <v>44134</v>
      </c>
      <c r="C5796" s="4">
        <v>129</v>
      </c>
      <c r="D5796" s="21">
        <f t="shared" si="518"/>
        <v>3189</v>
      </c>
      <c r="F5796" s="95">
        <f t="shared" si="517"/>
        <v>32</v>
      </c>
    </row>
    <row r="5797" spans="1:6" x14ac:dyDescent="0.25">
      <c r="A5797" s="105" t="s">
        <v>22</v>
      </c>
      <c r="B5797" s="102">
        <v>44134</v>
      </c>
      <c r="C5797" s="4">
        <v>73</v>
      </c>
      <c r="D5797" s="21">
        <f t="shared" si="518"/>
        <v>7514</v>
      </c>
      <c r="E5797" s="4">
        <f>3+3</f>
        <v>6</v>
      </c>
      <c r="F5797" s="95">
        <f t="shared" si="517"/>
        <v>270</v>
      </c>
    </row>
    <row r="5798" spans="1:6" x14ac:dyDescent="0.25">
      <c r="A5798" s="105" t="s">
        <v>18</v>
      </c>
      <c r="B5798" s="102">
        <v>44134</v>
      </c>
      <c r="C5798" s="4">
        <v>704</v>
      </c>
      <c r="D5798" s="21">
        <f t="shared" si="518"/>
        <v>46564</v>
      </c>
      <c r="E5798" s="4">
        <f>14+3</f>
        <v>17</v>
      </c>
      <c r="F5798" s="95">
        <f t="shared" si="517"/>
        <v>773</v>
      </c>
    </row>
    <row r="5799" spans="1:6" x14ac:dyDescent="0.25">
      <c r="A5799" s="105" t="s">
        <v>24</v>
      </c>
      <c r="B5799" s="102">
        <v>44134</v>
      </c>
      <c r="C5799" s="4">
        <v>10</v>
      </c>
      <c r="D5799" s="21">
        <f t="shared" si="518"/>
        <v>270</v>
      </c>
      <c r="F5799" s="95">
        <f t="shared" si="517"/>
        <v>5</v>
      </c>
    </row>
    <row r="5800" spans="1:6" x14ac:dyDescent="0.25">
      <c r="A5800" s="105" t="s">
        <v>20</v>
      </c>
      <c r="B5800" s="102">
        <v>44134</v>
      </c>
      <c r="C5800" s="4">
        <v>696</v>
      </c>
      <c r="D5800" s="21">
        <f t="shared" si="518"/>
        <v>21771</v>
      </c>
      <c r="E5800" s="4">
        <f>12+8</f>
        <v>20</v>
      </c>
      <c r="F5800" s="95">
        <f t="shared" si="517"/>
        <v>405</v>
      </c>
    </row>
    <row r="5801" spans="1:6" x14ac:dyDescent="0.25">
      <c r="A5801" s="105" t="s">
        <v>19</v>
      </c>
      <c r="B5801" s="102">
        <v>44134</v>
      </c>
      <c r="C5801" s="4">
        <v>288</v>
      </c>
      <c r="D5801" s="21">
        <f t="shared" si="518"/>
        <v>23738</v>
      </c>
      <c r="E5801" s="4">
        <f>4+1</f>
        <v>5</v>
      </c>
      <c r="F5801" s="95">
        <f t="shared" si="517"/>
        <v>609</v>
      </c>
    </row>
    <row r="5802" spans="1:6" x14ac:dyDescent="0.25">
      <c r="A5802" s="105" t="s">
        <v>35</v>
      </c>
      <c r="B5802" s="102">
        <v>44134</v>
      </c>
      <c r="C5802" s="4">
        <v>191</v>
      </c>
      <c r="D5802" s="21">
        <f t="shared" si="518"/>
        <v>18600</v>
      </c>
      <c r="E5802" s="4">
        <f>8+6</f>
        <v>14</v>
      </c>
      <c r="F5802" s="95">
        <f t="shared" ref="F5802:F5865" si="519">E5802+F5778</f>
        <v>776</v>
      </c>
    </row>
    <row r="5803" spans="1:6" x14ac:dyDescent="0.25">
      <c r="A5803" s="105" t="s">
        <v>36</v>
      </c>
      <c r="B5803" s="102">
        <v>44134</v>
      </c>
      <c r="C5803" s="4">
        <v>379</v>
      </c>
      <c r="D5803" s="21">
        <f t="shared" si="518"/>
        <v>2256</v>
      </c>
      <c r="E5803" s="4">
        <f>7+10</f>
        <v>17</v>
      </c>
      <c r="F5803" s="95">
        <f t="shared" si="519"/>
        <v>101</v>
      </c>
    </row>
    <row r="5804" spans="1:6" x14ac:dyDescent="0.25">
      <c r="A5804" s="105" t="s">
        <v>37</v>
      </c>
      <c r="B5804" s="102">
        <v>44134</v>
      </c>
      <c r="C5804" s="4">
        <v>258</v>
      </c>
      <c r="D5804" s="21">
        <f t="shared" si="518"/>
        <v>6814</v>
      </c>
      <c r="F5804" s="95">
        <f t="shared" si="519"/>
        <v>54</v>
      </c>
    </row>
    <row r="5805" spans="1:6" x14ac:dyDescent="0.25">
      <c r="A5805" s="105" t="s">
        <v>38</v>
      </c>
      <c r="B5805" s="102">
        <v>44134</v>
      </c>
      <c r="C5805" s="4">
        <v>214</v>
      </c>
      <c r="D5805" s="21">
        <f t="shared" si="518"/>
        <v>9349</v>
      </c>
      <c r="E5805" s="4">
        <f>1+1</f>
        <v>2</v>
      </c>
      <c r="F5805" s="95">
        <f t="shared" si="519"/>
        <v>130</v>
      </c>
    </row>
    <row r="5806" spans="1:6" x14ac:dyDescent="0.25">
      <c r="A5806" s="105" t="s">
        <v>23</v>
      </c>
      <c r="B5806" s="102">
        <v>44134</v>
      </c>
      <c r="C5806" s="4">
        <v>2140</v>
      </c>
      <c r="D5806" s="21">
        <f t="shared" si="518"/>
        <v>104630</v>
      </c>
      <c r="E5806" s="4">
        <f>29+20</f>
        <v>49</v>
      </c>
      <c r="F5806" s="95">
        <f t="shared" si="519"/>
        <v>1281</v>
      </c>
    </row>
    <row r="5807" spans="1:6" x14ac:dyDescent="0.25">
      <c r="A5807" s="105" t="s">
        <v>39</v>
      </c>
      <c r="B5807" s="102">
        <v>44134</v>
      </c>
      <c r="C5807" s="4">
        <v>209</v>
      </c>
      <c r="D5807" s="21">
        <f t="shared" si="518"/>
        <v>9578</v>
      </c>
      <c r="E5807" s="4">
        <f>4+4</f>
        <v>8</v>
      </c>
      <c r="F5807" s="95">
        <f t="shared" si="519"/>
        <v>129</v>
      </c>
    </row>
    <row r="5808" spans="1:6" x14ac:dyDescent="0.25">
      <c r="A5808" s="105" t="s">
        <v>40</v>
      </c>
      <c r="B5808" s="102">
        <v>44134</v>
      </c>
      <c r="C5808" s="4">
        <v>159</v>
      </c>
      <c r="D5808" s="21">
        <f t="shared" si="518"/>
        <v>11187</v>
      </c>
      <c r="E5808" s="4">
        <f>2</f>
        <v>2</v>
      </c>
      <c r="F5808" s="95">
        <f t="shared" si="519"/>
        <v>147</v>
      </c>
    </row>
    <row r="5809" spans="1:6" ht="15.75" thickBot="1" x14ac:dyDescent="0.3">
      <c r="A5809" s="107" t="s">
        <v>41</v>
      </c>
      <c r="B5809" s="103">
        <v>44134</v>
      </c>
      <c r="C5809" s="30">
        <v>1011</v>
      </c>
      <c r="D5809" s="59">
        <f>C5809+D5785</f>
        <v>48794</v>
      </c>
      <c r="E5809" s="30">
        <f>9+9</f>
        <v>18</v>
      </c>
      <c r="F5809" s="104">
        <f t="shared" si="519"/>
        <v>766</v>
      </c>
    </row>
    <row r="5810" spans="1:6" x14ac:dyDescent="0.25">
      <c r="A5810" s="45" t="s">
        <v>17</v>
      </c>
      <c r="B5810" s="32">
        <v>44135</v>
      </c>
      <c r="C5810" s="33">
        <v>2354</v>
      </c>
      <c r="D5810" s="97">
        <f t="shared" si="518"/>
        <v>549365</v>
      </c>
      <c r="E5810" s="33">
        <f>69+44+1</f>
        <v>114</v>
      </c>
      <c r="F5810" s="94">
        <f t="shared" si="519"/>
        <v>17611</v>
      </c>
    </row>
    <row r="5811" spans="1:6" x14ac:dyDescent="0.25">
      <c r="A5811" s="105" t="s">
        <v>44</v>
      </c>
      <c r="B5811" s="102">
        <v>44135</v>
      </c>
      <c r="C5811" s="4">
        <v>441</v>
      </c>
      <c r="D5811" s="21">
        <f t="shared" si="518"/>
        <v>147201</v>
      </c>
      <c r="E5811" s="4">
        <f>4+14</f>
        <v>18</v>
      </c>
      <c r="F5811" s="95">
        <f t="shared" si="519"/>
        <v>4755</v>
      </c>
    </row>
    <row r="5812" spans="1:6" x14ac:dyDescent="0.25">
      <c r="A5812" s="105" t="s">
        <v>29</v>
      </c>
      <c r="B5812" s="102">
        <v>44135</v>
      </c>
      <c r="C5812" s="4">
        <v>77</v>
      </c>
      <c r="D5812" s="21">
        <f t="shared" si="518"/>
        <v>896</v>
      </c>
      <c r="F5812" s="95">
        <f t="shared" si="519"/>
        <v>0</v>
      </c>
    </row>
    <row r="5813" spans="1:6" x14ac:dyDescent="0.25">
      <c r="A5813" s="105" t="s">
        <v>16</v>
      </c>
      <c r="B5813" s="102">
        <v>44135</v>
      </c>
      <c r="C5813" s="4">
        <v>137</v>
      </c>
      <c r="D5813" s="21">
        <f t="shared" si="518"/>
        <v>14050</v>
      </c>
      <c r="E5813" s="4">
        <f>2+1</f>
        <v>3</v>
      </c>
      <c r="F5813" s="95">
        <f t="shared" si="519"/>
        <v>427</v>
      </c>
    </row>
    <row r="5814" spans="1:6" x14ac:dyDescent="0.25">
      <c r="A5814" s="105" t="s">
        <v>30</v>
      </c>
      <c r="B5814" s="102">
        <v>44135</v>
      </c>
      <c r="C5814" s="4">
        <v>195</v>
      </c>
      <c r="D5814" s="21">
        <f t="shared" si="518"/>
        <v>14382</v>
      </c>
      <c r="E5814" s="4">
        <f>1+1</f>
        <v>2</v>
      </c>
      <c r="F5814" s="95">
        <f t="shared" si="519"/>
        <v>248</v>
      </c>
    </row>
    <row r="5815" spans="1:6" x14ac:dyDescent="0.25">
      <c r="A5815" s="105" t="s">
        <v>21</v>
      </c>
      <c r="B5815" s="102">
        <v>44135</v>
      </c>
      <c r="C5815" s="4">
        <v>1424</v>
      </c>
      <c r="D5815" s="21">
        <f t="shared" si="518"/>
        <v>85415</v>
      </c>
      <c r="E5815" s="4">
        <f>12+9</f>
        <v>21</v>
      </c>
      <c r="F5815" s="95">
        <f t="shared" si="519"/>
        <v>1291</v>
      </c>
    </row>
    <row r="5816" spans="1:6" x14ac:dyDescent="0.25">
      <c r="A5816" s="105" t="s">
        <v>31</v>
      </c>
      <c r="B5816" s="102">
        <v>44135</v>
      </c>
      <c r="C5816" s="4">
        <v>10</v>
      </c>
      <c r="D5816" s="21">
        <f t="shared" si="518"/>
        <v>2549</v>
      </c>
      <c r="F5816" s="95">
        <f t="shared" si="519"/>
        <v>47</v>
      </c>
    </row>
    <row r="5817" spans="1:6" x14ac:dyDescent="0.25">
      <c r="A5817" s="105" t="s">
        <v>32</v>
      </c>
      <c r="B5817" s="102">
        <v>44135</v>
      </c>
      <c r="C5817" s="4">
        <v>264</v>
      </c>
      <c r="D5817" s="21">
        <f t="shared" si="518"/>
        <v>15997</v>
      </c>
      <c r="E5817" s="4">
        <f>1</f>
        <v>1</v>
      </c>
      <c r="F5817" s="95">
        <f t="shared" si="519"/>
        <v>277</v>
      </c>
    </row>
    <row r="5818" spans="1:6" x14ac:dyDescent="0.25">
      <c r="A5818" s="105" t="s">
        <v>42</v>
      </c>
      <c r="B5818" s="102">
        <v>44135</v>
      </c>
      <c r="C5818" s="4">
        <v>4</v>
      </c>
      <c r="D5818" s="21">
        <f t="shared" si="518"/>
        <v>153</v>
      </c>
      <c r="F5818" s="95">
        <f t="shared" si="519"/>
        <v>1</v>
      </c>
    </row>
    <row r="5819" spans="1:6" x14ac:dyDescent="0.25">
      <c r="A5819" s="105" t="s">
        <v>33</v>
      </c>
      <c r="B5819" s="102">
        <v>44135</v>
      </c>
      <c r="C5819" s="4">
        <v>33</v>
      </c>
      <c r="D5819" s="21">
        <f t="shared" si="518"/>
        <v>17856</v>
      </c>
      <c r="E5819" s="4">
        <f>3+1</f>
        <v>4</v>
      </c>
      <c r="F5819" s="95">
        <f t="shared" si="519"/>
        <v>811</v>
      </c>
    </row>
    <row r="5820" spans="1:6" x14ac:dyDescent="0.25">
      <c r="A5820" s="105" t="s">
        <v>34</v>
      </c>
      <c r="B5820" s="102">
        <v>44135</v>
      </c>
      <c r="C5820" s="4">
        <v>90</v>
      </c>
      <c r="D5820" s="21">
        <f t="shared" si="518"/>
        <v>3279</v>
      </c>
      <c r="E5820" s="4">
        <f>1</f>
        <v>1</v>
      </c>
      <c r="F5820" s="95">
        <f t="shared" si="519"/>
        <v>33</v>
      </c>
    </row>
    <row r="5821" spans="1:6" x14ac:dyDescent="0.25">
      <c r="A5821" s="105" t="s">
        <v>22</v>
      </c>
      <c r="B5821" s="102">
        <v>44135</v>
      </c>
      <c r="C5821" s="4">
        <v>55</v>
      </c>
      <c r="D5821" s="21">
        <f t="shared" si="518"/>
        <v>7569</v>
      </c>
      <c r="E5821" s="4">
        <f>2</f>
        <v>2</v>
      </c>
      <c r="F5821" s="95">
        <f t="shared" si="519"/>
        <v>272</v>
      </c>
    </row>
    <row r="5822" spans="1:6" x14ac:dyDescent="0.25">
      <c r="A5822" s="105" t="s">
        <v>18</v>
      </c>
      <c r="B5822" s="102">
        <v>44135</v>
      </c>
      <c r="C5822" s="4">
        <v>509</v>
      </c>
      <c r="D5822" s="21">
        <f t="shared" si="518"/>
        <v>47073</v>
      </c>
      <c r="E5822" s="4">
        <f>4+1</f>
        <v>5</v>
      </c>
      <c r="F5822" s="95">
        <f t="shared" si="519"/>
        <v>778</v>
      </c>
    </row>
    <row r="5823" spans="1:6" x14ac:dyDescent="0.25">
      <c r="A5823" s="105" t="s">
        <v>24</v>
      </c>
      <c r="B5823" s="102">
        <v>44135</v>
      </c>
      <c r="C5823" s="4">
        <v>-9</v>
      </c>
      <c r="D5823" s="21">
        <f t="shared" si="518"/>
        <v>261</v>
      </c>
      <c r="F5823" s="95">
        <f t="shared" si="519"/>
        <v>5</v>
      </c>
    </row>
    <row r="5824" spans="1:6" x14ac:dyDescent="0.25">
      <c r="A5824" s="105" t="s">
        <v>20</v>
      </c>
      <c r="B5824" s="102">
        <v>44135</v>
      </c>
      <c r="C5824" s="4">
        <v>467</v>
      </c>
      <c r="D5824" s="21">
        <f t="shared" si="518"/>
        <v>22238</v>
      </c>
      <c r="E5824" s="4">
        <v>0</v>
      </c>
      <c r="F5824" s="95">
        <f t="shared" si="519"/>
        <v>405</v>
      </c>
    </row>
    <row r="5825" spans="1:6" x14ac:dyDescent="0.25">
      <c r="A5825" s="105" t="s">
        <v>19</v>
      </c>
      <c r="B5825" s="102">
        <v>44135</v>
      </c>
      <c r="C5825" s="4">
        <v>255</v>
      </c>
      <c r="D5825" s="21">
        <f t="shared" si="518"/>
        <v>23993</v>
      </c>
      <c r="E5825" s="4">
        <f>1+2</f>
        <v>3</v>
      </c>
      <c r="F5825" s="95">
        <f t="shared" si="519"/>
        <v>612</v>
      </c>
    </row>
    <row r="5826" spans="1:6" x14ac:dyDescent="0.25">
      <c r="A5826" s="105" t="s">
        <v>35</v>
      </c>
      <c r="B5826" s="102">
        <v>44135</v>
      </c>
      <c r="C5826" s="4">
        <v>146</v>
      </c>
      <c r="D5826" s="21">
        <f t="shared" ref="D5826:D5832" si="520">C5826+D5802</f>
        <v>18746</v>
      </c>
      <c r="E5826" s="4">
        <f>4+3</f>
        <v>7</v>
      </c>
      <c r="F5826" s="95">
        <f t="shared" si="519"/>
        <v>783</v>
      </c>
    </row>
    <row r="5827" spans="1:6" x14ac:dyDescent="0.25">
      <c r="A5827" s="105" t="s">
        <v>36</v>
      </c>
      <c r="B5827" s="102">
        <v>44135</v>
      </c>
      <c r="C5827" s="4">
        <v>110</v>
      </c>
      <c r="D5827" s="21">
        <f t="shared" si="520"/>
        <v>2366</v>
      </c>
      <c r="F5827" s="95">
        <f t="shared" si="519"/>
        <v>101</v>
      </c>
    </row>
    <row r="5828" spans="1:6" x14ac:dyDescent="0.25">
      <c r="A5828" s="105" t="s">
        <v>37</v>
      </c>
      <c r="B5828" s="102">
        <v>44135</v>
      </c>
      <c r="C5828" s="4">
        <v>167</v>
      </c>
      <c r="D5828" s="21">
        <f t="shared" si="520"/>
        <v>6981</v>
      </c>
      <c r="F5828" s="95">
        <f t="shared" si="519"/>
        <v>54</v>
      </c>
    </row>
    <row r="5829" spans="1:6" x14ac:dyDescent="0.25">
      <c r="A5829" s="105" t="s">
        <v>38</v>
      </c>
      <c r="B5829" s="102">
        <v>44135</v>
      </c>
      <c r="C5829" s="4">
        <v>159</v>
      </c>
      <c r="D5829" s="21">
        <f t="shared" si="520"/>
        <v>9508</v>
      </c>
      <c r="E5829" s="4">
        <f>3</f>
        <v>3</v>
      </c>
      <c r="F5829" s="95">
        <f t="shared" si="519"/>
        <v>133</v>
      </c>
    </row>
    <row r="5830" spans="1:6" x14ac:dyDescent="0.25">
      <c r="A5830" s="105" t="s">
        <v>23</v>
      </c>
      <c r="B5830" s="102">
        <v>44135</v>
      </c>
      <c r="C5830" s="4">
        <v>1718</v>
      </c>
      <c r="D5830" s="21">
        <f t="shared" si="520"/>
        <v>106348</v>
      </c>
      <c r="E5830" s="4">
        <f>5+11</f>
        <v>16</v>
      </c>
      <c r="F5830" s="95">
        <f t="shared" si="519"/>
        <v>1297</v>
      </c>
    </row>
    <row r="5831" spans="1:6" x14ac:dyDescent="0.25">
      <c r="A5831" s="105" t="s">
        <v>39</v>
      </c>
      <c r="B5831" s="102">
        <v>44135</v>
      </c>
      <c r="C5831" s="4">
        <v>221</v>
      </c>
      <c r="D5831" s="21">
        <f t="shared" si="520"/>
        <v>9799</v>
      </c>
      <c r="E5831" s="4">
        <f>3</f>
        <v>3</v>
      </c>
      <c r="F5831" s="95">
        <f t="shared" si="519"/>
        <v>132</v>
      </c>
    </row>
    <row r="5832" spans="1:6" x14ac:dyDescent="0.25">
      <c r="A5832" s="105" t="s">
        <v>40</v>
      </c>
      <c r="B5832" s="102">
        <v>44135</v>
      </c>
      <c r="C5832" s="4">
        <v>189</v>
      </c>
      <c r="D5832" s="21">
        <f t="shared" si="520"/>
        <v>11376</v>
      </c>
      <c r="E5832" s="4">
        <f>1</f>
        <v>1</v>
      </c>
      <c r="F5832" s="95">
        <f t="shared" si="519"/>
        <v>148</v>
      </c>
    </row>
    <row r="5833" spans="1:6" ht="15.75" thickBot="1" x14ac:dyDescent="0.3">
      <c r="A5833" s="106" t="s">
        <v>41</v>
      </c>
      <c r="B5833" s="109">
        <v>44135</v>
      </c>
      <c r="C5833" s="37">
        <v>729</v>
      </c>
      <c r="D5833" s="98">
        <f>C5833+D5809</f>
        <v>49523</v>
      </c>
      <c r="E5833" s="37">
        <f>3+3</f>
        <v>6</v>
      </c>
      <c r="F5833" s="96">
        <f t="shared" si="519"/>
        <v>772</v>
      </c>
    </row>
    <row r="5834" spans="1:6" x14ac:dyDescent="0.25">
      <c r="A5834" s="45" t="s">
        <v>17</v>
      </c>
      <c r="B5834" s="102">
        <v>44136</v>
      </c>
      <c r="C5834" s="31">
        <v>1574</v>
      </c>
      <c r="D5834" s="97">
        <f t="shared" ref="D5834:D5897" si="521">C5834+D5810</f>
        <v>550939</v>
      </c>
      <c r="E5834" s="31">
        <v>41</v>
      </c>
      <c r="F5834" s="94">
        <f t="shared" si="519"/>
        <v>17652</v>
      </c>
    </row>
    <row r="5835" spans="1:6" x14ac:dyDescent="0.25">
      <c r="A5835" s="105" t="s">
        <v>44</v>
      </c>
      <c r="B5835" s="102">
        <v>44136</v>
      </c>
      <c r="C5835" s="4">
        <v>258</v>
      </c>
      <c r="D5835" s="21">
        <f t="shared" si="521"/>
        <v>147459</v>
      </c>
      <c r="E5835" s="4">
        <v>41</v>
      </c>
      <c r="F5835" s="95">
        <f t="shared" si="519"/>
        <v>4796</v>
      </c>
    </row>
    <row r="5836" spans="1:6" x14ac:dyDescent="0.25">
      <c r="A5836" s="105" t="s">
        <v>29</v>
      </c>
      <c r="B5836" s="102">
        <v>44136</v>
      </c>
      <c r="C5836" s="4">
        <v>39</v>
      </c>
      <c r="D5836" s="21">
        <f t="shared" si="521"/>
        <v>935</v>
      </c>
      <c r="F5836" s="95">
        <f t="shared" si="519"/>
        <v>0</v>
      </c>
    </row>
    <row r="5837" spans="1:6" x14ac:dyDescent="0.25">
      <c r="A5837" s="105" t="s">
        <v>16</v>
      </c>
      <c r="B5837" s="102">
        <v>44136</v>
      </c>
      <c r="C5837" s="4">
        <v>141</v>
      </c>
      <c r="D5837" s="21">
        <f t="shared" si="521"/>
        <v>14191</v>
      </c>
      <c r="E5837" s="4">
        <v>5</v>
      </c>
      <c r="F5837" s="95">
        <f t="shared" si="519"/>
        <v>432</v>
      </c>
    </row>
    <row r="5838" spans="1:6" x14ac:dyDescent="0.25">
      <c r="A5838" s="105" t="s">
        <v>30</v>
      </c>
      <c r="B5838" s="102">
        <v>44136</v>
      </c>
      <c r="C5838" s="4">
        <v>93</v>
      </c>
      <c r="D5838" s="21">
        <f t="shared" si="521"/>
        <v>14475</v>
      </c>
      <c r="E5838" s="4">
        <v>1</v>
      </c>
      <c r="F5838" s="95">
        <f t="shared" si="519"/>
        <v>249</v>
      </c>
    </row>
    <row r="5839" spans="1:6" x14ac:dyDescent="0.25">
      <c r="A5839" s="105" t="s">
        <v>21</v>
      </c>
      <c r="B5839" s="102">
        <v>44136</v>
      </c>
      <c r="C5839" s="4">
        <v>903</v>
      </c>
      <c r="D5839" s="21">
        <f t="shared" si="521"/>
        <v>86318</v>
      </c>
      <c r="E5839" s="4">
        <v>18</v>
      </c>
      <c r="F5839" s="95">
        <f t="shared" si="519"/>
        <v>1309</v>
      </c>
    </row>
    <row r="5840" spans="1:6" x14ac:dyDescent="0.25">
      <c r="A5840" s="105" t="s">
        <v>31</v>
      </c>
      <c r="B5840" s="102">
        <v>44136</v>
      </c>
      <c r="C5840" s="4">
        <v>4</v>
      </c>
      <c r="D5840" s="21">
        <f t="shared" si="521"/>
        <v>2553</v>
      </c>
      <c r="F5840" s="95">
        <f t="shared" si="519"/>
        <v>47</v>
      </c>
    </row>
    <row r="5841" spans="1:6" x14ac:dyDescent="0.25">
      <c r="A5841" s="105" t="s">
        <v>32</v>
      </c>
      <c r="B5841" s="102">
        <v>44136</v>
      </c>
      <c r="C5841" s="4">
        <v>198</v>
      </c>
      <c r="D5841" s="21">
        <f t="shared" si="521"/>
        <v>16195</v>
      </c>
      <c r="E5841" s="4">
        <v>1</v>
      </c>
      <c r="F5841" s="95">
        <f t="shared" si="519"/>
        <v>278</v>
      </c>
    </row>
    <row r="5842" spans="1:6" x14ac:dyDescent="0.25">
      <c r="A5842" s="105" t="s">
        <v>42</v>
      </c>
      <c r="B5842" s="102">
        <v>44136</v>
      </c>
      <c r="C5842" s="4">
        <v>-2</v>
      </c>
      <c r="D5842" s="21">
        <f t="shared" si="521"/>
        <v>151</v>
      </c>
      <c r="E5842" s="4">
        <v>1</v>
      </c>
      <c r="F5842" s="95">
        <f t="shared" si="519"/>
        <v>2</v>
      </c>
    </row>
    <row r="5843" spans="1:6" x14ac:dyDescent="0.25">
      <c r="A5843" s="105" t="s">
        <v>33</v>
      </c>
      <c r="B5843" s="102">
        <v>44136</v>
      </c>
      <c r="C5843" s="4">
        <v>28</v>
      </c>
      <c r="D5843" s="21">
        <f t="shared" si="521"/>
        <v>17884</v>
      </c>
      <c r="E5843" s="4">
        <v>1</v>
      </c>
      <c r="F5843" s="95">
        <f t="shared" si="519"/>
        <v>812</v>
      </c>
    </row>
    <row r="5844" spans="1:6" x14ac:dyDescent="0.25">
      <c r="A5844" s="105" t="s">
        <v>34</v>
      </c>
      <c r="B5844" s="102">
        <v>44136</v>
      </c>
      <c r="C5844" s="4">
        <v>82</v>
      </c>
      <c r="D5844" s="21">
        <f t="shared" si="521"/>
        <v>3361</v>
      </c>
      <c r="F5844" s="95">
        <f t="shared" si="519"/>
        <v>33</v>
      </c>
    </row>
    <row r="5845" spans="1:6" x14ac:dyDescent="0.25">
      <c r="A5845" s="105" t="s">
        <v>22</v>
      </c>
      <c r="B5845" s="102">
        <v>44136</v>
      </c>
      <c r="C5845" s="4">
        <v>35</v>
      </c>
      <c r="D5845" s="21">
        <f t="shared" si="521"/>
        <v>7604</v>
      </c>
      <c r="F5845" s="95">
        <f t="shared" si="519"/>
        <v>272</v>
      </c>
    </row>
    <row r="5846" spans="1:6" x14ac:dyDescent="0.25">
      <c r="A5846" s="105" t="s">
        <v>18</v>
      </c>
      <c r="B5846" s="102">
        <v>44136</v>
      </c>
      <c r="C5846" s="4">
        <v>207</v>
      </c>
      <c r="D5846" s="21">
        <f t="shared" si="521"/>
        <v>47280</v>
      </c>
      <c r="E5846" s="4">
        <v>1</v>
      </c>
      <c r="F5846" s="95">
        <f t="shared" si="519"/>
        <v>779</v>
      </c>
    </row>
    <row r="5847" spans="1:6" x14ac:dyDescent="0.25">
      <c r="A5847" s="105" t="s">
        <v>24</v>
      </c>
      <c r="B5847" s="102">
        <v>44136</v>
      </c>
      <c r="C5847" s="4">
        <v>17</v>
      </c>
      <c r="D5847" s="21">
        <f t="shared" si="521"/>
        <v>278</v>
      </c>
      <c r="F5847" s="95">
        <f t="shared" si="519"/>
        <v>5</v>
      </c>
    </row>
    <row r="5848" spans="1:6" x14ac:dyDescent="0.25">
      <c r="A5848" s="105" t="s">
        <v>20</v>
      </c>
      <c r="B5848" s="102">
        <v>44136</v>
      </c>
      <c r="C5848" s="4">
        <v>256</v>
      </c>
      <c r="D5848" s="21">
        <f t="shared" si="521"/>
        <v>22494</v>
      </c>
      <c r="E5848" s="4">
        <v>1</v>
      </c>
      <c r="F5848" s="95">
        <f t="shared" si="519"/>
        <v>406</v>
      </c>
    </row>
    <row r="5849" spans="1:6" x14ac:dyDescent="0.25">
      <c r="A5849" s="105" t="s">
        <v>19</v>
      </c>
      <c r="B5849" s="102">
        <v>44136</v>
      </c>
      <c r="C5849" s="4">
        <v>144</v>
      </c>
      <c r="D5849" s="21">
        <f t="shared" si="521"/>
        <v>24137</v>
      </c>
      <c r="E5849" s="4">
        <v>2</v>
      </c>
      <c r="F5849" s="95">
        <f t="shared" si="519"/>
        <v>614</v>
      </c>
    </row>
    <row r="5850" spans="1:6" x14ac:dyDescent="0.25">
      <c r="A5850" s="105" t="s">
        <v>35</v>
      </c>
      <c r="B5850" s="102">
        <v>44136</v>
      </c>
      <c r="C5850" s="4">
        <v>139</v>
      </c>
      <c r="D5850" s="21">
        <f t="shared" si="521"/>
        <v>18885</v>
      </c>
      <c r="E5850" s="4">
        <v>6</v>
      </c>
      <c r="F5850" s="95">
        <f t="shared" si="519"/>
        <v>789</v>
      </c>
    </row>
    <row r="5851" spans="1:6" x14ac:dyDescent="0.25">
      <c r="A5851" s="105" t="s">
        <v>36</v>
      </c>
      <c r="B5851" s="102">
        <v>44136</v>
      </c>
      <c r="C5851" s="4">
        <v>59</v>
      </c>
      <c r="D5851" s="21">
        <f t="shared" si="521"/>
        <v>2425</v>
      </c>
      <c r="F5851" s="95">
        <f t="shared" si="519"/>
        <v>101</v>
      </c>
    </row>
    <row r="5852" spans="1:6" x14ac:dyDescent="0.25">
      <c r="A5852" s="105" t="s">
        <v>37</v>
      </c>
      <c r="B5852" s="102">
        <v>44136</v>
      </c>
      <c r="C5852" s="4">
        <v>248</v>
      </c>
      <c r="D5852" s="21">
        <f t="shared" si="521"/>
        <v>7229</v>
      </c>
      <c r="F5852" s="95">
        <f t="shared" si="519"/>
        <v>54</v>
      </c>
    </row>
    <row r="5853" spans="1:6" x14ac:dyDescent="0.25">
      <c r="A5853" s="105" t="s">
        <v>38</v>
      </c>
      <c r="B5853" s="102">
        <v>44136</v>
      </c>
      <c r="C5853" s="4">
        <v>176</v>
      </c>
      <c r="D5853" s="21">
        <f t="shared" si="521"/>
        <v>9684</v>
      </c>
      <c r="E5853" s="4">
        <v>2</v>
      </c>
      <c r="F5853" s="95">
        <f t="shared" si="519"/>
        <v>135</v>
      </c>
    </row>
    <row r="5854" spans="1:6" x14ac:dyDescent="0.25">
      <c r="A5854" s="105" t="s">
        <v>23</v>
      </c>
      <c r="B5854" s="102">
        <v>44136</v>
      </c>
      <c r="C5854" s="4">
        <v>1170</v>
      </c>
      <c r="D5854" s="21">
        <f t="shared" si="521"/>
        <v>107518</v>
      </c>
      <c r="E5854" s="4">
        <v>17</v>
      </c>
      <c r="F5854" s="95">
        <f t="shared" si="519"/>
        <v>1314</v>
      </c>
    </row>
    <row r="5855" spans="1:6" x14ac:dyDescent="0.25">
      <c r="A5855" s="105" t="s">
        <v>39</v>
      </c>
      <c r="B5855" s="102">
        <v>44136</v>
      </c>
      <c r="C5855" s="4">
        <v>182</v>
      </c>
      <c r="D5855" s="21">
        <f t="shared" si="521"/>
        <v>9981</v>
      </c>
      <c r="E5855" s="4">
        <v>1</v>
      </c>
      <c r="F5855" s="95">
        <f t="shared" si="519"/>
        <v>133</v>
      </c>
    </row>
    <row r="5856" spans="1:6" x14ac:dyDescent="0.25">
      <c r="A5856" s="105" t="s">
        <v>40</v>
      </c>
      <c r="B5856" s="102">
        <v>44136</v>
      </c>
      <c r="C5856" s="4">
        <v>205</v>
      </c>
      <c r="D5856" s="21">
        <f t="shared" si="521"/>
        <v>11581</v>
      </c>
      <c r="E5856" s="4">
        <v>2</v>
      </c>
      <c r="F5856" s="95">
        <f t="shared" si="519"/>
        <v>150</v>
      </c>
    </row>
    <row r="5857" spans="1:6" ht="15.75" thickBot="1" x14ac:dyDescent="0.3">
      <c r="A5857" s="106" t="s">
        <v>41</v>
      </c>
      <c r="B5857" s="102">
        <v>44136</v>
      </c>
      <c r="C5857" s="4">
        <v>453</v>
      </c>
      <c r="D5857" s="98">
        <f>C5857+D5833</f>
        <v>49976</v>
      </c>
      <c r="F5857" s="96">
        <f t="shared" si="519"/>
        <v>772</v>
      </c>
    </row>
    <row r="5858" spans="1:6" x14ac:dyDescent="0.25">
      <c r="A5858" s="45" t="s">
        <v>17</v>
      </c>
      <c r="B5858" s="102">
        <v>44137</v>
      </c>
      <c r="C5858" s="4">
        <v>3022</v>
      </c>
      <c r="D5858" s="97">
        <f t="shared" si="521"/>
        <v>553961</v>
      </c>
      <c r="E5858" s="4">
        <v>203</v>
      </c>
      <c r="F5858" s="94">
        <f t="shared" si="519"/>
        <v>17855</v>
      </c>
    </row>
    <row r="5859" spans="1:6" x14ac:dyDescent="0.25">
      <c r="A5859" s="105" t="s">
        <v>44</v>
      </c>
      <c r="B5859" s="102">
        <v>44137</v>
      </c>
      <c r="C5859" s="4">
        <v>425</v>
      </c>
      <c r="D5859" s="21">
        <f t="shared" si="521"/>
        <v>147884</v>
      </c>
      <c r="E5859" s="4">
        <v>35</v>
      </c>
      <c r="F5859" s="95">
        <f t="shared" si="519"/>
        <v>4831</v>
      </c>
    </row>
    <row r="5860" spans="1:6" x14ac:dyDescent="0.25">
      <c r="A5860" s="105" t="s">
        <v>29</v>
      </c>
      <c r="B5860" s="102">
        <v>44137</v>
      </c>
      <c r="C5860" s="4">
        <v>45</v>
      </c>
      <c r="D5860" s="21">
        <f t="shared" si="521"/>
        <v>980</v>
      </c>
      <c r="F5860" s="95">
        <f t="shared" si="519"/>
        <v>0</v>
      </c>
    </row>
    <row r="5861" spans="1:6" x14ac:dyDescent="0.25">
      <c r="A5861" s="105" t="s">
        <v>16</v>
      </c>
      <c r="B5861" s="102">
        <v>44137</v>
      </c>
      <c r="C5861" s="4">
        <v>73</v>
      </c>
      <c r="D5861" s="21">
        <f t="shared" si="521"/>
        <v>14264</v>
      </c>
      <c r="E5861" s="4">
        <v>2</v>
      </c>
      <c r="F5861" s="95">
        <f t="shared" si="519"/>
        <v>434</v>
      </c>
    </row>
    <row r="5862" spans="1:6" x14ac:dyDescent="0.25">
      <c r="A5862" s="105" t="s">
        <v>30</v>
      </c>
      <c r="B5862" s="102">
        <v>44137</v>
      </c>
      <c r="C5862" s="4">
        <v>316</v>
      </c>
      <c r="D5862" s="21">
        <f t="shared" si="521"/>
        <v>14791</v>
      </c>
      <c r="E5862" s="4">
        <v>5</v>
      </c>
      <c r="F5862" s="95">
        <f t="shared" si="519"/>
        <v>254</v>
      </c>
    </row>
    <row r="5863" spans="1:6" x14ac:dyDescent="0.25">
      <c r="A5863" s="105" t="s">
        <v>21</v>
      </c>
      <c r="B5863" s="102">
        <v>44137</v>
      </c>
      <c r="C5863" s="4">
        <v>633</v>
      </c>
      <c r="D5863" s="21">
        <f t="shared" si="521"/>
        <v>86951</v>
      </c>
      <c r="E5863" s="4">
        <v>27</v>
      </c>
      <c r="F5863" s="95">
        <f t="shared" si="519"/>
        <v>1336</v>
      </c>
    </row>
    <row r="5864" spans="1:6" x14ac:dyDescent="0.25">
      <c r="A5864" s="105" t="s">
        <v>31</v>
      </c>
      <c r="B5864" s="102">
        <v>44137</v>
      </c>
      <c r="C5864" s="4">
        <v>40</v>
      </c>
      <c r="D5864" s="21">
        <f t="shared" si="521"/>
        <v>2593</v>
      </c>
      <c r="F5864" s="95">
        <f t="shared" si="519"/>
        <v>47</v>
      </c>
    </row>
    <row r="5865" spans="1:6" x14ac:dyDescent="0.25">
      <c r="A5865" s="105" t="s">
        <v>32</v>
      </c>
      <c r="B5865" s="102">
        <v>44137</v>
      </c>
      <c r="C5865" s="4">
        <v>231</v>
      </c>
      <c r="D5865" s="21">
        <f t="shared" si="521"/>
        <v>16426</v>
      </c>
      <c r="E5865" s="4">
        <v>9</v>
      </c>
      <c r="F5865" s="95">
        <f t="shared" si="519"/>
        <v>287</v>
      </c>
    </row>
    <row r="5866" spans="1:6" x14ac:dyDescent="0.25">
      <c r="A5866" s="105" t="s">
        <v>42</v>
      </c>
      <c r="B5866" s="102">
        <v>44137</v>
      </c>
      <c r="C5866" s="4">
        <v>7</v>
      </c>
      <c r="D5866" s="21">
        <f t="shared" si="521"/>
        <v>158</v>
      </c>
      <c r="F5866" s="95">
        <f t="shared" ref="F5866:F5930" si="522">E5866+F5842</f>
        <v>2</v>
      </c>
    </row>
    <row r="5867" spans="1:6" x14ac:dyDescent="0.25">
      <c r="A5867" s="105" t="s">
        <v>33</v>
      </c>
      <c r="B5867" s="102">
        <v>44137</v>
      </c>
      <c r="C5867" s="4">
        <v>34</v>
      </c>
      <c r="D5867" s="21">
        <f t="shared" si="521"/>
        <v>17918</v>
      </c>
      <c r="E5867" s="4">
        <v>3</v>
      </c>
      <c r="F5867" s="95">
        <f t="shared" si="522"/>
        <v>815</v>
      </c>
    </row>
    <row r="5868" spans="1:6" x14ac:dyDescent="0.25">
      <c r="A5868" s="105" t="s">
        <v>34</v>
      </c>
      <c r="B5868" s="102">
        <v>44137</v>
      </c>
      <c r="C5868" s="4">
        <v>119</v>
      </c>
      <c r="D5868" s="21">
        <f t="shared" si="521"/>
        <v>3480</v>
      </c>
      <c r="E5868" s="4">
        <v>3</v>
      </c>
      <c r="F5868" s="95">
        <f t="shared" si="522"/>
        <v>36</v>
      </c>
    </row>
    <row r="5869" spans="1:6" x14ac:dyDescent="0.25">
      <c r="A5869" s="105" t="s">
        <v>22</v>
      </c>
      <c r="B5869" s="102">
        <v>44137</v>
      </c>
      <c r="C5869" s="4">
        <v>36</v>
      </c>
      <c r="D5869" s="21">
        <f t="shared" si="521"/>
        <v>7640</v>
      </c>
      <c r="E5869" s="4">
        <v>2</v>
      </c>
      <c r="F5869" s="95">
        <f t="shared" si="522"/>
        <v>274</v>
      </c>
    </row>
    <row r="5870" spans="1:6" x14ac:dyDescent="0.25">
      <c r="A5870" s="105" t="s">
        <v>18</v>
      </c>
      <c r="B5870" s="102">
        <v>44137</v>
      </c>
      <c r="C5870" s="4">
        <v>513</v>
      </c>
      <c r="D5870" s="21">
        <f t="shared" si="521"/>
        <v>47793</v>
      </c>
      <c r="E5870" s="4">
        <v>19</v>
      </c>
      <c r="F5870" s="95">
        <f t="shared" si="522"/>
        <v>798</v>
      </c>
    </row>
    <row r="5871" spans="1:6" x14ac:dyDescent="0.25">
      <c r="A5871" s="105" t="s">
        <v>24</v>
      </c>
      <c r="B5871" s="102">
        <v>44137</v>
      </c>
      <c r="C5871" s="4">
        <v>4</v>
      </c>
      <c r="D5871" s="21">
        <f t="shared" si="521"/>
        <v>282</v>
      </c>
      <c r="F5871" s="95">
        <f t="shared" si="522"/>
        <v>5</v>
      </c>
    </row>
    <row r="5872" spans="1:6" x14ac:dyDescent="0.25">
      <c r="A5872" s="105" t="s">
        <v>20</v>
      </c>
      <c r="B5872" s="102">
        <v>44137</v>
      </c>
      <c r="C5872" s="4">
        <v>250</v>
      </c>
      <c r="D5872" s="21">
        <f t="shared" si="521"/>
        <v>22744</v>
      </c>
      <c r="E5872" s="4">
        <v>2</v>
      </c>
      <c r="F5872" s="95">
        <f t="shared" si="522"/>
        <v>408</v>
      </c>
    </row>
    <row r="5873" spans="1:6" x14ac:dyDescent="0.25">
      <c r="A5873" s="105" t="s">
        <v>19</v>
      </c>
      <c r="B5873" s="102">
        <v>44137</v>
      </c>
      <c r="C5873" s="4">
        <v>275</v>
      </c>
      <c r="D5873" s="21">
        <f t="shared" si="521"/>
        <v>24412</v>
      </c>
      <c r="E5873" s="4">
        <v>17</v>
      </c>
      <c r="F5873" s="95">
        <f t="shared" si="522"/>
        <v>631</v>
      </c>
    </row>
    <row r="5874" spans="1:6" x14ac:dyDescent="0.25">
      <c r="A5874" s="105" t="s">
        <v>35</v>
      </c>
      <c r="B5874" s="102">
        <v>44137</v>
      </c>
      <c r="C5874" s="4">
        <v>64</v>
      </c>
      <c r="D5874" s="21">
        <f t="shared" si="521"/>
        <v>18949</v>
      </c>
      <c r="E5874" s="4">
        <v>4</v>
      </c>
      <c r="F5874" s="95">
        <f t="shared" si="522"/>
        <v>793</v>
      </c>
    </row>
    <row r="5875" spans="1:6" x14ac:dyDescent="0.25">
      <c r="A5875" s="105" t="s">
        <v>36</v>
      </c>
      <c r="B5875" s="102">
        <v>44137</v>
      </c>
      <c r="C5875" s="4">
        <v>304</v>
      </c>
      <c r="D5875" s="21">
        <f t="shared" si="521"/>
        <v>2729</v>
      </c>
      <c r="F5875" s="95">
        <f t="shared" si="522"/>
        <v>101</v>
      </c>
    </row>
    <row r="5876" spans="1:6" x14ac:dyDescent="0.25">
      <c r="A5876" s="105" t="s">
        <v>37</v>
      </c>
      <c r="B5876" s="102">
        <v>44137</v>
      </c>
      <c r="C5876" s="4">
        <v>380</v>
      </c>
      <c r="D5876" s="21">
        <f t="shared" si="521"/>
        <v>7609</v>
      </c>
      <c r="E5876" s="4">
        <v>17</v>
      </c>
      <c r="F5876" s="95">
        <f t="shared" si="522"/>
        <v>71</v>
      </c>
    </row>
    <row r="5877" spans="1:6" x14ac:dyDescent="0.25">
      <c r="A5877" s="105" t="s">
        <v>38</v>
      </c>
      <c r="B5877" s="102">
        <v>44137</v>
      </c>
      <c r="C5877" s="4">
        <v>131</v>
      </c>
      <c r="D5877" s="21">
        <f t="shared" si="521"/>
        <v>9815</v>
      </c>
      <c r="E5877" s="4">
        <v>6</v>
      </c>
      <c r="F5877" s="95">
        <f t="shared" si="522"/>
        <v>141</v>
      </c>
    </row>
    <row r="5878" spans="1:6" x14ac:dyDescent="0.25">
      <c r="A5878" s="105" t="s">
        <v>23</v>
      </c>
      <c r="B5878" s="102">
        <v>44137</v>
      </c>
      <c r="C5878" s="4">
        <v>1793</v>
      </c>
      <c r="D5878" s="21">
        <f t="shared" si="521"/>
        <v>109311</v>
      </c>
      <c r="E5878" s="4">
        <v>75</v>
      </c>
      <c r="F5878" s="95">
        <f t="shared" si="522"/>
        <v>1389</v>
      </c>
    </row>
    <row r="5879" spans="1:6" x14ac:dyDescent="0.25">
      <c r="A5879" s="105" t="s">
        <v>39</v>
      </c>
      <c r="B5879" s="102">
        <v>44137</v>
      </c>
      <c r="C5879" s="4">
        <v>111</v>
      </c>
      <c r="D5879" s="21">
        <f t="shared" si="521"/>
        <v>10092</v>
      </c>
      <c r="E5879" s="4">
        <v>1</v>
      </c>
      <c r="F5879" s="95">
        <f t="shared" si="522"/>
        <v>134</v>
      </c>
    </row>
    <row r="5880" spans="1:6" x14ac:dyDescent="0.25">
      <c r="A5880" s="105" t="s">
        <v>40</v>
      </c>
      <c r="B5880" s="102">
        <v>44137</v>
      </c>
      <c r="C5880" s="4">
        <v>127</v>
      </c>
      <c r="D5880" s="21">
        <f t="shared" si="521"/>
        <v>11708</v>
      </c>
      <c r="E5880" s="4">
        <v>7</v>
      </c>
      <c r="F5880" s="95">
        <f t="shared" si="522"/>
        <v>157</v>
      </c>
    </row>
    <row r="5881" spans="1:6" ht="15.75" thickBot="1" x14ac:dyDescent="0.3">
      <c r="A5881" s="106" t="s">
        <v>41</v>
      </c>
      <c r="B5881" s="102">
        <v>44137</v>
      </c>
      <c r="C5881" s="4">
        <v>666</v>
      </c>
      <c r="D5881" s="98">
        <f>C5881+D5857</f>
        <v>50642</v>
      </c>
      <c r="E5881" s="4">
        <v>41</v>
      </c>
      <c r="F5881" s="96">
        <f t="shared" si="522"/>
        <v>813</v>
      </c>
    </row>
    <row r="5882" spans="1:6" x14ac:dyDescent="0.25">
      <c r="A5882" s="45" t="s">
        <v>17</v>
      </c>
      <c r="B5882" s="102">
        <v>44138</v>
      </c>
      <c r="C5882" s="4">
        <v>3615</v>
      </c>
      <c r="D5882" s="97">
        <f t="shared" si="521"/>
        <v>557576</v>
      </c>
      <c r="E5882" s="4">
        <v>188</v>
      </c>
      <c r="F5882" s="94">
        <f t="shared" si="522"/>
        <v>18043</v>
      </c>
    </row>
    <row r="5883" spans="1:6" x14ac:dyDescent="0.25">
      <c r="A5883" s="105" t="s">
        <v>44</v>
      </c>
      <c r="B5883" s="102">
        <v>44138</v>
      </c>
      <c r="C5883" s="4">
        <v>460</v>
      </c>
      <c r="D5883" s="21">
        <f t="shared" si="521"/>
        <v>148344</v>
      </c>
      <c r="E5883" s="4">
        <v>25</v>
      </c>
      <c r="F5883" s="95">
        <f t="shared" si="522"/>
        <v>4856</v>
      </c>
    </row>
    <row r="5884" spans="1:6" x14ac:dyDescent="0.25">
      <c r="A5884" s="105" t="s">
        <v>29</v>
      </c>
      <c r="B5884" s="102">
        <v>44138</v>
      </c>
      <c r="C5884" s="4">
        <v>31</v>
      </c>
      <c r="D5884" s="21">
        <f t="shared" si="521"/>
        <v>1011</v>
      </c>
      <c r="F5884" s="95">
        <f t="shared" si="522"/>
        <v>0</v>
      </c>
    </row>
    <row r="5885" spans="1:6" x14ac:dyDescent="0.25">
      <c r="A5885" s="105" t="s">
        <v>16</v>
      </c>
      <c r="B5885" s="102">
        <v>44138</v>
      </c>
      <c r="C5885" s="4">
        <v>131</v>
      </c>
      <c r="D5885" s="21">
        <f t="shared" si="521"/>
        <v>14395</v>
      </c>
      <c r="E5885" s="4">
        <v>7</v>
      </c>
      <c r="F5885" s="95">
        <f t="shared" si="522"/>
        <v>441</v>
      </c>
    </row>
    <row r="5886" spans="1:6" x14ac:dyDescent="0.25">
      <c r="A5886" s="105" t="s">
        <v>30</v>
      </c>
      <c r="B5886" s="102">
        <v>44138</v>
      </c>
      <c r="C5886" s="4">
        <v>421</v>
      </c>
      <c r="D5886" s="21">
        <f t="shared" si="521"/>
        <v>15212</v>
      </c>
      <c r="F5886" s="95">
        <f t="shared" si="522"/>
        <v>254</v>
      </c>
    </row>
    <row r="5887" spans="1:6" x14ac:dyDescent="0.25">
      <c r="A5887" s="105" t="s">
        <v>21</v>
      </c>
      <c r="B5887" s="102">
        <v>44138</v>
      </c>
      <c r="C5887" s="4">
        <v>1339</v>
      </c>
      <c r="D5887" s="21">
        <f t="shared" si="521"/>
        <v>88290</v>
      </c>
      <c r="E5887" s="4">
        <v>22</v>
      </c>
      <c r="F5887" s="95">
        <f t="shared" si="522"/>
        <v>1358</v>
      </c>
    </row>
    <row r="5888" spans="1:6" x14ac:dyDescent="0.25">
      <c r="A5888" s="105" t="s">
        <v>31</v>
      </c>
      <c r="B5888" s="102">
        <v>44138</v>
      </c>
      <c r="C5888" s="4">
        <v>26</v>
      </c>
      <c r="D5888" s="21">
        <f t="shared" si="521"/>
        <v>2619</v>
      </c>
      <c r="F5888" s="95">
        <f t="shared" si="522"/>
        <v>47</v>
      </c>
    </row>
    <row r="5889" spans="1:6" x14ac:dyDescent="0.25">
      <c r="A5889" s="105" t="s">
        <v>32</v>
      </c>
      <c r="B5889" s="102">
        <v>44138</v>
      </c>
      <c r="C5889" s="4">
        <v>258</v>
      </c>
      <c r="D5889" s="21">
        <f t="shared" si="521"/>
        <v>16684</v>
      </c>
      <c r="E5889" s="4">
        <v>7</v>
      </c>
      <c r="F5889" s="95">
        <f t="shared" si="522"/>
        <v>294</v>
      </c>
    </row>
    <row r="5890" spans="1:6" x14ac:dyDescent="0.25">
      <c r="A5890" s="105" t="s">
        <v>42</v>
      </c>
      <c r="B5890" s="102">
        <v>44138</v>
      </c>
      <c r="C5890" s="4">
        <v>0</v>
      </c>
      <c r="D5890" s="21">
        <f t="shared" si="521"/>
        <v>158</v>
      </c>
      <c r="F5890" s="95">
        <f t="shared" si="522"/>
        <v>2</v>
      </c>
    </row>
    <row r="5891" spans="1:6" x14ac:dyDescent="0.25">
      <c r="A5891" s="105" t="s">
        <v>33</v>
      </c>
      <c r="B5891" s="102">
        <v>44138</v>
      </c>
      <c r="C5891" s="4">
        <v>22</v>
      </c>
      <c r="D5891" s="21">
        <f t="shared" si="521"/>
        <v>17940</v>
      </c>
      <c r="E5891" s="4">
        <v>2</v>
      </c>
      <c r="F5891" s="95">
        <f t="shared" si="522"/>
        <v>817</v>
      </c>
    </row>
    <row r="5892" spans="1:6" x14ac:dyDescent="0.25">
      <c r="A5892" s="105" t="s">
        <v>34</v>
      </c>
      <c r="B5892" s="102">
        <v>44138</v>
      </c>
      <c r="C5892" s="4">
        <v>84</v>
      </c>
      <c r="D5892" s="21">
        <f t="shared" si="521"/>
        <v>3564</v>
      </c>
      <c r="F5892" s="95">
        <f t="shared" si="522"/>
        <v>36</v>
      </c>
    </row>
    <row r="5893" spans="1:6" x14ac:dyDescent="0.25">
      <c r="A5893" s="105" t="s">
        <v>22</v>
      </c>
      <c r="B5893" s="102">
        <v>44138</v>
      </c>
      <c r="C5893" s="4">
        <v>42</v>
      </c>
      <c r="D5893" s="21">
        <f t="shared" si="521"/>
        <v>7682</v>
      </c>
      <c r="E5893" s="4">
        <v>9</v>
      </c>
      <c r="F5893" s="95">
        <f t="shared" si="522"/>
        <v>283</v>
      </c>
    </row>
    <row r="5894" spans="1:6" x14ac:dyDescent="0.25">
      <c r="A5894" s="105" t="s">
        <v>18</v>
      </c>
      <c r="B5894" s="102">
        <v>44138</v>
      </c>
      <c r="C5894" s="4">
        <v>515</v>
      </c>
      <c r="D5894" s="21">
        <f t="shared" si="521"/>
        <v>48308</v>
      </c>
      <c r="E5894" s="4">
        <v>15</v>
      </c>
      <c r="F5894" s="95">
        <f t="shared" si="522"/>
        <v>813</v>
      </c>
    </row>
    <row r="5895" spans="1:6" x14ac:dyDescent="0.25">
      <c r="A5895" s="105" t="s">
        <v>24</v>
      </c>
      <c r="B5895" s="102">
        <v>44138</v>
      </c>
      <c r="C5895" s="4">
        <v>16</v>
      </c>
      <c r="D5895" s="21">
        <f t="shared" si="521"/>
        <v>298</v>
      </c>
      <c r="E5895" s="4">
        <v>1</v>
      </c>
      <c r="F5895" s="95">
        <f t="shared" si="522"/>
        <v>6</v>
      </c>
    </row>
    <row r="5896" spans="1:6" x14ac:dyDescent="0.25">
      <c r="A5896" s="105" t="s">
        <v>20</v>
      </c>
      <c r="B5896" s="102">
        <v>44138</v>
      </c>
      <c r="C5896" s="4">
        <v>934</v>
      </c>
      <c r="D5896" s="21">
        <f t="shared" si="521"/>
        <v>23678</v>
      </c>
      <c r="E5896" s="4">
        <v>5</v>
      </c>
      <c r="F5896" s="95">
        <f t="shared" si="522"/>
        <v>413</v>
      </c>
    </row>
    <row r="5897" spans="1:6" x14ac:dyDescent="0.25">
      <c r="A5897" s="105" t="s">
        <v>19</v>
      </c>
      <c r="B5897" s="102">
        <v>44138</v>
      </c>
      <c r="C5897" s="4">
        <v>395</v>
      </c>
      <c r="D5897" s="21">
        <f t="shared" si="521"/>
        <v>24807</v>
      </c>
      <c r="E5897" s="4">
        <v>3</v>
      </c>
      <c r="F5897" s="95">
        <f t="shared" si="522"/>
        <v>634</v>
      </c>
    </row>
    <row r="5898" spans="1:6" x14ac:dyDescent="0.25">
      <c r="A5898" s="105" t="s">
        <v>35</v>
      </c>
      <c r="B5898" s="102">
        <v>44138</v>
      </c>
      <c r="C5898" s="4">
        <v>110</v>
      </c>
      <c r="D5898" s="21">
        <f t="shared" ref="D5898:D5904" si="523">C5898+D5874</f>
        <v>19059</v>
      </c>
      <c r="E5898" s="4">
        <v>7</v>
      </c>
      <c r="F5898" s="95">
        <f t="shared" si="522"/>
        <v>800</v>
      </c>
    </row>
    <row r="5899" spans="1:6" x14ac:dyDescent="0.25">
      <c r="A5899" s="105" t="s">
        <v>36</v>
      </c>
      <c r="B5899" s="102">
        <v>44138</v>
      </c>
      <c r="C5899" s="4">
        <v>164</v>
      </c>
      <c r="D5899" s="21">
        <f t="shared" si="523"/>
        <v>2893</v>
      </c>
      <c r="E5899" s="4">
        <v>1</v>
      </c>
      <c r="F5899" s="95">
        <f t="shared" si="522"/>
        <v>102</v>
      </c>
    </row>
    <row r="5900" spans="1:6" x14ac:dyDescent="0.25">
      <c r="A5900" s="105" t="s">
        <v>37</v>
      </c>
      <c r="B5900" s="102">
        <v>44138</v>
      </c>
      <c r="C5900" s="4">
        <v>247</v>
      </c>
      <c r="D5900" s="21">
        <f t="shared" si="523"/>
        <v>7856</v>
      </c>
      <c r="E5900" s="4">
        <v>21</v>
      </c>
      <c r="F5900" s="95">
        <f t="shared" si="522"/>
        <v>92</v>
      </c>
    </row>
    <row r="5901" spans="1:6" x14ac:dyDescent="0.25">
      <c r="A5901" s="105" t="s">
        <v>38</v>
      </c>
      <c r="B5901" s="102">
        <v>44138</v>
      </c>
      <c r="C5901" s="4">
        <v>250</v>
      </c>
      <c r="D5901" s="21">
        <f t="shared" si="523"/>
        <v>10065</v>
      </c>
      <c r="E5901" s="4">
        <v>6</v>
      </c>
      <c r="F5901" s="95">
        <f t="shared" si="522"/>
        <v>147</v>
      </c>
    </row>
    <row r="5902" spans="1:6" x14ac:dyDescent="0.25">
      <c r="A5902" s="105" t="s">
        <v>23</v>
      </c>
      <c r="B5902" s="102">
        <v>44138</v>
      </c>
      <c r="C5902" s="4">
        <v>1764</v>
      </c>
      <c r="D5902" s="21">
        <f t="shared" si="523"/>
        <v>111075</v>
      </c>
      <c r="E5902" s="4">
        <v>85</v>
      </c>
      <c r="F5902" s="95">
        <f t="shared" si="522"/>
        <v>1474</v>
      </c>
    </row>
    <row r="5903" spans="1:6" x14ac:dyDescent="0.25">
      <c r="A5903" s="105" t="s">
        <v>39</v>
      </c>
      <c r="B5903" s="102">
        <v>44138</v>
      </c>
      <c r="C5903" s="4">
        <v>82</v>
      </c>
      <c r="D5903" s="21">
        <f t="shared" si="523"/>
        <v>10174</v>
      </c>
      <c r="E5903" s="4">
        <v>1</v>
      </c>
      <c r="F5903" s="95">
        <f t="shared" si="522"/>
        <v>135</v>
      </c>
    </row>
    <row r="5904" spans="1:6" x14ac:dyDescent="0.25">
      <c r="A5904" s="105" t="s">
        <v>40</v>
      </c>
      <c r="B5904" s="102">
        <v>44138</v>
      </c>
      <c r="C5904" s="4">
        <v>266</v>
      </c>
      <c r="D5904" s="21">
        <f t="shared" si="523"/>
        <v>11974</v>
      </c>
      <c r="E5904" s="4">
        <v>2</v>
      </c>
      <c r="F5904" s="95">
        <f t="shared" si="522"/>
        <v>159</v>
      </c>
    </row>
    <row r="5905" spans="1:6" ht="15.75" thickBot="1" x14ac:dyDescent="0.3">
      <c r="A5905" s="107" t="s">
        <v>41</v>
      </c>
      <c r="B5905" s="103">
        <v>44138</v>
      </c>
      <c r="C5905" s="30">
        <v>973</v>
      </c>
      <c r="D5905" s="59">
        <f>C5905+D5881</f>
        <v>51615</v>
      </c>
      <c r="E5905" s="30">
        <v>21</v>
      </c>
      <c r="F5905" s="104">
        <f t="shared" si="522"/>
        <v>834</v>
      </c>
    </row>
    <row r="5906" spans="1:6" x14ac:dyDescent="0.25">
      <c r="A5906" s="45" t="s">
        <v>17</v>
      </c>
      <c r="B5906" s="32">
        <v>44139</v>
      </c>
      <c r="C5906" s="18">
        <v>3123</v>
      </c>
      <c r="D5906" s="97">
        <f t="shared" ref="D5906:D5969" si="524">C5906+D5882</f>
        <v>560699</v>
      </c>
      <c r="E5906" s="18">
        <v>226</v>
      </c>
      <c r="F5906" s="94">
        <f t="shared" si="522"/>
        <v>18269</v>
      </c>
    </row>
    <row r="5907" spans="1:6" x14ac:dyDescent="0.25">
      <c r="A5907" s="105" t="s">
        <v>44</v>
      </c>
      <c r="B5907" s="102">
        <v>44139</v>
      </c>
      <c r="C5907" s="18">
        <v>476</v>
      </c>
      <c r="D5907" s="21">
        <f t="shared" si="524"/>
        <v>148820</v>
      </c>
      <c r="E5907" s="18">
        <v>20</v>
      </c>
      <c r="F5907" s="95">
        <f t="shared" si="522"/>
        <v>4876</v>
      </c>
    </row>
    <row r="5908" spans="1:6" x14ac:dyDescent="0.25">
      <c r="A5908" s="105" t="s">
        <v>29</v>
      </c>
      <c r="B5908" s="102">
        <v>44139</v>
      </c>
      <c r="C5908" s="18">
        <v>62</v>
      </c>
      <c r="D5908" s="21">
        <f t="shared" si="524"/>
        <v>1073</v>
      </c>
      <c r="E5908" s="18"/>
      <c r="F5908" s="95">
        <f t="shared" si="522"/>
        <v>0</v>
      </c>
    </row>
    <row r="5909" spans="1:6" x14ac:dyDescent="0.25">
      <c r="A5909" s="105" t="s">
        <v>16</v>
      </c>
      <c r="B5909" s="102">
        <v>44139</v>
      </c>
      <c r="C5909" s="18">
        <v>98</v>
      </c>
      <c r="D5909" s="21">
        <f t="shared" si="524"/>
        <v>14493</v>
      </c>
      <c r="E5909" s="18">
        <v>7</v>
      </c>
      <c r="F5909" s="95">
        <f t="shared" si="522"/>
        <v>448</v>
      </c>
    </row>
    <row r="5910" spans="1:6" x14ac:dyDescent="0.25">
      <c r="A5910" s="105" t="s">
        <v>30</v>
      </c>
      <c r="B5910" s="102">
        <v>44139</v>
      </c>
      <c r="C5910" s="18">
        <v>500</v>
      </c>
      <c r="D5910" s="21">
        <f t="shared" si="524"/>
        <v>15712</v>
      </c>
      <c r="E5910" s="18">
        <v>6</v>
      </c>
      <c r="F5910" s="95">
        <f t="shared" si="522"/>
        <v>260</v>
      </c>
    </row>
    <row r="5911" spans="1:6" x14ac:dyDescent="0.25">
      <c r="A5911" s="105" t="s">
        <v>21</v>
      </c>
      <c r="B5911" s="102">
        <v>44139</v>
      </c>
      <c r="C5911" s="18">
        <v>1196</v>
      </c>
      <c r="D5911" s="21">
        <f t="shared" si="524"/>
        <v>89486</v>
      </c>
      <c r="E5911" s="18">
        <v>37</v>
      </c>
      <c r="F5911" s="95">
        <f t="shared" si="522"/>
        <v>1395</v>
      </c>
    </row>
    <row r="5912" spans="1:6" x14ac:dyDescent="0.25">
      <c r="A5912" s="105" t="s">
        <v>31</v>
      </c>
      <c r="B5912" s="102">
        <v>44139</v>
      </c>
      <c r="C5912" s="18">
        <v>14</v>
      </c>
      <c r="D5912" s="21">
        <f t="shared" si="524"/>
        <v>2633</v>
      </c>
      <c r="E5912" s="18">
        <v>2</v>
      </c>
      <c r="F5912" s="95">
        <f t="shared" si="522"/>
        <v>49</v>
      </c>
    </row>
    <row r="5913" spans="1:6" x14ac:dyDescent="0.25">
      <c r="A5913" s="105" t="s">
        <v>32</v>
      </c>
      <c r="B5913" s="102">
        <v>44139</v>
      </c>
      <c r="C5913" s="18">
        <v>325</v>
      </c>
      <c r="D5913" s="21">
        <f t="shared" si="524"/>
        <v>17009</v>
      </c>
      <c r="E5913" s="18">
        <v>7</v>
      </c>
      <c r="F5913" s="95">
        <f t="shared" si="522"/>
        <v>301</v>
      </c>
    </row>
    <row r="5914" spans="1:6" x14ac:dyDescent="0.25">
      <c r="A5914" s="105" t="s">
        <v>42</v>
      </c>
      <c r="B5914" s="102">
        <v>44139</v>
      </c>
      <c r="C5914" s="18">
        <v>5</v>
      </c>
      <c r="D5914" s="21">
        <f t="shared" si="524"/>
        <v>163</v>
      </c>
      <c r="E5914" s="18">
        <v>1</v>
      </c>
      <c r="F5914" s="95">
        <f t="shared" si="522"/>
        <v>3</v>
      </c>
    </row>
    <row r="5915" spans="1:6" x14ac:dyDescent="0.25">
      <c r="A5915" s="105" t="s">
        <v>33</v>
      </c>
      <c r="B5915" s="102">
        <v>44139</v>
      </c>
      <c r="C5915" s="18">
        <v>22</v>
      </c>
      <c r="D5915" s="21">
        <f t="shared" si="524"/>
        <v>17962</v>
      </c>
      <c r="E5915" s="18"/>
      <c r="F5915" s="95">
        <f t="shared" si="522"/>
        <v>817</v>
      </c>
    </row>
    <row r="5916" spans="1:6" x14ac:dyDescent="0.25">
      <c r="A5916" s="105" t="s">
        <v>34</v>
      </c>
      <c r="B5916" s="102">
        <v>44139</v>
      </c>
      <c r="C5916" s="18">
        <v>137</v>
      </c>
      <c r="D5916" s="21">
        <f t="shared" si="524"/>
        <v>3701</v>
      </c>
      <c r="E5916" s="18"/>
      <c r="F5916" s="95">
        <f t="shared" si="522"/>
        <v>36</v>
      </c>
    </row>
    <row r="5917" spans="1:6" x14ac:dyDescent="0.25">
      <c r="A5917" s="105" t="s">
        <v>22</v>
      </c>
      <c r="B5917" s="102">
        <v>44139</v>
      </c>
      <c r="C5917" s="18">
        <v>61</v>
      </c>
      <c r="D5917" s="21">
        <f t="shared" si="524"/>
        <v>7743</v>
      </c>
      <c r="E5917" s="18"/>
      <c r="F5917" s="95">
        <f t="shared" si="522"/>
        <v>283</v>
      </c>
    </row>
    <row r="5918" spans="1:6" x14ac:dyDescent="0.25">
      <c r="A5918" s="105" t="s">
        <v>18</v>
      </c>
      <c r="B5918" s="102">
        <v>44139</v>
      </c>
      <c r="C5918" s="18">
        <v>518</v>
      </c>
      <c r="D5918" s="21">
        <f t="shared" si="524"/>
        <v>48826</v>
      </c>
      <c r="E5918" s="18">
        <v>41</v>
      </c>
      <c r="F5918" s="95">
        <f t="shared" si="522"/>
        <v>854</v>
      </c>
    </row>
    <row r="5919" spans="1:6" x14ac:dyDescent="0.25">
      <c r="A5919" s="105" t="s">
        <v>24</v>
      </c>
      <c r="B5919" s="102">
        <v>44139</v>
      </c>
      <c r="C5919" s="18">
        <v>-11</v>
      </c>
      <c r="D5919" s="21">
        <f t="shared" si="524"/>
        <v>287</v>
      </c>
      <c r="E5919" s="18"/>
      <c r="F5919" s="95">
        <f t="shared" si="522"/>
        <v>6</v>
      </c>
    </row>
    <row r="5920" spans="1:6" x14ac:dyDescent="0.25">
      <c r="A5920" s="105" t="s">
        <v>20</v>
      </c>
      <c r="B5920" s="102">
        <v>44139</v>
      </c>
      <c r="C5920" s="18">
        <v>298</v>
      </c>
      <c r="D5920" s="21">
        <f t="shared" si="524"/>
        <v>23976</v>
      </c>
      <c r="E5920" s="18">
        <v>1</v>
      </c>
      <c r="F5920" s="95">
        <f t="shared" si="522"/>
        <v>414</v>
      </c>
    </row>
    <row r="5921" spans="1:6" x14ac:dyDescent="0.25">
      <c r="A5921" s="105" t="s">
        <v>19</v>
      </c>
      <c r="B5921" s="102">
        <v>44139</v>
      </c>
      <c r="C5921" s="18">
        <v>371</v>
      </c>
      <c r="D5921" s="21">
        <f t="shared" si="524"/>
        <v>25178</v>
      </c>
      <c r="E5921" s="18">
        <v>8</v>
      </c>
      <c r="F5921" s="95">
        <f t="shared" si="522"/>
        <v>642</v>
      </c>
    </row>
    <row r="5922" spans="1:6" x14ac:dyDescent="0.25">
      <c r="A5922" s="105" t="s">
        <v>35</v>
      </c>
      <c r="B5922" s="102">
        <v>44139</v>
      </c>
      <c r="C5922" s="18">
        <v>134</v>
      </c>
      <c r="D5922" s="21">
        <f t="shared" si="524"/>
        <v>19193</v>
      </c>
      <c r="E5922" s="18">
        <v>22</v>
      </c>
      <c r="F5922" s="95">
        <f t="shared" si="522"/>
        <v>822</v>
      </c>
    </row>
    <row r="5923" spans="1:6" x14ac:dyDescent="0.25">
      <c r="A5923" s="105" t="s">
        <v>36</v>
      </c>
      <c r="B5923" s="102">
        <v>44139</v>
      </c>
      <c r="C5923" s="18">
        <v>180</v>
      </c>
      <c r="D5923" s="21">
        <f t="shared" si="524"/>
        <v>3073</v>
      </c>
      <c r="E5923" s="18"/>
      <c r="F5923" s="95">
        <f t="shared" si="522"/>
        <v>102</v>
      </c>
    </row>
    <row r="5924" spans="1:6" x14ac:dyDescent="0.25">
      <c r="A5924" s="105" t="s">
        <v>37</v>
      </c>
      <c r="B5924" s="102">
        <v>44139</v>
      </c>
      <c r="C5924" s="18">
        <v>247</v>
      </c>
      <c r="D5924" s="21">
        <f t="shared" si="524"/>
        <v>8103</v>
      </c>
      <c r="E5924" s="18">
        <v>10</v>
      </c>
      <c r="F5924" s="95">
        <f t="shared" si="522"/>
        <v>102</v>
      </c>
    </row>
    <row r="5925" spans="1:6" x14ac:dyDescent="0.25">
      <c r="A5925" s="105" t="s">
        <v>38</v>
      </c>
      <c r="B5925" s="102">
        <v>44139</v>
      </c>
      <c r="C5925" s="18">
        <v>185</v>
      </c>
      <c r="D5925" s="21">
        <f t="shared" si="524"/>
        <v>10250</v>
      </c>
      <c r="E5925" s="18">
        <v>2</v>
      </c>
      <c r="F5925" s="95">
        <f t="shared" si="522"/>
        <v>149</v>
      </c>
    </row>
    <row r="5926" spans="1:6" x14ac:dyDescent="0.25">
      <c r="A5926" s="105" t="s">
        <v>23</v>
      </c>
      <c r="B5926" s="102">
        <v>44139</v>
      </c>
      <c r="C5926" s="18">
        <v>1543</v>
      </c>
      <c r="D5926" s="21">
        <f t="shared" si="524"/>
        <v>112618</v>
      </c>
      <c r="E5926" s="18">
        <v>56</v>
      </c>
      <c r="F5926" s="95">
        <f t="shared" si="522"/>
        <v>1530</v>
      </c>
    </row>
    <row r="5927" spans="1:6" x14ac:dyDescent="0.25">
      <c r="A5927" s="105" t="s">
        <v>39</v>
      </c>
      <c r="B5927" s="102">
        <v>44139</v>
      </c>
      <c r="C5927" s="18">
        <v>213</v>
      </c>
      <c r="D5927" s="21">
        <f t="shared" si="524"/>
        <v>10387</v>
      </c>
      <c r="E5927" s="18"/>
      <c r="F5927" s="95">
        <f t="shared" si="522"/>
        <v>135</v>
      </c>
    </row>
    <row r="5928" spans="1:6" x14ac:dyDescent="0.25">
      <c r="A5928" s="105" t="s">
        <v>40</v>
      </c>
      <c r="B5928" s="102">
        <v>44139</v>
      </c>
      <c r="C5928" s="18">
        <v>205</v>
      </c>
      <c r="D5928" s="21">
        <f t="shared" si="524"/>
        <v>12179</v>
      </c>
      <c r="E5928" s="18">
        <v>2</v>
      </c>
      <c r="F5928" s="95">
        <f t="shared" si="522"/>
        <v>161</v>
      </c>
    </row>
    <row r="5929" spans="1:6" ht="15.75" thickBot="1" x14ac:dyDescent="0.3">
      <c r="A5929" s="106" t="s">
        <v>41</v>
      </c>
      <c r="B5929" s="109">
        <v>44139</v>
      </c>
      <c r="C5929" s="18">
        <v>750</v>
      </c>
      <c r="D5929" s="98">
        <f>C5929+D5905</f>
        <v>52365</v>
      </c>
      <c r="E5929" s="18">
        <v>17</v>
      </c>
      <c r="F5929" s="96">
        <f t="shared" si="522"/>
        <v>851</v>
      </c>
    </row>
    <row r="5930" spans="1:6" x14ac:dyDescent="0.25">
      <c r="A5930" s="45" t="s">
        <v>17</v>
      </c>
      <c r="B5930" s="103">
        <v>44140</v>
      </c>
      <c r="C5930" s="31">
        <v>3239</v>
      </c>
      <c r="D5930" s="97">
        <f t="shared" si="524"/>
        <v>563938</v>
      </c>
      <c r="E5930" s="31">
        <f>43+38</f>
        <v>81</v>
      </c>
      <c r="F5930" s="94">
        <f t="shared" si="522"/>
        <v>18350</v>
      </c>
    </row>
    <row r="5931" spans="1:6" x14ac:dyDescent="0.25">
      <c r="A5931" s="105" t="s">
        <v>44</v>
      </c>
      <c r="B5931" s="19">
        <v>44140</v>
      </c>
      <c r="C5931" s="4">
        <v>476</v>
      </c>
      <c r="D5931" s="21">
        <f t="shared" si="524"/>
        <v>149296</v>
      </c>
      <c r="E5931" s="4">
        <f>12+1+14</f>
        <v>27</v>
      </c>
      <c r="F5931" s="95">
        <f t="shared" ref="F5931:F5994" si="525">E5931+F5907</f>
        <v>4903</v>
      </c>
    </row>
    <row r="5932" spans="1:6" x14ac:dyDescent="0.25">
      <c r="A5932" s="105" t="s">
        <v>29</v>
      </c>
      <c r="B5932" s="19">
        <v>44140</v>
      </c>
      <c r="C5932" s="4">
        <v>47</v>
      </c>
      <c r="D5932" s="21">
        <f t="shared" si="524"/>
        <v>1120</v>
      </c>
      <c r="F5932" s="95">
        <f t="shared" si="525"/>
        <v>0</v>
      </c>
    </row>
    <row r="5933" spans="1:6" x14ac:dyDescent="0.25">
      <c r="A5933" s="105" t="s">
        <v>16</v>
      </c>
      <c r="B5933" s="19">
        <v>44140</v>
      </c>
      <c r="C5933" s="4">
        <v>145</v>
      </c>
      <c r="D5933" s="21">
        <f t="shared" si="524"/>
        <v>14638</v>
      </c>
      <c r="E5933" s="4">
        <f>4+1</f>
        <v>5</v>
      </c>
      <c r="F5933" s="95">
        <f t="shared" si="525"/>
        <v>453</v>
      </c>
    </row>
    <row r="5934" spans="1:6" x14ac:dyDescent="0.25">
      <c r="A5934" s="105" t="s">
        <v>30</v>
      </c>
      <c r="B5934" s="19">
        <v>44140</v>
      </c>
      <c r="C5934" s="4">
        <v>441</v>
      </c>
      <c r="D5934" s="21">
        <f t="shared" si="524"/>
        <v>16153</v>
      </c>
      <c r="E5934" s="4">
        <f>9+5</f>
        <v>14</v>
      </c>
      <c r="F5934" s="95">
        <f t="shared" si="525"/>
        <v>274</v>
      </c>
    </row>
    <row r="5935" spans="1:6" x14ac:dyDescent="0.25">
      <c r="A5935" s="105" t="s">
        <v>21</v>
      </c>
      <c r="B5935" s="19">
        <v>44140</v>
      </c>
      <c r="C5935" s="4">
        <v>1054</v>
      </c>
      <c r="D5935" s="21">
        <f t="shared" si="524"/>
        <v>90540</v>
      </c>
      <c r="E5935" s="4">
        <f>13+6</f>
        <v>19</v>
      </c>
      <c r="F5935" s="95">
        <f t="shared" si="525"/>
        <v>1414</v>
      </c>
    </row>
    <row r="5936" spans="1:6" x14ac:dyDescent="0.25">
      <c r="A5936" s="105" t="s">
        <v>31</v>
      </c>
      <c r="B5936" s="19">
        <v>44140</v>
      </c>
      <c r="C5936" s="4">
        <v>18</v>
      </c>
      <c r="D5936" s="21">
        <f t="shared" si="524"/>
        <v>2651</v>
      </c>
      <c r="F5936" s="95">
        <f t="shared" si="525"/>
        <v>49</v>
      </c>
    </row>
    <row r="5937" spans="1:6" x14ac:dyDescent="0.25">
      <c r="A5937" s="105" t="s">
        <v>32</v>
      </c>
      <c r="B5937" s="19">
        <v>44140</v>
      </c>
      <c r="C5937" s="4">
        <v>336</v>
      </c>
      <c r="D5937" s="21">
        <f t="shared" si="524"/>
        <v>17345</v>
      </c>
      <c r="E5937" s="4">
        <f>5</f>
        <v>5</v>
      </c>
      <c r="F5937" s="95">
        <f t="shared" si="525"/>
        <v>306</v>
      </c>
    </row>
    <row r="5938" spans="1:6" x14ac:dyDescent="0.25">
      <c r="A5938" s="105" t="s">
        <v>42</v>
      </c>
      <c r="B5938" s="19">
        <v>44140</v>
      </c>
      <c r="C5938" s="4">
        <v>-3</v>
      </c>
      <c r="D5938" s="21">
        <f t="shared" si="524"/>
        <v>160</v>
      </c>
      <c r="F5938" s="95">
        <f t="shared" si="525"/>
        <v>3</v>
      </c>
    </row>
    <row r="5939" spans="1:6" x14ac:dyDescent="0.25">
      <c r="A5939" s="105" t="s">
        <v>33</v>
      </c>
      <c r="B5939" s="19">
        <v>44140</v>
      </c>
      <c r="C5939" s="4">
        <v>13</v>
      </c>
      <c r="D5939" s="21">
        <f t="shared" si="524"/>
        <v>17975</v>
      </c>
      <c r="E5939" s="4">
        <f>4</f>
        <v>4</v>
      </c>
      <c r="F5939" s="95">
        <f t="shared" si="525"/>
        <v>821</v>
      </c>
    </row>
    <row r="5940" spans="1:6" x14ac:dyDescent="0.25">
      <c r="A5940" s="105" t="s">
        <v>34</v>
      </c>
      <c r="B5940" s="19">
        <v>44140</v>
      </c>
      <c r="C5940" s="4">
        <v>111</v>
      </c>
      <c r="D5940" s="21">
        <f t="shared" si="524"/>
        <v>3812</v>
      </c>
      <c r="F5940" s="95">
        <f t="shared" si="525"/>
        <v>36</v>
      </c>
    </row>
    <row r="5941" spans="1:6" x14ac:dyDescent="0.25">
      <c r="A5941" s="105" t="s">
        <v>22</v>
      </c>
      <c r="B5941" s="19">
        <v>44140</v>
      </c>
      <c r="C5941" s="4">
        <v>20</v>
      </c>
      <c r="D5941" s="21">
        <f t="shared" si="524"/>
        <v>7763</v>
      </c>
      <c r="E5941" s="4">
        <f>3+2</f>
        <v>5</v>
      </c>
      <c r="F5941" s="95">
        <f t="shared" si="525"/>
        <v>288</v>
      </c>
    </row>
    <row r="5942" spans="1:6" x14ac:dyDescent="0.25">
      <c r="A5942" s="105" t="s">
        <v>18</v>
      </c>
      <c r="B5942" s="19">
        <v>44140</v>
      </c>
      <c r="C5942" s="4">
        <v>628</v>
      </c>
      <c r="D5942" s="21">
        <f t="shared" si="524"/>
        <v>49454</v>
      </c>
      <c r="E5942" s="4">
        <f>8+5</f>
        <v>13</v>
      </c>
      <c r="F5942" s="95">
        <f t="shared" si="525"/>
        <v>867</v>
      </c>
    </row>
    <row r="5943" spans="1:6" x14ac:dyDescent="0.25">
      <c r="A5943" s="105" t="s">
        <v>24</v>
      </c>
      <c r="B5943" s="19">
        <v>44140</v>
      </c>
      <c r="C5943" s="4">
        <v>18</v>
      </c>
      <c r="D5943" s="21">
        <f t="shared" si="524"/>
        <v>305</v>
      </c>
      <c r="F5943" s="95">
        <f t="shared" si="525"/>
        <v>6</v>
      </c>
    </row>
    <row r="5944" spans="1:6" x14ac:dyDescent="0.25">
      <c r="A5944" s="105" t="s">
        <v>20</v>
      </c>
      <c r="B5944" s="19">
        <v>44140</v>
      </c>
      <c r="C5944" s="4">
        <v>462</v>
      </c>
      <c r="D5944" s="21">
        <f t="shared" si="524"/>
        <v>24438</v>
      </c>
      <c r="F5944" s="95">
        <f t="shared" si="525"/>
        <v>414</v>
      </c>
    </row>
    <row r="5945" spans="1:6" x14ac:dyDescent="0.25">
      <c r="A5945" s="105" t="s">
        <v>19</v>
      </c>
      <c r="B5945" s="19">
        <v>44140</v>
      </c>
      <c r="C5945" s="4">
        <v>355</v>
      </c>
      <c r="D5945" s="21">
        <f t="shared" si="524"/>
        <v>25533</v>
      </c>
      <c r="E5945" s="4">
        <f>4+1</f>
        <v>5</v>
      </c>
      <c r="F5945" s="95">
        <f t="shared" si="525"/>
        <v>647</v>
      </c>
    </row>
    <row r="5946" spans="1:6" x14ac:dyDescent="0.25">
      <c r="A5946" s="105" t="s">
        <v>35</v>
      </c>
      <c r="B5946" s="19">
        <v>44140</v>
      </c>
      <c r="C5946" s="4">
        <v>112</v>
      </c>
      <c r="D5946" s="21">
        <f t="shared" si="524"/>
        <v>19305</v>
      </c>
      <c r="E5946" s="4">
        <v>7</v>
      </c>
      <c r="F5946" s="95">
        <f t="shared" si="525"/>
        <v>829</v>
      </c>
    </row>
    <row r="5947" spans="1:6" x14ac:dyDescent="0.25">
      <c r="A5947" s="105" t="s">
        <v>36</v>
      </c>
      <c r="B5947" s="19">
        <v>44140</v>
      </c>
      <c r="C5947" s="4">
        <v>134</v>
      </c>
      <c r="D5947" s="21">
        <f t="shared" si="524"/>
        <v>3207</v>
      </c>
      <c r="F5947" s="95">
        <f t="shared" si="525"/>
        <v>102</v>
      </c>
    </row>
    <row r="5948" spans="1:6" x14ac:dyDescent="0.25">
      <c r="A5948" s="105" t="s">
        <v>37</v>
      </c>
      <c r="B5948" s="19">
        <v>44140</v>
      </c>
      <c r="C5948" s="4">
        <v>293</v>
      </c>
      <c r="D5948" s="21">
        <f t="shared" si="524"/>
        <v>8396</v>
      </c>
      <c r="E5948" s="4">
        <f>3+6</f>
        <v>9</v>
      </c>
      <c r="F5948" s="95">
        <f t="shared" si="525"/>
        <v>111</v>
      </c>
    </row>
    <row r="5949" spans="1:6" x14ac:dyDescent="0.25">
      <c r="A5949" s="105" t="s">
        <v>38</v>
      </c>
      <c r="B5949" s="19">
        <v>44140</v>
      </c>
      <c r="C5949" s="4">
        <v>269</v>
      </c>
      <c r="D5949" s="21">
        <f t="shared" si="524"/>
        <v>10519</v>
      </c>
      <c r="E5949" s="4">
        <f>5+5</f>
        <v>10</v>
      </c>
      <c r="F5949" s="95">
        <f t="shared" si="525"/>
        <v>159</v>
      </c>
    </row>
    <row r="5950" spans="1:6" x14ac:dyDescent="0.25">
      <c r="A5950" s="105" t="s">
        <v>23</v>
      </c>
      <c r="B5950" s="19">
        <v>44140</v>
      </c>
      <c r="C5950" s="4">
        <v>1741</v>
      </c>
      <c r="D5950" s="21">
        <f t="shared" si="524"/>
        <v>114359</v>
      </c>
      <c r="E5950" s="4">
        <f>11+8</f>
        <v>19</v>
      </c>
      <c r="F5950" s="95">
        <f t="shared" si="525"/>
        <v>1549</v>
      </c>
    </row>
    <row r="5951" spans="1:6" x14ac:dyDescent="0.25">
      <c r="A5951" s="105" t="s">
        <v>39</v>
      </c>
      <c r="B5951" s="19">
        <v>44140</v>
      </c>
      <c r="C5951" s="4">
        <v>320</v>
      </c>
      <c r="D5951" s="21">
        <f t="shared" si="524"/>
        <v>10707</v>
      </c>
      <c r="E5951" s="4">
        <v>3</v>
      </c>
      <c r="F5951" s="95">
        <f t="shared" si="525"/>
        <v>138</v>
      </c>
    </row>
    <row r="5952" spans="1:6" x14ac:dyDescent="0.25">
      <c r="A5952" s="105" t="s">
        <v>40</v>
      </c>
      <c r="B5952" s="19">
        <v>44140</v>
      </c>
      <c r="C5952" s="4">
        <v>267</v>
      </c>
      <c r="D5952" s="21">
        <f t="shared" si="524"/>
        <v>12446</v>
      </c>
      <c r="E5952" s="4">
        <f>2</f>
        <v>2</v>
      </c>
      <c r="F5952" s="95">
        <f t="shared" si="525"/>
        <v>163</v>
      </c>
    </row>
    <row r="5953" spans="1:6" ht="15.75" thickBot="1" x14ac:dyDescent="0.3">
      <c r="A5953" s="107" t="s">
        <v>41</v>
      </c>
      <c r="B5953" s="29">
        <v>44140</v>
      </c>
      <c r="C5953" s="30">
        <v>603</v>
      </c>
      <c r="D5953" s="59">
        <f>C5953+D5929</f>
        <v>52968</v>
      </c>
      <c r="E5953" s="30">
        <f>7+11</f>
        <v>18</v>
      </c>
      <c r="F5953" s="104">
        <f t="shared" si="525"/>
        <v>869</v>
      </c>
    </row>
    <row r="5954" spans="1:6" x14ac:dyDescent="0.25">
      <c r="A5954" s="45" t="s">
        <v>17</v>
      </c>
      <c r="B5954" s="32">
        <v>44141</v>
      </c>
      <c r="C5954" s="33">
        <v>3089</v>
      </c>
      <c r="D5954" s="97">
        <f t="shared" si="524"/>
        <v>567027</v>
      </c>
      <c r="E5954" s="33">
        <f>1+74+81</f>
        <v>156</v>
      </c>
      <c r="F5954" s="94">
        <f t="shared" si="525"/>
        <v>18506</v>
      </c>
    </row>
    <row r="5955" spans="1:6" x14ac:dyDescent="0.25">
      <c r="A5955" s="105" t="s">
        <v>44</v>
      </c>
      <c r="B5955" s="19">
        <v>44141</v>
      </c>
      <c r="C5955" s="4">
        <v>641</v>
      </c>
      <c r="D5955" s="21">
        <f t="shared" si="524"/>
        <v>149937</v>
      </c>
      <c r="E5955" s="4">
        <f>1+22+17</f>
        <v>40</v>
      </c>
      <c r="F5955" s="95">
        <f t="shared" si="525"/>
        <v>4943</v>
      </c>
    </row>
    <row r="5956" spans="1:6" x14ac:dyDescent="0.25">
      <c r="A5956" s="105" t="s">
        <v>29</v>
      </c>
      <c r="B5956" s="19">
        <v>44141</v>
      </c>
      <c r="C5956" s="4">
        <v>3</v>
      </c>
      <c r="D5956" s="21">
        <f t="shared" si="524"/>
        <v>1123</v>
      </c>
      <c r="F5956" s="95">
        <f t="shared" si="525"/>
        <v>0</v>
      </c>
    </row>
    <row r="5957" spans="1:6" x14ac:dyDescent="0.25">
      <c r="A5957" s="105" t="s">
        <v>16</v>
      </c>
      <c r="B5957" s="19">
        <v>44141</v>
      </c>
      <c r="C5957" s="4">
        <v>121</v>
      </c>
      <c r="D5957" s="21">
        <f t="shared" si="524"/>
        <v>14759</v>
      </c>
      <c r="E5957" s="4">
        <f>3+2</f>
        <v>5</v>
      </c>
      <c r="F5957" s="95">
        <f t="shared" si="525"/>
        <v>458</v>
      </c>
    </row>
    <row r="5958" spans="1:6" x14ac:dyDescent="0.25">
      <c r="A5958" s="105" t="s">
        <v>30</v>
      </c>
      <c r="B5958" s="19">
        <v>44141</v>
      </c>
      <c r="C5958" s="4">
        <v>392</v>
      </c>
      <c r="D5958" s="21">
        <f t="shared" si="524"/>
        <v>16545</v>
      </c>
      <c r="E5958" s="4">
        <f>1+1</f>
        <v>2</v>
      </c>
      <c r="F5958" s="95">
        <f t="shared" si="525"/>
        <v>276</v>
      </c>
    </row>
    <row r="5959" spans="1:6" x14ac:dyDescent="0.25">
      <c r="A5959" s="105" t="s">
        <v>21</v>
      </c>
      <c r="B5959" s="19">
        <v>44141</v>
      </c>
      <c r="C5959" s="4">
        <v>1258</v>
      </c>
      <c r="D5959" s="21">
        <f t="shared" si="524"/>
        <v>91798</v>
      </c>
      <c r="E5959" s="4">
        <f>21+7</f>
        <v>28</v>
      </c>
      <c r="F5959" s="95">
        <f t="shared" si="525"/>
        <v>1442</v>
      </c>
    </row>
    <row r="5960" spans="1:6" x14ac:dyDescent="0.25">
      <c r="A5960" s="105" t="s">
        <v>31</v>
      </c>
      <c r="B5960" s="19">
        <v>44141</v>
      </c>
      <c r="C5960" s="4">
        <v>106</v>
      </c>
      <c r="D5960" s="21">
        <f t="shared" si="524"/>
        <v>2757</v>
      </c>
      <c r="E5960" s="4">
        <f>5+2</f>
        <v>7</v>
      </c>
      <c r="F5960" s="95">
        <f t="shared" si="525"/>
        <v>56</v>
      </c>
    </row>
    <row r="5961" spans="1:6" x14ac:dyDescent="0.25">
      <c r="A5961" s="105" t="s">
        <v>32</v>
      </c>
      <c r="B5961" s="19">
        <v>44141</v>
      </c>
      <c r="C5961" s="4">
        <v>338</v>
      </c>
      <c r="D5961" s="21">
        <f t="shared" si="524"/>
        <v>17683</v>
      </c>
      <c r="E5961" s="4">
        <f>7+4</f>
        <v>11</v>
      </c>
      <c r="F5961" s="95">
        <f t="shared" si="525"/>
        <v>317</v>
      </c>
    </row>
    <row r="5962" spans="1:6" x14ac:dyDescent="0.25">
      <c r="A5962" s="105" t="s">
        <v>42</v>
      </c>
      <c r="B5962" s="19">
        <v>44141</v>
      </c>
      <c r="C5962" s="4">
        <v>2</v>
      </c>
      <c r="D5962" s="21">
        <f t="shared" si="524"/>
        <v>162</v>
      </c>
      <c r="F5962" s="95">
        <f t="shared" si="525"/>
        <v>3</v>
      </c>
    </row>
    <row r="5963" spans="1:6" x14ac:dyDescent="0.25">
      <c r="A5963" s="105" t="s">
        <v>33</v>
      </c>
      <c r="B5963" s="19">
        <v>44141</v>
      </c>
      <c r="C5963" s="4">
        <v>14</v>
      </c>
      <c r="D5963" s="21">
        <f t="shared" si="524"/>
        <v>17989</v>
      </c>
      <c r="F5963" s="95">
        <f t="shared" si="525"/>
        <v>821</v>
      </c>
    </row>
    <row r="5964" spans="1:6" x14ac:dyDescent="0.25">
      <c r="A5964" s="105" t="s">
        <v>34</v>
      </c>
      <c r="B5964" s="19">
        <v>44141</v>
      </c>
      <c r="C5964" s="4">
        <v>104</v>
      </c>
      <c r="D5964" s="21">
        <f t="shared" si="524"/>
        <v>3916</v>
      </c>
      <c r="F5964" s="95">
        <f t="shared" si="525"/>
        <v>36</v>
      </c>
    </row>
    <row r="5965" spans="1:6" x14ac:dyDescent="0.25">
      <c r="A5965" s="105" t="s">
        <v>22</v>
      </c>
      <c r="B5965" s="19">
        <v>44141</v>
      </c>
      <c r="C5965" s="4">
        <v>18</v>
      </c>
      <c r="D5965" s="21">
        <f t="shared" si="524"/>
        <v>7781</v>
      </c>
      <c r="E5965" s="4">
        <v>1</v>
      </c>
      <c r="F5965" s="95">
        <f t="shared" si="525"/>
        <v>289</v>
      </c>
    </row>
    <row r="5966" spans="1:6" x14ac:dyDescent="0.25">
      <c r="A5966" s="105" t="s">
        <v>18</v>
      </c>
      <c r="B5966" s="19">
        <v>44141</v>
      </c>
      <c r="C5966" s="4">
        <v>626</v>
      </c>
      <c r="D5966" s="21">
        <f t="shared" si="524"/>
        <v>50080</v>
      </c>
      <c r="E5966" s="4">
        <f>15+7</f>
        <v>22</v>
      </c>
      <c r="F5966" s="95">
        <f t="shared" si="525"/>
        <v>889</v>
      </c>
    </row>
    <row r="5967" spans="1:6" x14ac:dyDescent="0.25">
      <c r="A5967" s="105" t="s">
        <v>24</v>
      </c>
      <c r="B5967" s="19">
        <v>44141</v>
      </c>
      <c r="C5967" s="4">
        <v>15</v>
      </c>
      <c r="D5967" s="21">
        <f t="shared" si="524"/>
        <v>320</v>
      </c>
      <c r="F5967" s="95">
        <f t="shared" si="525"/>
        <v>6</v>
      </c>
    </row>
    <row r="5968" spans="1:6" x14ac:dyDescent="0.25">
      <c r="A5968" s="105" t="s">
        <v>20</v>
      </c>
      <c r="B5968" s="19">
        <v>44141</v>
      </c>
      <c r="C5968" s="4">
        <v>310</v>
      </c>
      <c r="D5968" s="21">
        <f t="shared" si="524"/>
        <v>24748</v>
      </c>
      <c r="E5968" s="4">
        <f>4+4</f>
        <v>8</v>
      </c>
      <c r="F5968" s="95">
        <f t="shared" si="525"/>
        <v>422</v>
      </c>
    </row>
    <row r="5969" spans="1:6" x14ac:dyDescent="0.25">
      <c r="A5969" s="105" t="s">
        <v>19</v>
      </c>
      <c r="B5969" s="19">
        <v>44141</v>
      </c>
      <c r="C5969" s="4">
        <v>383</v>
      </c>
      <c r="D5969" s="21">
        <f t="shared" si="524"/>
        <v>25916</v>
      </c>
      <c r="E5969" s="4">
        <f>3+2</f>
        <v>5</v>
      </c>
      <c r="F5969" s="95">
        <f t="shared" si="525"/>
        <v>652</v>
      </c>
    </row>
    <row r="5970" spans="1:6" x14ac:dyDescent="0.25">
      <c r="A5970" s="105" t="s">
        <v>35</v>
      </c>
      <c r="B5970" s="19">
        <v>44141</v>
      </c>
      <c r="C5970" s="4">
        <v>93</v>
      </c>
      <c r="D5970" s="21">
        <f t="shared" ref="D5970:D5976" si="526">C5970+D5946</f>
        <v>19398</v>
      </c>
      <c r="E5970" s="4">
        <v>9</v>
      </c>
      <c r="F5970" s="95">
        <f t="shared" si="525"/>
        <v>838</v>
      </c>
    </row>
    <row r="5971" spans="1:6" x14ac:dyDescent="0.25">
      <c r="A5971" s="105" t="s">
        <v>36</v>
      </c>
      <c r="B5971" s="19">
        <v>44141</v>
      </c>
      <c r="C5971" s="4">
        <v>191</v>
      </c>
      <c r="D5971" s="21">
        <f t="shared" si="526"/>
        <v>3398</v>
      </c>
      <c r="F5971" s="95">
        <f t="shared" si="525"/>
        <v>102</v>
      </c>
    </row>
    <row r="5972" spans="1:6" x14ac:dyDescent="0.25">
      <c r="A5972" s="105" t="s">
        <v>37</v>
      </c>
      <c r="B5972" s="19">
        <v>44141</v>
      </c>
      <c r="C5972" s="4">
        <v>468</v>
      </c>
      <c r="D5972" s="21">
        <f t="shared" si="526"/>
        <v>8864</v>
      </c>
      <c r="E5972" s="4">
        <f>9+1</f>
        <v>10</v>
      </c>
      <c r="F5972" s="95">
        <f t="shared" si="525"/>
        <v>121</v>
      </c>
    </row>
    <row r="5973" spans="1:6" x14ac:dyDescent="0.25">
      <c r="A5973" s="105" t="s">
        <v>38</v>
      </c>
      <c r="B5973" s="19">
        <v>44141</v>
      </c>
      <c r="C5973" s="4">
        <v>222</v>
      </c>
      <c r="D5973" s="21">
        <f t="shared" si="526"/>
        <v>10741</v>
      </c>
      <c r="E5973" s="4">
        <f>2+2</f>
        <v>4</v>
      </c>
      <c r="F5973" s="95">
        <f t="shared" si="525"/>
        <v>163</v>
      </c>
    </row>
    <row r="5974" spans="1:6" x14ac:dyDescent="0.25">
      <c r="A5974" s="105" t="s">
        <v>23</v>
      </c>
      <c r="B5974" s="19">
        <v>44141</v>
      </c>
      <c r="C5974" s="4">
        <v>1736</v>
      </c>
      <c r="D5974" s="21">
        <f t="shared" si="526"/>
        <v>116095</v>
      </c>
      <c r="E5974" s="4">
        <f>1+30+22</f>
        <v>53</v>
      </c>
      <c r="F5974" s="95">
        <f t="shared" si="525"/>
        <v>1602</v>
      </c>
    </row>
    <row r="5975" spans="1:6" x14ac:dyDescent="0.25">
      <c r="A5975" s="105" t="s">
        <v>39</v>
      </c>
      <c r="B5975" s="19">
        <v>44141</v>
      </c>
      <c r="C5975" s="4">
        <v>223</v>
      </c>
      <c r="D5975" s="21">
        <f t="shared" si="526"/>
        <v>10930</v>
      </c>
      <c r="E5975" s="4">
        <f>3</f>
        <v>3</v>
      </c>
      <c r="F5975" s="95">
        <f t="shared" si="525"/>
        <v>141</v>
      </c>
    </row>
    <row r="5976" spans="1:6" x14ac:dyDescent="0.25">
      <c r="A5976" s="105" t="s">
        <v>40</v>
      </c>
      <c r="B5976" s="19">
        <v>44141</v>
      </c>
      <c r="C5976" s="4">
        <v>311</v>
      </c>
      <c r="D5976" s="21">
        <f t="shared" si="526"/>
        <v>12757</v>
      </c>
      <c r="F5976" s="95">
        <f t="shared" si="525"/>
        <v>163</v>
      </c>
    </row>
    <row r="5977" spans="1:6" ht="15.75" thickBot="1" x14ac:dyDescent="0.3">
      <c r="A5977" s="107" t="s">
        <v>41</v>
      </c>
      <c r="B5977" s="29">
        <v>44141</v>
      </c>
      <c r="C5977" s="30">
        <v>1122</v>
      </c>
      <c r="D5977" s="59">
        <f>C5977+D5953</f>
        <v>54090</v>
      </c>
      <c r="E5977" s="30">
        <f>3+3</f>
        <v>6</v>
      </c>
      <c r="F5977" s="104">
        <f t="shared" si="525"/>
        <v>875</v>
      </c>
    </row>
    <row r="5978" spans="1:6" x14ac:dyDescent="0.25">
      <c r="A5978" s="45" t="s">
        <v>17</v>
      </c>
      <c r="B5978" s="29">
        <v>44142</v>
      </c>
      <c r="C5978" s="4">
        <v>2161</v>
      </c>
      <c r="D5978" s="97">
        <f t="shared" ref="D5978:D6041" si="527">C5978+D5954</f>
        <v>569188</v>
      </c>
      <c r="E5978" s="4">
        <f>42+33</f>
        <v>75</v>
      </c>
      <c r="F5978" s="94">
        <f t="shared" si="525"/>
        <v>18581</v>
      </c>
    </row>
    <row r="5979" spans="1:6" x14ac:dyDescent="0.25">
      <c r="A5979" s="105" t="s">
        <v>44</v>
      </c>
      <c r="B5979" s="29">
        <v>44142</v>
      </c>
      <c r="C5979" s="4">
        <v>394</v>
      </c>
      <c r="D5979" s="21">
        <f t="shared" si="527"/>
        <v>150331</v>
      </c>
      <c r="E5979" s="4">
        <f>13+11</f>
        <v>24</v>
      </c>
      <c r="F5979" s="95">
        <f t="shared" si="525"/>
        <v>4967</v>
      </c>
    </row>
    <row r="5980" spans="1:6" x14ac:dyDescent="0.25">
      <c r="A5980" s="105" t="s">
        <v>29</v>
      </c>
      <c r="B5980" s="29">
        <v>44142</v>
      </c>
      <c r="C5980" s="4">
        <v>41</v>
      </c>
      <c r="D5980" s="21">
        <f t="shared" si="527"/>
        <v>1164</v>
      </c>
      <c r="E5980" s="4">
        <f>2</f>
        <v>2</v>
      </c>
      <c r="F5980" s="95">
        <f t="shared" si="525"/>
        <v>2</v>
      </c>
    </row>
    <row r="5981" spans="1:6" x14ac:dyDescent="0.25">
      <c r="A5981" s="105" t="s">
        <v>16</v>
      </c>
      <c r="B5981" s="29">
        <v>44142</v>
      </c>
      <c r="C5981" s="4">
        <v>157</v>
      </c>
      <c r="D5981" s="21">
        <f t="shared" si="527"/>
        <v>14916</v>
      </c>
      <c r="E5981" s="4">
        <f>2+4</f>
        <v>6</v>
      </c>
      <c r="F5981" s="95">
        <f t="shared" si="525"/>
        <v>464</v>
      </c>
    </row>
    <row r="5982" spans="1:6" x14ac:dyDescent="0.25">
      <c r="A5982" s="105" t="s">
        <v>30</v>
      </c>
      <c r="B5982" s="29">
        <v>44142</v>
      </c>
      <c r="C5982" s="4">
        <v>231</v>
      </c>
      <c r="D5982" s="21">
        <f t="shared" si="527"/>
        <v>16776</v>
      </c>
      <c r="F5982" s="95">
        <f t="shared" si="525"/>
        <v>276</v>
      </c>
    </row>
    <row r="5983" spans="1:6" x14ac:dyDescent="0.25">
      <c r="A5983" s="105" t="s">
        <v>21</v>
      </c>
      <c r="B5983" s="29">
        <v>44142</v>
      </c>
      <c r="C5983" s="4">
        <v>1006</v>
      </c>
      <c r="D5983" s="21">
        <f t="shared" si="527"/>
        <v>92804</v>
      </c>
      <c r="E5983" s="4">
        <f>6+5</f>
        <v>11</v>
      </c>
      <c r="F5983" s="95">
        <f t="shared" si="525"/>
        <v>1453</v>
      </c>
    </row>
    <row r="5984" spans="1:6" x14ac:dyDescent="0.25">
      <c r="A5984" s="105" t="s">
        <v>31</v>
      </c>
      <c r="B5984" s="29">
        <v>44142</v>
      </c>
      <c r="C5984" s="4">
        <v>76</v>
      </c>
      <c r="D5984" s="21">
        <f t="shared" si="527"/>
        <v>2833</v>
      </c>
      <c r="F5984" s="95">
        <f t="shared" si="525"/>
        <v>56</v>
      </c>
    </row>
    <row r="5985" spans="1:6" x14ac:dyDescent="0.25">
      <c r="A5985" s="105" t="s">
        <v>32</v>
      </c>
      <c r="B5985" s="29">
        <v>44142</v>
      </c>
      <c r="C5985" s="4">
        <v>234</v>
      </c>
      <c r="D5985" s="21">
        <f t="shared" si="527"/>
        <v>17917</v>
      </c>
      <c r="E5985" s="4">
        <f>6+2</f>
        <v>8</v>
      </c>
      <c r="F5985" s="95">
        <f t="shared" si="525"/>
        <v>325</v>
      </c>
    </row>
    <row r="5986" spans="1:6" x14ac:dyDescent="0.25">
      <c r="A5986" s="105" t="s">
        <v>42</v>
      </c>
      <c r="B5986" s="29">
        <v>44142</v>
      </c>
      <c r="C5986" s="4">
        <v>0</v>
      </c>
      <c r="D5986" s="21">
        <f t="shared" si="527"/>
        <v>162</v>
      </c>
      <c r="F5986" s="95">
        <f t="shared" si="525"/>
        <v>3</v>
      </c>
    </row>
    <row r="5987" spans="1:6" x14ac:dyDescent="0.25">
      <c r="A5987" s="105" t="s">
        <v>33</v>
      </c>
      <c r="B5987" s="29">
        <v>44142</v>
      </c>
      <c r="C5987" s="4">
        <v>24</v>
      </c>
      <c r="D5987" s="21">
        <f t="shared" si="527"/>
        <v>18013</v>
      </c>
      <c r="E5987" s="4">
        <f>4</f>
        <v>4</v>
      </c>
      <c r="F5987" s="95">
        <f t="shared" si="525"/>
        <v>825</v>
      </c>
    </row>
    <row r="5988" spans="1:6" x14ac:dyDescent="0.25">
      <c r="A5988" s="105" t="s">
        <v>34</v>
      </c>
      <c r="B5988" s="29">
        <v>44142</v>
      </c>
      <c r="C5988" s="4">
        <v>106</v>
      </c>
      <c r="D5988" s="21">
        <f t="shared" si="527"/>
        <v>4022</v>
      </c>
      <c r="F5988" s="95">
        <f t="shared" si="525"/>
        <v>36</v>
      </c>
    </row>
    <row r="5989" spans="1:6" x14ac:dyDescent="0.25">
      <c r="A5989" s="105" t="s">
        <v>22</v>
      </c>
      <c r="B5989" s="29">
        <v>44142</v>
      </c>
      <c r="C5989" s="4">
        <v>13</v>
      </c>
      <c r="D5989" s="21">
        <f t="shared" si="527"/>
        <v>7794</v>
      </c>
      <c r="F5989" s="95">
        <f t="shared" si="525"/>
        <v>289</v>
      </c>
    </row>
    <row r="5990" spans="1:6" x14ac:dyDescent="0.25">
      <c r="A5990" s="105" t="s">
        <v>18</v>
      </c>
      <c r="B5990" s="29">
        <v>44142</v>
      </c>
      <c r="C5990" s="4">
        <v>354</v>
      </c>
      <c r="D5990" s="21">
        <f t="shared" si="527"/>
        <v>50434</v>
      </c>
      <c r="E5990" s="4">
        <f>14+5</f>
        <v>19</v>
      </c>
      <c r="F5990" s="95">
        <f t="shared" si="525"/>
        <v>908</v>
      </c>
    </row>
    <row r="5991" spans="1:6" x14ac:dyDescent="0.25">
      <c r="A5991" s="105" t="s">
        <v>24</v>
      </c>
      <c r="B5991" s="29">
        <v>44142</v>
      </c>
      <c r="C5991" s="4">
        <v>10</v>
      </c>
      <c r="D5991" s="21">
        <f t="shared" si="527"/>
        <v>330</v>
      </c>
      <c r="F5991" s="95">
        <f t="shared" si="525"/>
        <v>6</v>
      </c>
    </row>
    <row r="5992" spans="1:6" x14ac:dyDescent="0.25">
      <c r="A5992" s="105" t="s">
        <v>20</v>
      </c>
      <c r="B5992" s="29">
        <v>44142</v>
      </c>
      <c r="C5992" s="4">
        <v>352</v>
      </c>
      <c r="D5992" s="21">
        <f t="shared" si="527"/>
        <v>25100</v>
      </c>
      <c r="F5992" s="95">
        <f t="shared" si="525"/>
        <v>422</v>
      </c>
    </row>
    <row r="5993" spans="1:6" x14ac:dyDescent="0.25">
      <c r="A5993" s="105" t="s">
        <v>19</v>
      </c>
      <c r="B5993" s="29">
        <v>44142</v>
      </c>
      <c r="C5993" s="4">
        <v>187</v>
      </c>
      <c r="D5993" s="21">
        <f t="shared" si="527"/>
        <v>26103</v>
      </c>
      <c r="E5993" s="4">
        <f>7+3</f>
        <v>10</v>
      </c>
      <c r="F5993" s="95">
        <f t="shared" si="525"/>
        <v>662</v>
      </c>
    </row>
    <row r="5994" spans="1:6" x14ac:dyDescent="0.25">
      <c r="A5994" s="105" t="s">
        <v>35</v>
      </c>
      <c r="B5994" s="29">
        <v>44142</v>
      </c>
      <c r="C5994" s="4">
        <v>112</v>
      </c>
      <c r="D5994" s="21">
        <f t="shared" si="527"/>
        <v>19510</v>
      </c>
      <c r="E5994" s="4">
        <f>6+7</f>
        <v>13</v>
      </c>
      <c r="F5994" s="95">
        <f t="shared" si="525"/>
        <v>851</v>
      </c>
    </row>
    <row r="5995" spans="1:6" x14ac:dyDescent="0.25">
      <c r="A5995" s="105" t="s">
        <v>36</v>
      </c>
      <c r="B5995" s="29">
        <v>44142</v>
      </c>
      <c r="C5995" s="4">
        <v>138</v>
      </c>
      <c r="D5995" s="21">
        <f t="shared" si="527"/>
        <v>3536</v>
      </c>
      <c r="F5995" s="95">
        <f t="shared" ref="F5995:F6058" si="528">E5995+F5971</f>
        <v>102</v>
      </c>
    </row>
    <row r="5996" spans="1:6" x14ac:dyDescent="0.25">
      <c r="A5996" s="105" t="s">
        <v>37</v>
      </c>
      <c r="B5996" s="29">
        <v>44142</v>
      </c>
      <c r="C5996" s="4">
        <v>153</v>
      </c>
      <c r="D5996" s="21">
        <f t="shared" si="527"/>
        <v>9017</v>
      </c>
      <c r="F5996" s="95">
        <f t="shared" si="528"/>
        <v>121</v>
      </c>
    </row>
    <row r="5997" spans="1:6" x14ac:dyDescent="0.25">
      <c r="A5997" s="105" t="s">
        <v>38</v>
      </c>
      <c r="B5997" s="29">
        <v>44142</v>
      </c>
      <c r="C5997" s="4">
        <v>169</v>
      </c>
      <c r="D5997" s="21">
        <f t="shared" si="527"/>
        <v>10910</v>
      </c>
      <c r="E5997" s="4">
        <f>1</f>
        <v>1</v>
      </c>
      <c r="F5997" s="95">
        <f t="shared" si="528"/>
        <v>164</v>
      </c>
    </row>
    <row r="5998" spans="1:6" x14ac:dyDescent="0.25">
      <c r="A5998" s="105" t="s">
        <v>23</v>
      </c>
      <c r="B5998" s="29">
        <v>44142</v>
      </c>
      <c r="C5998" s="4">
        <v>1328</v>
      </c>
      <c r="D5998" s="21">
        <f t="shared" si="527"/>
        <v>117423</v>
      </c>
      <c r="E5998" s="4">
        <f>20+6</f>
        <v>26</v>
      </c>
      <c r="F5998" s="95">
        <f t="shared" si="528"/>
        <v>1628</v>
      </c>
    </row>
    <row r="5999" spans="1:6" x14ac:dyDescent="0.25">
      <c r="A5999" s="105" t="s">
        <v>39</v>
      </c>
      <c r="B5999" s="29">
        <v>44142</v>
      </c>
      <c r="C5999" s="4">
        <v>226</v>
      </c>
      <c r="D5999" s="21">
        <f t="shared" si="527"/>
        <v>11156</v>
      </c>
      <c r="E5999" s="4">
        <f>1</f>
        <v>1</v>
      </c>
      <c r="F5999" s="95">
        <f t="shared" si="528"/>
        <v>142</v>
      </c>
    </row>
    <row r="6000" spans="1:6" x14ac:dyDescent="0.25">
      <c r="A6000" s="105" t="s">
        <v>40</v>
      </c>
      <c r="B6000" s="29">
        <v>44142</v>
      </c>
      <c r="C6000" s="4">
        <v>201</v>
      </c>
      <c r="D6000" s="21">
        <f t="shared" si="527"/>
        <v>12958</v>
      </c>
      <c r="E6000" s="4">
        <f>3</f>
        <v>3</v>
      </c>
      <c r="F6000" s="95">
        <f t="shared" si="528"/>
        <v>166</v>
      </c>
    </row>
    <row r="6001" spans="1:6" ht="15.75" thickBot="1" x14ac:dyDescent="0.3">
      <c r="A6001" s="107" t="s">
        <v>41</v>
      </c>
      <c r="B6001" s="29">
        <v>44142</v>
      </c>
      <c r="C6001" s="4">
        <v>364</v>
      </c>
      <c r="D6001" s="59">
        <f>C6001+D5977</f>
        <v>54454</v>
      </c>
      <c r="E6001" s="4">
        <f>7+3</f>
        <v>10</v>
      </c>
      <c r="F6001" s="104">
        <f t="shared" si="528"/>
        <v>885</v>
      </c>
    </row>
    <row r="6002" spans="1:6" x14ac:dyDescent="0.25">
      <c r="A6002" s="45" t="s">
        <v>17</v>
      </c>
      <c r="B6002" s="29">
        <v>44143</v>
      </c>
      <c r="C6002" s="4">
        <v>1309</v>
      </c>
      <c r="D6002" s="97">
        <f t="shared" si="527"/>
        <v>570497</v>
      </c>
      <c r="E6002" s="4">
        <v>72</v>
      </c>
      <c r="F6002" s="94">
        <f t="shared" si="528"/>
        <v>18653</v>
      </c>
    </row>
    <row r="6003" spans="1:6" x14ac:dyDescent="0.25">
      <c r="A6003" s="105" t="s">
        <v>44</v>
      </c>
      <c r="B6003" s="29">
        <v>44143</v>
      </c>
      <c r="C6003" s="4">
        <v>245</v>
      </c>
      <c r="D6003" s="21">
        <f t="shared" si="527"/>
        <v>150576</v>
      </c>
      <c r="E6003" s="4">
        <f>11+4</f>
        <v>15</v>
      </c>
      <c r="F6003" s="95">
        <f t="shared" si="528"/>
        <v>4982</v>
      </c>
    </row>
    <row r="6004" spans="1:6" x14ac:dyDescent="0.25">
      <c r="A6004" s="105" t="s">
        <v>29</v>
      </c>
      <c r="B6004" s="29">
        <v>44143</v>
      </c>
      <c r="C6004" s="4">
        <v>15</v>
      </c>
      <c r="D6004" s="21">
        <f t="shared" si="527"/>
        <v>1179</v>
      </c>
      <c r="F6004" s="95">
        <f t="shared" si="528"/>
        <v>2</v>
      </c>
    </row>
    <row r="6005" spans="1:6" x14ac:dyDescent="0.25">
      <c r="A6005" s="105" t="s">
        <v>16</v>
      </c>
      <c r="B6005" s="29">
        <v>44143</v>
      </c>
      <c r="C6005" s="4">
        <v>122</v>
      </c>
      <c r="D6005" s="21">
        <f t="shared" si="527"/>
        <v>15038</v>
      </c>
      <c r="E6005" s="4">
        <f>1</f>
        <v>1</v>
      </c>
      <c r="F6005" s="95">
        <f t="shared" si="528"/>
        <v>465</v>
      </c>
    </row>
    <row r="6006" spans="1:6" x14ac:dyDescent="0.25">
      <c r="A6006" s="105" t="s">
        <v>30</v>
      </c>
      <c r="B6006" s="29">
        <v>44143</v>
      </c>
      <c r="C6006" s="4">
        <v>119</v>
      </c>
      <c r="D6006" s="21">
        <f t="shared" si="527"/>
        <v>16895</v>
      </c>
      <c r="F6006" s="95">
        <f t="shared" si="528"/>
        <v>276</v>
      </c>
    </row>
    <row r="6007" spans="1:6" x14ac:dyDescent="0.25">
      <c r="A6007" s="105" t="s">
        <v>21</v>
      </c>
      <c r="B6007" s="29">
        <v>44143</v>
      </c>
      <c r="C6007" s="4">
        <v>775</v>
      </c>
      <c r="D6007" s="21">
        <f t="shared" si="527"/>
        <v>93579</v>
      </c>
      <c r="E6007" s="4">
        <f>18+5</f>
        <v>23</v>
      </c>
      <c r="F6007" s="95">
        <f t="shared" si="528"/>
        <v>1476</v>
      </c>
    </row>
    <row r="6008" spans="1:6" x14ac:dyDescent="0.25">
      <c r="A6008" s="105" t="s">
        <v>31</v>
      </c>
      <c r="B6008" s="29">
        <v>44143</v>
      </c>
      <c r="C6008" s="4">
        <v>77</v>
      </c>
      <c r="D6008" s="21">
        <f t="shared" si="527"/>
        <v>2910</v>
      </c>
      <c r="E6008" s="4">
        <f>1</f>
        <v>1</v>
      </c>
      <c r="F6008" s="95">
        <f t="shared" si="528"/>
        <v>57</v>
      </c>
    </row>
    <row r="6009" spans="1:6" x14ac:dyDescent="0.25">
      <c r="A6009" s="105" t="s">
        <v>32</v>
      </c>
      <c r="B6009" s="29">
        <v>44143</v>
      </c>
      <c r="C6009" s="4">
        <v>187</v>
      </c>
      <c r="D6009" s="21">
        <f t="shared" si="527"/>
        <v>18104</v>
      </c>
      <c r="E6009" s="4">
        <f>2+1</f>
        <v>3</v>
      </c>
      <c r="F6009" s="95">
        <f t="shared" si="528"/>
        <v>328</v>
      </c>
    </row>
    <row r="6010" spans="1:6" x14ac:dyDescent="0.25">
      <c r="A6010" s="105" t="s">
        <v>42</v>
      </c>
      <c r="B6010" s="29">
        <v>44143</v>
      </c>
      <c r="C6010" s="4">
        <v>0</v>
      </c>
      <c r="D6010" s="21">
        <f t="shared" si="527"/>
        <v>162</v>
      </c>
      <c r="F6010" s="95">
        <f t="shared" si="528"/>
        <v>3</v>
      </c>
    </row>
    <row r="6011" spans="1:6" x14ac:dyDescent="0.25">
      <c r="A6011" s="105" t="s">
        <v>33</v>
      </c>
      <c r="B6011" s="29">
        <v>44143</v>
      </c>
      <c r="C6011" s="4">
        <v>12</v>
      </c>
      <c r="D6011" s="21">
        <f t="shared" si="527"/>
        <v>18025</v>
      </c>
      <c r="F6011" s="95">
        <f t="shared" si="528"/>
        <v>825</v>
      </c>
    </row>
    <row r="6012" spans="1:6" x14ac:dyDescent="0.25">
      <c r="A6012" s="105" t="s">
        <v>34</v>
      </c>
      <c r="B6012" s="29">
        <v>44143</v>
      </c>
      <c r="C6012" s="4">
        <v>99</v>
      </c>
      <c r="D6012" s="21">
        <f t="shared" si="527"/>
        <v>4121</v>
      </c>
      <c r="E6012" s="4">
        <f>3+2</f>
        <v>5</v>
      </c>
      <c r="F6012" s="95">
        <f t="shared" si="528"/>
        <v>41</v>
      </c>
    </row>
    <row r="6013" spans="1:6" x14ac:dyDescent="0.25">
      <c r="A6013" s="105" t="s">
        <v>22</v>
      </c>
      <c r="B6013" s="29">
        <v>44143</v>
      </c>
      <c r="C6013" s="4">
        <v>55</v>
      </c>
      <c r="D6013" s="21">
        <f t="shared" si="527"/>
        <v>7849</v>
      </c>
      <c r="E6013" s="4">
        <f>3</f>
        <v>3</v>
      </c>
      <c r="F6013" s="95">
        <f t="shared" si="528"/>
        <v>292</v>
      </c>
    </row>
    <row r="6014" spans="1:6" x14ac:dyDescent="0.25">
      <c r="A6014" s="105" t="s">
        <v>18</v>
      </c>
      <c r="B6014" s="29">
        <v>44143</v>
      </c>
      <c r="C6014" s="4">
        <v>140</v>
      </c>
      <c r="D6014" s="21">
        <f t="shared" si="527"/>
        <v>50574</v>
      </c>
      <c r="E6014" s="4">
        <f>12+4</f>
        <v>16</v>
      </c>
      <c r="F6014" s="95">
        <f t="shared" si="528"/>
        <v>924</v>
      </c>
    </row>
    <row r="6015" spans="1:6" x14ac:dyDescent="0.25">
      <c r="A6015" s="105" t="s">
        <v>24</v>
      </c>
      <c r="B6015" s="29">
        <v>44143</v>
      </c>
      <c r="C6015" s="4">
        <v>3</v>
      </c>
      <c r="D6015" s="21">
        <f t="shared" si="527"/>
        <v>333</v>
      </c>
      <c r="F6015" s="95">
        <f t="shared" si="528"/>
        <v>6</v>
      </c>
    </row>
    <row r="6016" spans="1:6" x14ac:dyDescent="0.25">
      <c r="A6016" s="105" t="s">
        <v>20</v>
      </c>
      <c r="B6016" s="29">
        <v>44143</v>
      </c>
      <c r="C6016" s="4">
        <v>154</v>
      </c>
      <c r="D6016" s="21">
        <f t="shared" si="527"/>
        <v>25254</v>
      </c>
      <c r="F6016" s="95">
        <f t="shared" si="528"/>
        <v>422</v>
      </c>
    </row>
    <row r="6017" spans="1:6" x14ac:dyDescent="0.25">
      <c r="A6017" s="105" t="s">
        <v>19</v>
      </c>
      <c r="B6017" s="29">
        <v>44143</v>
      </c>
      <c r="C6017" s="4">
        <v>126</v>
      </c>
      <c r="D6017" s="21">
        <f t="shared" si="527"/>
        <v>26229</v>
      </c>
      <c r="E6017" s="4">
        <f>1+1</f>
        <v>2</v>
      </c>
      <c r="F6017" s="95">
        <f t="shared" si="528"/>
        <v>664</v>
      </c>
    </row>
    <row r="6018" spans="1:6" x14ac:dyDescent="0.25">
      <c r="A6018" s="105" t="s">
        <v>35</v>
      </c>
      <c r="B6018" s="29">
        <v>44143</v>
      </c>
      <c r="C6018" s="4">
        <v>36</v>
      </c>
      <c r="D6018" s="21">
        <f t="shared" si="527"/>
        <v>19546</v>
      </c>
      <c r="E6018" s="4">
        <f>25+5</f>
        <v>30</v>
      </c>
      <c r="F6018" s="95">
        <f t="shared" si="528"/>
        <v>881</v>
      </c>
    </row>
    <row r="6019" spans="1:6" x14ac:dyDescent="0.25">
      <c r="A6019" s="105" t="s">
        <v>36</v>
      </c>
      <c r="B6019" s="29">
        <v>44143</v>
      </c>
      <c r="C6019" s="4">
        <v>127</v>
      </c>
      <c r="D6019" s="21">
        <f t="shared" si="527"/>
        <v>3663</v>
      </c>
      <c r="F6019" s="95">
        <f t="shared" si="528"/>
        <v>102</v>
      </c>
    </row>
    <row r="6020" spans="1:6" x14ac:dyDescent="0.25">
      <c r="A6020" s="105" t="s">
        <v>37</v>
      </c>
      <c r="B6020" s="29">
        <v>44143</v>
      </c>
      <c r="C6020" s="4">
        <v>54</v>
      </c>
      <c r="D6020" s="21">
        <f t="shared" si="527"/>
        <v>9071</v>
      </c>
      <c r="E6020" s="4">
        <f>1</f>
        <v>1</v>
      </c>
      <c r="F6020" s="95">
        <f t="shared" si="528"/>
        <v>122</v>
      </c>
    </row>
    <row r="6021" spans="1:6" x14ac:dyDescent="0.25">
      <c r="A6021" s="105" t="s">
        <v>38</v>
      </c>
      <c r="B6021" s="29">
        <v>44143</v>
      </c>
      <c r="C6021" s="4">
        <v>176</v>
      </c>
      <c r="D6021" s="21">
        <f t="shared" si="527"/>
        <v>11086</v>
      </c>
      <c r="E6021" s="4">
        <v>1</v>
      </c>
      <c r="F6021" s="95">
        <f t="shared" si="528"/>
        <v>165</v>
      </c>
    </row>
    <row r="6022" spans="1:6" x14ac:dyDescent="0.25">
      <c r="A6022" s="105" t="s">
        <v>23</v>
      </c>
      <c r="B6022" s="29">
        <v>44143</v>
      </c>
      <c r="C6022" s="4">
        <v>879</v>
      </c>
      <c r="D6022" s="21">
        <f t="shared" si="527"/>
        <v>118302</v>
      </c>
      <c r="E6022" s="4">
        <f>17+20</f>
        <v>37</v>
      </c>
      <c r="F6022" s="95">
        <f t="shared" si="528"/>
        <v>1665</v>
      </c>
    </row>
    <row r="6023" spans="1:6" x14ac:dyDescent="0.25">
      <c r="A6023" s="105" t="s">
        <v>39</v>
      </c>
      <c r="B6023" s="29">
        <v>44143</v>
      </c>
      <c r="C6023" s="4">
        <v>170</v>
      </c>
      <c r="D6023" s="21">
        <f t="shared" si="527"/>
        <v>11326</v>
      </c>
      <c r="F6023" s="95">
        <f t="shared" si="528"/>
        <v>142</v>
      </c>
    </row>
    <row r="6024" spans="1:6" x14ac:dyDescent="0.25">
      <c r="A6024" s="105" t="s">
        <v>40</v>
      </c>
      <c r="B6024" s="29">
        <v>44143</v>
      </c>
      <c r="C6024" s="4">
        <v>178</v>
      </c>
      <c r="D6024" s="21">
        <f t="shared" si="527"/>
        <v>13136</v>
      </c>
      <c r="F6024" s="95">
        <f t="shared" si="528"/>
        <v>166</v>
      </c>
    </row>
    <row r="6025" spans="1:6" ht="15.75" thickBot="1" x14ac:dyDescent="0.3">
      <c r="A6025" s="107" t="s">
        <v>41</v>
      </c>
      <c r="B6025" s="29">
        <v>44143</v>
      </c>
      <c r="C6025" s="4">
        <v>273</v>
      </c>
      <c r="D6025" s="59">
        <f>C6025+D6001</f>
        <v>54727</v>
      </c>
      <c r="E6025" s="4">
        <v>1</v>
      </c>
      <c r="F6025" s="104">
        <f t="shared" si="528"/>
        <v>886</v>
      </c>
    </row>
    <row r="6026" spans="1:6" x14ac:dyDescent="0.25">
      <c r="A6026" s="45" t="s">
        <v>17</v>
      </c>
      <c r="B6026" s="29">
        <v>44144</v>
      </c>
      <c r="C6026" s="4">
        <v>2391</v>
      </c>
      <c r="D6026" s="97">
        <f t="shared" si="527"/>
        <v>572888</v>
      </c>
      <c r="E6026" s="4">
        <v>114</v>
      </c>
      <c r="F6026" s="94">
        <f t="shared" si="528"/>
        <v>18767</v>
      </c>
    </row>
    <row r="6027" spans="1:6" x14ac:dyDescent="0.25">
      <c r="A6027" s="105" t="s">
        <v>44</v>
      </c>
      <c r="B6027" s="29">
        <v>44144</v>
      </c>
      <c r="C6027" s="4">
        <v>401</v>
      </c>
      <c r="D6027" s="21">
        <f t="shared" si="527"/>
        <v>150977</v>
      </c>
      <c r="E6027" s="4">
        <v>14</v>
      </c>
      <c r="F6027" s="95">
        <f t="shared" si="528"/>
        <v>4996</v>
      </c>
    </row>
    <row r="6028" spans="1:6" x14ac:dyDescent="0.25">
      <c r="A6028" s="105" t="s">
        <v>29</v>
      </c>
      <c r="B6028" s="29">
        <v>44144</v>
      </c>
      <c r="C6028" s="4">
        <v>45</v>
      </c>
      <c r="D6028" s="21">
        <f t="shared" si="527"/>
        <v>1224</v>
      </c>
      <c r="F6028" s="95">
        <f t="shared" si="528"/>
        <v>2</v>
      </c>
    </row>
    <row r="6029" spans="1:6" x14ac:dyDescent="0.25">
      <c r="A6029" s="105" t="s">
        <v>16</v>
      </c>
      <c r="B6029" s="29">
        <v>44144</v>
      </c>
      <c r="C6029" s="4">
        <v>125</v>
      </c>
      <c r="D6029" s="21">
        <f t="shared" si="527"/>
        <v>15163</v>
      </c>
      <c r="E6029" s="4">
        <v>4</v>
      </c>
      <c r="F6029" s="95">
        <f t="shared" si="528"/>
        <v>469</v>
      </c>
    </row>
    <row r="6030" spans="1:6" x14ac:dyDescent="0.25">
      <c r="A6030" s="105" t="s">
        <v>30</v>
      </c>
      <c r="B6030" s="29">
        <v>44144</v>
      </c>
      <c r="C6030" s="4">
        <v>288</v>
      </c>
      <c r="D6030" s="21">
        <f t="shared" si="527"/>
        <v>17183</v>
      </c>
      <c r="E6030" s="4">
        <v>1</v>
      </c>
      <c r="F6030" s="95">
        <f t="shared" si="528"/>
        <v>277</v>
      </c>
    </row>
    <row r="6031" spans="1:6" x14ac:dyDescent="0.25">
      <c r="A6031" s="105" t="s">
        <v>21</v>
      </c>
      <c r="B6031" s="29">
        <v>44144</v>
      </c>
      <c r="C6031" s="4">
        <v>866</v>
      </c>
      <c r="D6031" s="21">
        <f t="shared" si="527"/>
        <v>94445</v>
      </c>
      <c r="E6031" s="4">
        <v>26</v>
      </c>
      <c r="F6031" s="95">
        <f t="shared" si="528"/>
        <v>1502</v>
      </c>
    </row>
    <row r="6032" spans="1:6" x14ac:dyDescent="0.25">
      <c r="A6032" s="105" t="s">
        <v>31</v>
      </c>
      <c r="B6032" s="29">
        <v>44144</v>
      </c>
      <c r="C6032" s="4">
        <v>137</v>
      </c>
      <c r="D6032" s="21">
        <f t="shared" si="527"/>
        <v>3047</v>
      </c>
      <c r="E6032" s="4">
        <v>4</v>
      </c>
      <c r="F6032" s="95">
        <f t="shared" si="528"/>
        <v>61</v>
      </c>
    </row>
    <row r="6033" spans="1:6" x14ac:dyDescent="0.25">
      <c r="A6033" s="105" t="s">
        <v>32</v>
      </c>
      <c r="B6033" s="29">
        <v>44144</v>
      </c>
      <c r="C6033" s="4">
        <v>156</v>
      </c>
      <c r="D6033" s="21">
        <f t="shared" si="527"/>
        <v>18260</v>
      </c>
      <c r="E6033" s="4">
        <v>8</v>
      </c>
      <c r="F6033" s="95">
        <f t="shared" si="528"/>
        <v>336</v>
      </c>
    </row>
    <row r="6034" spans="1:6" x14ac:dyDescent="0.25">
      <c r="A6034" s="105" t="s">
        <v>42</v>
      </c>
      <c r="B6034" s="29">
        <v>44144</v>
      </c>
      <c r="C6034" s="4">
        <v>-1</v>
      </c>
      <c r="D6034" s="21">
        <f t="shared" si="527"/>
        <v>161</v>
      </c>
      <c r="F6034" s="95">
        <f t="shared" si="528"/>
        <v>3</v>
      </c>
    </row>
    <row r="6035" spans="1:6" x14ac:dyDescent="0.25">
      <c r="A6035" s="105" t="s">
        <v>33</v>
      </c>
      <c r="B6035" s="29">
        <v>44144</v>
      </c>
      <c r="C6035" s="4">
        <v>16</v>
      </c>
      <c r="D6035" s="21">
        <f t="shared" si="527"/>
        <v>18041</v>
      </c>
      <c r="F6035" s="95">
        <f t="shared" si="528"/>
        <v>825</v>
      </c>
    </row>
    <row r="6036" spans="1:6" x14ac:dyDescent="0.25">
      <c r="A6036" s="105" t="s">
        <v>34</v>
      </c>
      <c r="B6036" s="29">
        <v>44144</v>
      </c>
      <c r="C6036" s="4">
        <v>71</v>
      </c>
      <c r="D6036" s="21">
        <f t="shared" si="527"/>
        <v>4192</v>
      </c>
      <c r="F6036" s="95">
        <f t="shared" si="528"/>
        <v>41</v>
      </c>
    </row>
    <row r="6037" spans="1:6" x14ac:dyDescent="0.25">
      <c r="A6037" s="105" t="s">
        <v>22</v>
      </c>
      <c r="B6037" s="29">
        <v>44144</v>
      </c>
      <c r="C6037" s="4">
        <v>21</v>
      </c>
      <c r="D6037" s="21">
        <f t="shared" si="527"/>
        <v>7870</v>
      </c>
      <c r="F6037" s="95">
        <f t="shared" si="528"/>
        <v>292</v>
      </c>
    </row>
    <row r="6038" spans="1:6" x14ac:dyDescent="0.25">
      <c r="A6038" s="105" t="s">
        <v>18</v>
      </c>
      <c r="B6038" s="29">
        <v>44144</v>
      </c>
      <c r="C6038" s="4">
        <v>326</v>
      </c>
      <c r="D6038" s="21">
        <f t="shared" si="527"/>
        <v>50900</v>
      </c>
      <c r="E6038" s="4">
        <v>11</v>
      </c>
      <c r="F6038" s="95">
        <f t="shared" si="528"/>
        <v>935</v>
      </c>
    </row>
    <row r="6039" spans="1:6" x14ac:dyDescent="0.25">
      <c r="A6039" s="105" t="s">
        <v>24</v>
      </c>
      <c r="B6039" s="29">
        <v>44144</v>
      </c>
      <c r="C6039" s="4">
        <v>7</v>
      </c>
      <c r="D6039" s="21">
        <f t="shared" si="527"/>
        <v>340</v>
      </c>
      <c r="E6039" s="4">
        <v>1</v>
      </c>
      <c r="F6039" s="95">
        <f t="shared" si="528"/>
        <v>7</v>
      </c>
    </row>
    <row r="6040" spans="1:6" x14ac:dyDescent="0.25">
      <c r="A6040" s="105" t="s">
        <v>20</v>
      </c>
      <c r="B6040" s="29">
        <v>44144</v>
      </c>
      <c r="C6040" s="4">
        <v>149</v>
      </c>
      <c r="D6040" s="21">
        <f t="shared" si="527"/>
        <v>25403</v>
      </c>
      <c r="E6040" s="4">
        <v>1</v>
      </c>
      <c r="F6040" s="95">
        <f t="shared" si="528"/>
        <v>423</v>
      </c>
    </row>
    <row r="6041" spans="1:6" x14ac:dyDescent="0.25">
      <c r="A6041" s="105" t="s">
        <v>19</v>
      </c>
      <c r="B6041" s="29">
        <v>44144</v>
      </c>
      <c r="C6041" s="4">
        <v>356</v>
      </c>
      <c r="D6041" s="21">
        <f t="shared" si="527"/>
        <v>26585</v>
      </c>
      <c r="E6041" s="4">
        <v>7</v>
      </c>
      <c r="F6041" s="95">
        <f t="shared" si="528"/>
        <v>671</v>
      </c>
    </row>
    <row r="6042" spans="1:6" x14ac:dyDescent="0.25">
      <c r="A6042" s="105" t="s">
        <v>35</v>
      </c>
      <c r="B6042" s="29">
        <v>44144</v>
      </c>
      <c r="C6042" s="4">
        <v>65</v>
      </c>
      <c r="D6042" s="21">
        <f t="shared" ref="D6042:D6048" si="529">C6042+D6018</f>
        <v>19611</v>
      </c>
      <c r="E6042" s="4">
        <v>17</v>
      </c>
      <c r="F6042" s="95">
        <f t="shared" si="528"/>
        <v>898</v>
      </c>
    </row>
    <row r="6043" spans="1:6" x14ac:dyDescent="0.25">
      <c r="A6043" s="105" t="s">
        <v>36</v>
      </c>
      <c r="B6043" s="29">
        <v>44144</v>
      </c>
      <c r="C6043" s="4">
        <v>154</v>
      </c>
      <c r="D6043" s="21">
        <f t="shared" si="529"/>
        <v>3817</v>
      </c>
      <c r="E6043" s="4">
        <v>21</v>
      </c>
      <c r="F6043" s="95">
        <f t="shared" si="528"/>
        <v>123</v>
      </c>
    </row>
    <row r="6044" spans="1:6" x14ac:dyDescent="0.25">
      <c r="A6044" s="105" t="s">
        <v>37</v>
      </c>
      <c r="B6044" s="29">
        <v>44144</v>
      </c>
      <c r="C6044" s="4">
        <v>298</v>
      </c>
      <c r="D6044" s="21">
        <f t="shared" si="529"/>
        <v>9369</v>
      </c>
      <c r="E6044" s="4">
        <v>10</v>
      </c>
      <c r="F6044" s="95">
        <f t="shared" si="528"/>
        <v>132</v>
      </c>
    </row>
    <row r="6045" spans="1:6" x14ac:dyDescent="0.25">
      <c r="A6045" s="105" t="s">
        <v>38</v>
      </c>
      <c r="B6045" s="29">
        <v>44144</v>
      </c>
      <c r="C6045" s="4">
        <v>136</v>
      </c>
      <c r="D6045" s="21">
        <f t="shared" si="529"/>
        <v>11222</v>
      </c>
      <c r="E6045" s="4">
        <v>10</v>
      </c>
      <c r="F6045" s="95">
        <f t="shared" si="528"/>
        <v>175</v>
      </c>
    </row>
    <row r="6046" spans="1:6" x14ac:dyDescent="0.25">
      <c r="A6046" s="105" t="s">
        <v>23</v>
      </c>
      <c r="B6046" s="29">
        <v>44144</v>
      </c>
      <c r="C6046" s="4">
        <v>1291</v>
      </c>
      <c r="D6046" s="21">
        <f t="shared" si="529"/>
        <v>119593</v>
      </c>
      <c r="E6046" s="4">
        <v>60</v>
      </c>
      <c r="F6046" s="95">
        <f t="shared" si="528"/>
        <v>1725</v>
      </c>
    </row>
    <row r="6047" spans="1:6" x14ac:dyDescent="0.25">
      <c r="A6047" s="105" t="s">
        <v>39</v>
      </c>
      <c r="B6047" s="29">
        <v>44144</v>
      </c>
      <c r="C6047" s="4">
        <v>205</v>
      </c>
      <c r="D6047" s="21">
        <f t="shared" si="529"/>
        <v>11531</v>
      </c>
      <c r="E6047" s="4">
        <v>4</v>
      </c>
      <c r="F6047" s="95">
        <f t="shared" si="528"/>
        <v>146</v>
      </c>
    </row>
    <row r="6048" spans="1:6" x14ac:dyDescent="0.25">
      <c r="A6048" s="105" t="s">
        <v>40</v>
      </c>
      <c r="B6048" s="29">
        <v>44144</v>
      </c>
      <c r="C6048" s="4">
        <v>173</v>
      </c>
      <c r="D6048" s="21">
        <f t="shared" si="529"/>
        <v>13309</v>
      </c>
      <c r="E6048" s="4">
        <v>2</v>
      </c>
      <c r="F6048" s="95">
        <f t="shared" si="528"/>
        <v>168</v>
      </c>
    </row>
    <row r="6049" spans="1:6" ht="15.75" thickBot="1" x14ac:dyDescent="0.3">
      <c r="A6049" s="107" t="s">
        <v>41</v>
      </c>
      <c r="B6049" s="29">
        <v>44144</v>
      </c>
      <c r="C6049" s="4">
        <v>641</v>
      </c>
      <c r="D6049" s="59">
        <f>C6049+D6025</f>
        <v>55368</v>
      </c>
      <c r="E6049" s="4">
        <v>33</v>
      </c>
      <c r="F6049" s="104">
        <f t="shared" si="528"/>
        <v>919</v>
      </c>
    </row>
    <row r="6050" spans="1:6" x14ac:dyDescent="0.25">
      <c r="A6050" s="45" t="s">
        <v>17</v>
      </c>
      <c r="B6050" s="29">
        <v>44145</v>
      </c>
      <c r="C6050" s="4">
        <v>3428</v>
      </c>
      <c r="D6050" s="97">
        <f t="shared" ref="D6050:D6113" si="530">C6050+D6026</f>
        <v>576316</v>
      </c>
      <c r="E6050" s="4">
        <v>81</v>
      </c>
      <c r="F6050" s="94">
        <f t="shared" si="528"/>
        <v>18848</v>
      </c>
    </row>
    <row r="6051" spans="1:6" x14ac:dyDescent="0.25">
      <c r="A6051" s="105" t="s">
        <v>44</v>
      </c>
      <c r="B6051" s="29">
        <v>44145</v>
      </c>
      <c r="C6051" s="4">
        <v>560</v>
      </c>
      <c r="D6051" s="21">
        <f t="shared" si="530"/>
        <v>151537</v>
      </c>
      <c r="E6051" s="4">
        <v>16</v>
      </c>
      <c r="F6051" s="95">
        <f t="shared" si="528"/>
        <v>5012</v>
      </c>
    </row>
    <row r="6052" spans="1:6" x14ac:dyDescent="0.25">
      <c r="A6052" s="105" t="s">
        <v>29</v>
      </c>
      <c r="B6052" s="29">
        <v>44145</v>
      </c>
      <c r="C6052" s="4">
        <v>27</v>
      </c>
      <c r="D6052" s="21">
        <f t="shared" si="530"/>
        <v>1251</v>
      </c>
      <c r="F6052" s="95">
        <f t="shared" si="528"/>
        <v>2</v>
      </c>
    </row>
    <row r="6053" spans="1:6" x14ac:dyDescent="0.25">
      <c r="A6053" s="105" t="s">
        <v>16</v>
      </c>
      <c r="B6053" s="29">
        <v>44145</v>
      </c>
      <c r="C6053" s="4">
        <v>144</v>
      </c>
      <c r="D6053" s="21">
        <f t="shared" si="530"/>
        <v>15307</v>
      </c>
      <c r="E6053" s="4">
        <v>6</v>
      </c>
      <c r="F6053" s="95">
        <f t="shared" si="528"/>
        <v>475</v>
      </c>
    </row>
    <row r="6054" spans="1:6" x14ac:dyDescent="0.25">
      <c r="A6054" s="105" t="s">
        <v>30</v>
      </c>
      <c r="B6054" s="29">
        <v>44145</v>
      </c>
      <c r="C6054" s="4">
        <v>511</v>
      </c>
      <c r="D6054" s="21">
        <f t="shared" si="530"/>
        <v>17694</v>
      </c>
      <c r="E6054" s="4">
        <v>13</v>
      </c>
      <c r="F6054" s="95">
        <f t="shared" si="528"/>
        <v>290</v>
      </c>
    </row>
    <row r="6055" spans="1:6" x14ac:dyDescent="0.25">
      <c r="A6055" s="105" t="s">
        <v>21</v>
      </c>
      <c r="B6055" s="29">
        <v>44145</v>
      </c>
      <c r="C6055" s="4">
        <v>1622</v>
      </c>
      <c r="D6055" s="21">
        <f t="shared" si="530"/>
        <v>96067</v>
      </c>
      <c r="E6055" s="4">
        <v>27</v>
      </c>
      <c r="F6055" s="95">
        <f t="shared" si="528"/>
        <v>1529</v>
      </c>
    </row>
    <row r="6056" spans="1:6" x14ac:dyDescent="0.25">
      <c r="A6056" s="105" t="s">
        <v>31</v>
      </c>
      <c r="B6056" s="29">
        <v>44145</v>
      </c>
      <c r="C6056" s="4">
        <v>62</v>
      </c>
      <c r="D6056" s="21">
        <f t="shared" si="530"/>
        <v>3109</v>
      </c>
      <c r="E6056" s="4">
        <v>2</v>
      </c>
      <c r="F6056" s="95">
        <f t="shared" si="528"/>
        <v>63</v>
      </c>
    </row>
    <row r="6057" spans="1:6" x14ac:dyDescent="0.25">
      <c r="A6057" s="105" t="s">
        <v>32</v>
      </c>
      <c r="B6057" s="29">
        <v>44145</v>
      </c>
      <c r="C6057" s="4">
        <v>338</v>
      </c>
      <c r="D6057" s="21">
        <f t="shared" si="530"/>
        <v>18598</v>
      </c>
      <c r="E6057" s="4">
        <v>9</v>
      </c>
      <c r="F6057" s="95">
        <f t="shared" si="528"/>
        <v>345</v>
      </c>
    </row>
    <row r="6058" spans="1:6" x14ac:dyDescent="0.25">
      <c r="A6058" s="105" t="s">
        <v>42</v>
      </c>
      <c r="B6058" s="29">
        <v>44145</v>
      </c>
      <c r="C6058" s="4">
        <v>2</v>
      </c>
      <c r="D6058" s="21">
        <f t="shared" si="530"/>
        <v>163</v>
      </c>
      <c r="F6058" s="95">
        <f t="shared" si="528"/>
        <v>3</v>
      </c>
    </row>
    <row r="6059" spans="1:6" x14ac:dyDescent="0.25">
      <c r="A6059" s="105" t="s">
        <v>33</v>
      </c>
      <c r="B6059" s="29">
        <v>44145</v>
      </c>
      <c r="C6059" s="4">
        <v>24</v>
      </c>
      <c r="D6059" s="21">
        <f t="shared" si="530"/>
        <v>18065</v>
      </c>
      <c r="E6059" s="4">
        <v>7</v>
      </c>
      <c r="F6059" s="95">
        <f t="shared" ref="F6059:F6122" si="531">E6059+F6035</f>
        <v>832</v>
      </c>
    </row>
    <row r="6060" spans="1:6" x14ac:dyDescent="0.25">
      <c r="A6060" s="105" t="s">
        <v>34</v>
      </c>
      <c r="B6060" s="29">
        <v>44145</v>
      </c>
      <c r="C6060" s="4">
        <v>96</v>
      </c>
      <c r="D6060" s="21">
        <f t="shared" si="530"/>
        <v>4288</v>
      </c>
      <c r="E6060" s="4">
        <v>1</v>
      </c>
      <c r="F6060" s="95">
        <f t="shared" si="531"/>
        <v>42</v>
      </c>
    </row>
    <row r="6061" spans="1:6" x14ac:dyDescent="0.25">
      <c r="A6061" s="105" t="s">
        <v>22</v>
      </c>
      <c r="B6061" s="29">
        <v>44145</v>
      </c>
      <c r="C6061" s="4">
        <v>48</v>
      </c>
      <c r="D6061" s="21">
        <f t="shared" si="530"/>
        <v>7918</v>
      </c>
      <c r="F6061" s="95">
        <f t="shared" si="531"/>
        <v>292</v>
      </c>
    </row>
    <row r="6062" spans="1:6" x14ac:dyDescent="0.25">
      <c r="A6062" s="105" t="s">
        <v>18</v>
      </c>
      <c r="B6062" s="29">
        <v>44145</v>
      </c>
      <c r="C6062" s="4">
        <v>520</v>
      </c>
      <c r="D6062" s="21">
        <f t="shared" si="530"/>
        <v>51420</v>
      </c>
      <c r="E6062" s="4">
        <v>16</v>
      </c>
      <c r="F6062" s="95">
        <f t="shared" si="531"/>
        <v>951</v>
      </c>
    </row>
    <row r="6063" spans="1:6" x14ac:dyDescent="0.25">
      <c r="A6063" s="105" t="s">
        <v>24</v>
      </c>
      <c r="B6063" s="29">
        <v>44145</v>
      </c>
      <c r="C6063" s="4">
        <v>21</v>
      </c>
      <c r="D6063" s="21">
        <f t="shared" si="530"/>
        <v>361</v>
      </c>
      <c r="F6063" s="95">
        <f t="shared" si="531"/>
        <v>7</v>
      </c>
    </row>
    <row r="6064" spans="1:6" x14ac:dyDescent="0.25">
      <c r="A6064" s="105" t="s">
        <v>20</v>
      </c>
      <c r="B6064" s="29">
        <v>44145</v>
      </c>
      <c r="C6064" s="4">
        <v>351</v>
      </c>
      <c r="D6064" s="21">
        <f t="shared" si="530"/>
        <v>25754</v>
      </c>
      <c r="E6064" s="4">
        <v>1</v>
      </c>
      <c r="F6064" s="95">
        <f t="shared" si="531"/>
        <v>424</v>
      </c>
    </row>
    <row r="6065" spans="1:6" x14ac:dyDescent="0.25">
      <c r="A6065" s="105" t="s">
        <v>19</v>
      </c>
      <c r="B6065" s="29">
        <v>44145</v>
      </c>
      <c r="C6065" s="4">
        <v>539</v>
      </c>
      <c r="D6065" s="21">
        <f t="shared" si="530"/>
        <v>27124</v>
      </c>
      <c r="E6065" s="4">
        <v>11</v>
      </c>
      <c r="F6065" s="95">
        <f t="shared" si="531"/>
        <v>682</v>
      </c>
    </row>
    <row r="6066" spans="1:6" x14ac:dyDescent="0.25">
      <c r="A6066" s="105" t="s">
        <v>35</v>
      </c>
      <c r="B6066" s="29">
        <v>44145</v>
      </c>
      <c r="C6066" s="4">
        <v>89</v>
      </c>
      <c r="D6066" s="21">
        <f t="shared" si="530"/>
        <v>19700</v>
      </c>
      <c r="E6066" s="4">
        <v>5</v>
      </c>
      <c r="F6066" s="95">
        <f t="shared" si="531"/>
        <v>903</v>
      </c>
    </row>
    <row r="6067" spans="1:6" x14ac:dyDescent="0.25">
      <c r="A6067" s="105" t="s">
        <v>36</v>
      </c>
      <c r="B6067" s="29">
        <v>44145</v>
      </c>
      <c r="C6067" s="4">
        <v>142</v>
      </c>
      <c r="D6067" s="21">
        <f t="shared" si="530"/>
        <v>3959</v>
      </c>
      <c r="F6067" s="95">
        <f t="shared" si="531"/>
        <v>123</v>
      </c>
    </row>
    <row r="6068" spans="1:6" x14ac:dyDescent="0.25">
      <c r="A6068" s="105" t="s">
        <v>37</v>
      </c>
      <c r="B6068" s="29">
        <v>44145</v>
      </c>
      <c r="C6068" s="4">
        <v>452</v>
      </c>
      <c r="D6068" s="21">
        <f t="shared" si="530"/>
        <v>9821</v>
      </c>
      <c r="E6068" s="4">
        <v>2</v>
      </c>
      <c r="F6068" s="95">
        <f t="shared" si="531"/>
        <v>134</v>
      </c>
    </row>
    <row r="6069" spans="1:6" x14ac:dyDescent="0.25">
      <c r="A6069" s="105" t="s">
        <v>38</v>
      </c>
      <c r="B6069" s="29">
        <v>44145</v>
      </c>
      <c r="C6069" s="4">
        <v>257</v>
      </c>
      <c r="D6069" s="21">
        <f t="shared" si="530"/>
        <v>11479</v>
      </c>
      <c r="E6069" s="4">
        <v>5</v>
      </c>
      <c r="F6069" s="95">
        <f t="shared" si="531"/>
        <v>180</v>
      </c>
    </row>
    <row r="6070" spans="1:6" x14ac:dyDescent="0.25">
      <c r="A6070" s="105" t="s">
        <v>23</v>
      </c>
      <c r="B6070" s="29">
        <v>44145</v>
      </c>
      <c r="C6070" s="4">
        <v>1691</v>
      </c>
      <c r="D6070" s="21">
        <f t="shared" si="530"/>
        <v>121284</v>
      </c>
      <c r="E6070" s="4">
        <v>44</v>
      </c>
      <c r="F6070" s="95">
        <f t="shared" si="531"/>
        <v>1769</v>
      </c>
    </row>
    <row r="6071" spans="1:6" x14ac:dyDescent="0.25">
      <c r="A6071" s="105" t="s">
        <v>39</v>
      </c>
      <c r="B6071" s="29">
        <v>44145</v>
      </c>
      <c r="C6071" s="4">
        <v>129</v>
      </c>
      <c r="D6071" s="21">
        <f t="shared" si="530"/>
        <v>11660</v>
      </c>
      <c r="E6071" s="4">
        <v>5</v>
      </c>
      <c r="F6071" s="95">
        <f t="shared" si="531"/>
        <v>151</v>
      </c>
    </row>
    <row r="6072" spans="1:6" x14ac:dyDescent="0.25">
      <c r="A6072" s="105" t="s">
        <v>40</v>
      </c>
      <c r="B6072" s="29">
        <v>44145</v>
      </c>
      <c r="C6072" s="4">
        <v>235</v>
      </c>
      <c r="D6072" s="21">
        <f t="shared" si="530"/>
        <v>13544</v>
      </c>
      <c r="E6072" s="4">
        <v>1</v>
      </c>
      <c r="F6072" s="95">
        <f t="shared" si="531"/>
        <v>169</v>
      </c>
    </row>
    <row r="6073" spans="1:6" ht="15.75" thickBot="1" x14ac:dyDescent="0.3">
      <c r="A6073" s="107" t="s">
        <v>41</v>
      </c>
      <c r="B6073" s="29">
        <v>44145</v>
      </c>
      <c r="C6073" s="4">
        <v>689</v>
      </c>
      <c r="D6073" s="59">
        <f>C6073+D6049</f>
        <v>56057</v>
      </c>
      <c r="E6073" s="4">
        <v>27</v>
      </c>
      <c r="F6073" s="104">
        <f t="shared" si="531"/>
        <v>946</v>
      </c>
    </row>
    <row r="6074" spans="1:6" x14ac:dyDescent="0.25">
      <c r="A6074" s="45" t="s">
        <v>17</v>
      </c>
      <c r="B6074" s="29">
        <v>44146</v>
      </c>
      <c r="C6074" s="4">
        <v>3040</v>
      </c>
      <c r="D6074" s="97">
        <f t="shared" si="530"/>
        <v>579356</v>
      </c>
      <c r="E6074" s="4">
        <v>128</v>
      </c>
      <c r="F6074" s="94">
        <f t="shared" si="531"/>
        <v>18976</v>
      </c>
    </row>
    <row r="6075" spans="1:6" x14ac:dyDescent="0.25">
      <c r="A6075" s="105" t="s">
        <v>44</v>
      </c>
      <c r="B6075" s="29">
        <v>44146</v>
      </c>
      <c r="C6075" s="4">
        <v>549</v>
      </c>
      <c r="D6075" s="21">
        <f t="shared" si="530"/>
        <v>152086</v>
      </c>
      <c r="E6075" s="4">
        <v>10</v>
      </c>
      <c r="F6075" s="95">
        <f t="shared" si="531"/>
        <v>5022</v>
      </c>
    </row>
    <row r="6076" spans="1:6" x14ac:dyDescent="0.25">
      <c r="A6076" s="105" t="s">
        <v>29</v>
      </c>
      <c r="B6076" s="29">
        <v>44146</v>
      </c>
      <c r="C6076" s="4">
        <v>51</v>
      </c>
      <c r="D6076" s="21">
        <f t="shared" si="530"/>
        <v>1302</v>
      </c>
      <c r="F6076" s="95">
        <f t="shared" si="531"/>
        <v>2</v>
      </c>
    </row>
    <row r="6077" spans="1:6" x14ac:dyDescent="0.25">
      <c r="A6077" s="105" t="s">
        <v>16</v>
      </c>
      <c r="B6077" s="29">
        <v>44146</v>
      </c>
      <c r="C6077" s="4">
        <v>205</v>
      </c>
      <c r="D6077" s="21">
        <f t="shared" si="530"/>
        <v>15512</v>
      </c>
      <c r="E6077" s="4">
        <v>2</v>
      </c>
      <c r="F6077" s="95">
        <f t="shared" si="531"/>
        <v>477</v>
      </c>
    </row>
    <row r="6078" spans="1:6" x14ac:dyDescent="0.25">
      <c r="A6078" s="105" t="s">
        <v>30</v>
      </c>
      <c r="B6078" s="29">
        <v>44146</v>
      </c>
      <c r="C6078" s="4">
        <v>354</v>
      </c>
      <c r="D6078" s="21">
        <f t="shared" si="530"/>
        <v>18048</v>
      </c>
      <c r="E6078" s="4">
        <v>7</v>
      </c>
      <c r="F6078" s="95">
        <f t="shared" si="531"/>
        <v>297</v>
      </c>
    </row>
    <row r="6079" spans="1:6" x14ac:dyDescent="0.25">
      <c r="A6079" s="105" t="s">
        <v>21</v>
      </c>
      <c r="B6079" s="29">
        <v>44146</v>
      </c>
      <c r="C6079" s="4">
        <v>1361</v>
      </c>
      <c r="D6079" s="21">
        <f t="shared" si="530"/>
        <v>97428</v>
      </c>
      <c r="E6079" s="4">
        <v>28</v>
      </c>
      <c r="F6079" s="95">
        <f t="shared" si="531"/>
        <v>1557</v>
      </c>
    </row>
    <row r="6080" spans="1:6" x14ac:dyDescent="0.25">
      <c r="A6080" s="105" t="s">
        <v>31</v>
      </c>
      <c r="B6080" s="29">
        <v>44146</v>
      </c>
      <c r="C6080" s="4">
        <v>135</v>
      </c>
      <c r="D6080" s="21">
        <f t="shared" si="530"/>
        <v>3244</v>
      </c>
      <c r="F6080" s="95">
        <f t="shared" si="531"/>
        <v>63</v>
      </c>
    </row>
    <row r="6081" spans="1:6" x14ac:dyDescent="0.25">
      <c r="A6081" s="105" t="s">
        <v>32</v>
      </c>
      <c r="B6081" s="29">
        <v>44146</v>
      </c>
      <c r="C6081" s="4">
        <v>357</v>
      </c>
      <c r="D6081" s="21">
        <f t="shared" si="530"/>
        <v>18955</v>
      </c>
      <c r="E6081" s="4">
        <v>4</v>
      </c>
      <c r="F6081" s="95">
        <f t="shared" si="531"/>
        <v>349</v>
      </c>
    </row>
    <row r="6082" spans="1:6" x14ac:dyDescent="0.25">
      <c r="A6082" s="105" t="s">
        <v>42</v>
      </c>
      <c r="B6082" s="29">
        <v>44146</v>
      </c>
      <c r="C6082" s="4">
        <v>2</v>
      </c>
      <c r="D6082" s="21">
        <f t="shared" si="530"/>
        <v>165</v>
      </c>
      <c r="F6082" s="95">
        <f t="shared" si="531"/>
        <v>3</v>
      </c>
    </row>
    <row r="6083" spans="1:6" x14ac:dyDescent="0.25">
      <c r="A6083" s="105" t="s">
        <v>33</v>
      </c>
      <c r="B6083" s="29">
        <v>44146</v>
      </c>
      <c r="C6083" s="4">
        <v>10</v>
      </c>
      <c r="D6083" s="21">
        <f t="shared" si="530"/>
        <v>18075</v>
      </c>
      <c r="F6083" s="95">
        <f t="shared" si="531"/>
        <v>832</v>
      </c>
    </row>
    <row r="6084" spans="1:6" x14ac:dyDescent="0.25">
      <c r="A6084" s="105" t="s">
        <v>34</v>
      </c>
      <c r="B6084" s="29">
        <v>44146</v>
      </c>
      <c r="C6084" s="4">
        <v>92</v>
      </c>
      <c r="D6084" s="21">
        <f t="shared" si="530"/>
        <v>4380</v>
      </c>
      <c r="E6084" s="4">
        <v>4</v>
      </c>
      <c r="F6084" s="95">
        <f t="shared" si="531"/>
        <v>46</v>
      </c>
    </row>
    <row r="6085" spans="1:6" x14ac:dyDescent="0.25">
      <c r="A6085" s="105" t="s">
        <v>22</v>
      </c>
      <c r="B6085" s="29">
        <v>44146</v>
      </c>
      <c r="C6085" s="4">
        <v>41</v>
      </c>
      <c r="D6085" s="21">
        <f t="shared" si="530"/>
        <v>7959</v>
      </c>
      <c r="F6085" s="95">
        <f t="shared" si="531"/>
        <v>292</v>
      </c>
    </row>
    <row r="6086" spans="1:6" x14ac:dyDescent="0.25">
      <c r="A6086" s="105" t="s">
        <v>18</v>
      </c>
      <c r="B6086" s="29">
        <v>44146</v>
      </c>
      <c r="C6086" s="4">
        <v>474</v>
      </c>
      <c r="D6086" s="21">
        <f t="shared" si="530"/>
        <v>51894</v>
      </c>
      <c r="E6086" s="4">
        <v>41</v>
      </c>
      <c r="F6086" s="95">
        <f t="shared" si="531"/>
        <v>992</v>
      </c>
    </row>
    <row r="6087" spans="1:6" x14ac:dyDescent="0.25">
      <c r="A6087" s="105" t="s">
        <v>24</v>
      </c>
      <c r="B6087" s="29">
        <v>44146</v>
      </c>
      <c r="C6087" s="4">
        <v>-2</v>
      </c>
      <c r="D6087" s="21">
        <f t="shared" si="530"/>
        <v>359</v>
      </c>
      <c r="F6087" s="95">
        <f t="shared" si="531"/>
        <v>7</v>
      </c>
    </row>
    <row r="6088" spans="1:6" x14ac:dyDescent="0.25">
      <c r="A6088" s="105" t="s">
        <v>20</v>
      </c>
      <c r="B6088" s="29">
        <v>44146</v>
      </c>
      <c r="C6088" s="4">
        <v>129</v>
      </c>
      <c r="D6088" s="21">
        <f t="shared" si="530"/>
        <v>25883</v>
      </c>
      <c r="E6088" s="4">
        <v>42</v>
      </c>
      <c r="F6088" s="95">
        <f t="shared" si="531"/>
        <v>466</v>
      </c>
    </row>
    <row r="6089" spans="1:6" x14ac:dyDescent="0.25">
      <c r="A6089" s="105" t="s">
        <v>19</v>
      </c>
      <c r="B6089" s="29">
        <v>44146</v>
      </c>
      <c r="C6089" s="4">
        <v>207</v>
      </c>
      <c r="D6089" s="21">
        <f t="shared" si="530"/>
        <v>27331</v>
      </c>
      <c r="E6089" s="4">
        <v>6</v>
      </c>
      <c r="F6089" s="95">
        <f t="shared" si="531"/>
        <v>688</v>
      </c>
    </row>
    <row r="6090" spans="1:6" x14ac:dyDescent="0.25">
      <c r="A6090" s="105" t="s">
        <v>35</v>
      </c>
      <c r="B6090" s="29">
        <v>44146</v>
      </c>
      <c r="C6090" s="4">
        <v>93</v>
      </c>
      <c r="D6090" s="21">
        <f t="shared" si="530"/>
        <v>19793</v>
      </c>
      <c r="E6090" s="4">
        <v>7</v>
      </c>
      <c r="F6090" s="95">
        <f t="shared" si="531"/>
        <v>910</v>
      </c>
    </row>
    <row r="6091" spans="1:6" x14ac:dyDescent="0.25">
      <c r="A6091" s="105" t="s">
        <v>36</v>
      </c>
      <c r="B6091" s="29">
        <v>44146</v>
      </c>
      <c r="C6091" s="4">
        <v>157</v>
      </c>
      <c r="D6091" s="21">
        <f t="shared" si="530"/>
        <v>4116</v>
      </c>
      <c r="F6091" s="95">
        <f t="shared" si="531"/>
        <v>123</v>
      </c>
    </row>
    <row r="6092" spans="1:6" x14ac:dyDescent="0.25">
      <c r="A6092" s="105" t="s">
        <v>37</v>
      </c>
      <c r="B6092" s="29">
        <v>44146</v>
      </c>
      <c r="C6092" s="4">
        <v>363</v>
      </c>
      <c r="D6092" s="21">
        <f t="shared" si="530"/>
        <v>10184</v>
      </c>
      <c r="E6092" s="4">
        <v>5</v>
      </c>
      <c r="F6092" s="95">
        <f t="shared" si="531"/>
        <v>139</v>
      </c>
    </row>
    <row r="6093" spans="1:6" x14ac:dyDescent="0.25">
      <c r="A6093" s="105" t="s">
        <v>38</v>
      </c>
      <c r="B6093" s="29">
        <v>44146</v>
      </c>
      <c r="C6093" s="4">
        <v>305</v>
      </c>
      <c r="D6093" s="21">
        <f t="shared" si="530"/>
        <v>11784</v>
      </c>
      <c r="E6093" s="4">
        <v>2</v>
      </c>
      <c r="F6093" s="95">
        <f t="shared" si="531"/>
        <v>182</v>
      </c>
    </row>
    <row r="6094" spans="1:6" x14ac:dyDescent="0.25">
      <c r="A6094" s="105" t="s">
        <v>23</v>
      </c>
      <c r="B6094" s="29">
        <v>44146</v>
      </c>
      <c r="C6094" s="4">
        <v>1545</v>
      </c>
      <c r="D6094" s="21">
        <f t="shared" si="530"/>
        <v>122829</v>
      </c>
      <c r="E6094" s="4">
        <v>47</v>
      </c>
      <c r="F6094" s="95">
        <f t="shared" si="531"/>
        <v>1816</v>
      </c>
    </row>
    <row r="6095" spans="1:6" x14ac:dyDescent="0.25">
      <c r="A6095" s="105" t="s">
        <v>39</v>
      </c>
      <c r="B6095" s="29">
        <v>44146</v>
      </c>
      <c r="C6095" s="4">
        <v>252</v>
      </c>
      <c r="D6095" s="21">
        <f t="shared" si="530"/>
        <v>11912</v>
      </c>
      <c r="F6095" s="95">
        <f t="shared" si="531"/>
        <v>151</v>
      </c>
    </row>
    <row r="6096" spans="1:6" x14ac:dyDescent="0.25">
      <c r="A6096" s="105" t="s">
        <v>40</v>
      </c>
      <c r="B6096" s="29">
        <v>44146</v>
      </c>
      <c r="C6096" s="4">
        <v>123</v>
      </c>
      <c r="D6096" s="21">
        <f t="shared" si="530"/>
        <v>13667</v>
      </c>
      <c r="E6096" s="4">
        <v>3</v>
      </c>
      <c r="F6096" s="95">
        <f t="shared" si="531"/>
        <v>172</v>
      </c>
    </row>
    <row r="6097" spans="1:6" ht="15.75" thickBot="1" x14ac:dyDescent="0.3">
      <c r="A6097" s="107" t="s">
        <v>41</v>
      </c>
      <c r="B6097" s="29">
        <v>44146</v>
      </c>
      <c r="C6097" s="4">
        <v>1037</v>
      </c>
      <c r="D6097" s="59">
        <f>C6097+D6073</f>
        <v>57094</v>
      </c>
      <c r="E6097" s="4">
        <v>12</v>
      </c>
      <c r="F6097" s="104">
        <f t="shared" si="531"/>
        <v>958</v>
      </c>
    </row>
    <row r="6098" spans="1:6" x14ac:dyDescent="0.25">
      <c r="A6098" s="45" t="s">
        <v>17</v>
      </c>
      <c r="B6098" s="29">
        <v>44147</v>
      </c>
      <c r="C6098" s="4">
        <v>3391</v>
      </c>
      <c r="D6098" s="97">
        <f t="shared" si="530"/>
        <v>582747</v>
      </c>
      <c r="E6098" s="4">
        <v>67</v>
      </c>
      <c r="F6098" s="94">
        <f t="shared" si="531"/>
        <v>19043</v>
      </c>
    </row>
    <row r="6099" spans="1:6" x14ac:dyDescent="0.25">
      <c r="A6099" s="105" t="s">
        <v>44</v>
      </c>
      <c r="B6099" s="29">
        <v>44147</v>
      </c>
      <c r="C6099" s="4">
        <v>499</v>
      </c>
      <c r="D6099" s="21">
        <f t="shared" si="530"/>
        <v>152585</v>
      </c>
      <c r="E6099" s="4">
        <v>19</v>
      </c>
      <c r="F6099" s="95">
        <f t="shared" si="531"/>
        <v>5041</v>
      </c>
    </row>
    <row r="6100" spans="1:6" x14ac:dyDescent="0.25">
      <c r="A6100" s="105" t="s">
        <v>29</v>
      </c>
      <c r="B6100" s="29">
        <v>44147</v>
      </c>
      <c r="C6100" s="4">
        <v>26</v>
      </c>
      <c r="D6100" s="21">
        <f t="shared" si="530"/>
        <v>1328</v>
      </c>
      <c r="E6100" s="4">
        <v>2</v>
      </c>
      <c r="F6100" s="95">
        <f t="shared" si="531"/>
        <v>4</v>
      </c>
    </row>
    <row r="6101" spans="1:6" x14ac:dyDescent="0.25">
      <c r="A6101" s="105" t="s">
        <v>16</v>
      </c>
      <c r="B6101" s="29">
        <v>44147</v>
      </c>
      <c r="C6101" s="4">
        <v>203</v>
      </c>
      <c r="D6101" s="21">
        <f t="shared" si="530"/>
        <v>15715</v>
      </c>
      <c r="E6101" s="4">
        <v>5</v>
      </c>
      <c r="F6101" s="95">
        <f t="shared" si="531"/>
        <v>482</v>
      </c>
    </row>
    <row r="6102" spans="1:6" x14ac:dyDescent="0.25">
      <c r="A6102" s="105" t="s">
        <v>30</v>
      </c>
      <c r="B6102" s="29">
        <v>44147</v>
      </c>
      <c r="C6102" s="4">
        <v>342</v>
      </c>
      <c r="D6102" s="21">
        <f t="shared" si="530"/>
        <v>18390</v>
      </c>
      <c r="E6102" s="4">
        <v>13</v>
      </c>
      <c r="F6102" s="95">
        <f t="shared" si="531"/>
        <v>310</v>
      </c>
    </row>
    <row r="6103" spans="1:6" x14ac:dyDescent="0.25">
      <c r="A6103" s="105" t="s">
        <v>21</v>
      </c>
      <c r="B6103" s="29">
        <v>44147</v>
      </c>
      <c r="C6103" s="4">
        <v>1432</v>
      </c>
      <c r="D6103" s="21">
        <f t="shared" si="530"/>
        <v>98860</v>
      </c>
      <c r="E6103" s="4">
        <v>26</v>
      </c>
      <c r="F6103" s="95">
        <f t="shared" si="531"/>
        <v>1583</v>
      </c>
    </row>
    <row r="6104" spans="1:6" x14ac:dyDescent="0.25">
      <c r="A6104" s="105" t="s">
        <v>31</v>
      </c>
      <c r="B6104" s="29">
        <v>44147</v>
      </c>
      <c r="C6104" s="4">
        <v>171</v>
      </c>
      <c r="D6104" s="21">
        <f t="shared" si="530"/>
        <v>3415</v>
      </c>
      <c r="E6104" s="4">
        <v>2</v>
      </c>
      <c r="F6104" s="95">
        <f t="shared" si="531"/>
        <v>65</v>
      </c>
    </row>
    <row r="6105" spans="1:6" x14ac:dyDescent="0.25">
      <c r="A6105" s="105" t="s">
        <v>32</v>
      </c>
      <c r="B6105" s="29">
        <v>44147</v>
      </c>
      <c r="C6105" s="4">
        <v>308</v>
      </c>
      <c r="D6105" s="21">
        <f t="shared" si="530"/>
        <v>19263</v>
      </c>
      <c r="E6105" s="4">
        <v>9</v>
      </c>
      <c r="F6105" s="95">
        <f t="shared" si="531"/>
        <v>358</v>
      </c>
    </row>
    <row r="6106" spans="1:6" x14ac:dyDescent="0.25">
      <c r="A6106" s="105" t="s">
        <v>42</v>
      </c>
      <c r="B6106" s="29">
        <v>44147</v>
      </c>
      <c r="C6106" s="4">
        <v>1</v>
      </c>
      <c r="D6106" s="21">
        <f t="shared" si="530"/>
        <v>166</v>
      </c>
      <c r="E6106" s="4">
        <v>0</v>
      </c>
      <c r="F6106" s="95">
        <f t="shared" si="531"/>
        <v>3</v>
      </c>
    </row>
    <row r="6107" spans="1:6" x14ac:dyDescent="0.25">
      <c r="A6107" s="105" t="s">
        <v>33</v>
      </c>
      <c r="B6107" s="29">
        <v>44147</v>
      </c>
      <c r="C6107" s="4">
        <v>20</v>
      </c>
      <c r="D6107" s="21">
        <f t="shared" si="530"/>
        <v>18095</v>
      </c>
      <c r="E6107" s="4">
        <v>4</v>
      </c>
      <c r="F6107" s="95">
        <f t="shared" si="531"/>
        <v>836</v>
      </c>
    </row>
    <row r="6108" spans="1:6" x14ac:dyDescent="0.25">
      <c r="A6108" s="105" t="s">
        <v>34</v>
      </c>
      <c r="B6108" s="29">
        <v>44147</v>
      </c>
      <c r="C6108" s="4">
        <v>86</v>
      </c>
      <c r="D6108" s="21">
        <f t="shared" si="530"/>
        <v>4466</v>
      </c>
      <c r="E6108" s="4">
        <v>2</v>
      </c>
      <c r="F6108" s="95">
        <f t="shared" si="531"/>
        <v>48</v>
      </c>
    </row>
    <row r="6109" spans="1:6" x14ac:dyDescent="0.25">
      <c r="A6109" s="105" t="s">
        <v>22</v>
      </c>
      <c r="B6109" s="29">
        <v>44147</v>
      </c>
      <c r="C6109" s="4">
        <v>48</v>
      </c>
      <c r="D6109" s="21">
        <f t="shared" si="530"/>
        <v>8007</v>
      </c>
      <c r="E6109" s="4">
        <v>6</v>
      </c>
      <c r="F6109" s="95">
        <f t="shared" si="531"/>
        <v>298</v>
      </c>
    </row>
    <row r="6110" spans="1:6" x14ac:dyDescent="0.25">
      <c r="A6110" s="105" t="s">
        <v>18</v>
      </c>
      <c r="B6110" s="29">
        <v>44147</v>
      </c>
      <c r="C6110" s="4">
        <v>380</v>
      </c>
      <c r="D6110" s="21">
        <f t="shared" si="530"/>
        <v>52274</v>
      </c>
      <c r="E6110" s="4">
        <v>7</v>
      </c>
      <c r="F6110" s="95">
        <f t="shared" si="531"/>
        <v>999</v>
      </c>
    </row>
    <row r="6111" spans="1:6" x14ac:dyDescent="0.25">
      <c r="A6111" s="105" t="s">
        <v>24</v>
      </c>
      <c r="B6111" s="29">
        <v>44147</v>
      </c>
      <c r="C6111" s="4">
        <v>0</v>
      </c>
      <c r="D6111" s="21">
        <f t="shared" si="530"/>
        <v>359</v>
      </c>
      <c r="F6111" s="95">
        <f t="shared" si="531"/>
        <v>7</v>
      </c>
    </row>
    <row r="6112" spans="1:6" x14ac:dyDescent="0.25">
      <c r="A6112" s="105" t="s">
        <v>20</v>
      </c>
      <c r="B6112" s="29">
        <v>44147</v>
      </c>
      <c r="C6112" s="4">
        <v>355</v>
      </c>
      <c r="D6112" s="21">
        <f t="shared" si="530"/>
        <v>26238</v>
      </c>
      <c r="E6112" s="4">
        <v>17</v>
      </c>
      <c r="F6112" s="95">
        <f t="shared" si="531"/>
        <v>483</v>
      </c>
    </row>
    <row r="6113" spans="1:6" x14ac:dyDescent="0.25">
      <c r="A6113" s="105" t="s">
        <v>19</v>
      </c>
      <c r="B6113" s="29">
        <v>44147</v>
      </c>
      <c r="C6113" s="4">
        <v>429</v>
      </c>
      <c r="D6113" s="21">
        <f t="shared" si="530"/>
        <v>27760</v>
      </c>
      <c r="E6113" s="4">
        <v>8</v>
      </c>
      <c r="F6113" s="95">
        <f t="shared" si="531"/>
        <v>696</v>
      </c>
    </row>
    <row r="6114" spans="1:6" x14ac:dyDescent="0.25">
      <c r="A6114" s="105" t="s">
        <v>35</v>
      </c>
      <c r="B6114" s="29">
        <v>44147</v>
      </c>
      <c r="C6114" s="4">
        <v>116</v>
      </c>
      <c r="D6114" s="21">
        <f t="shared" ref="D6114:D6120" si="532">C6114+D6090</f>
        <v>19909</v>
      </c>
      <c r="E6114" s="4">
        <v>1</v>
      </c>
      <c r="F6114" s="95">
        <f t="shared" si="531"/>
        <v>911</v>
      </c>
    </row>
    <row r="6115" spans="1:6" x14ac:dyDescent="0.25">
      <c r="A6115" s="105" t="s">
        <v>36</v>
      </c>
      <c r="B6115" s="29">
        <v>44147</v>
      </c>
      <c r="C6115" s="4">
        <v>118</v>
      </c>
      <c r="D6115" s="21">
        <f t="shared" si="532"/>
        <v>4234</v>
      </c>
      <c r="F6115" s="95">
        <f t="shared" si="531"/>
        <v>123</v>
      </c>
    </row>
    <row r="6116" spans="1:6" x14ac:dyDescent="0.25">
      <c r="A6116" s="105" t="s">
        <v>37</v>
      </c>
      <c r="B6116" s="29">
        <v>44147</v>
      </c>
      <c r="C6116" s="4">
        <v>346</v>
      </c>
      <c r="D6116" s="21">
        <f t="shared" si="532"/>
        <v>10530</v>
      </c>
      <c r="E6116" s="4">
        <v>6</v>
      </c>
      <c r="F6116" s="95">
        <f t="shared" si="531"/>
        <v>145</v>
      </c>
    </row>
    <row r="6117" spans="1:6" x14ac:dyDescent="0.25">
      <c r="A6117" s="105" t="s">
        <v>38</v>
      </c>
      <c r="B6117" s="29">
        <v>44147</v>
      </c>
      <c r="C6117" s="4">
        <v>260</v>
      </c>
      <c r="D6117" s="21">
        <f t="shared" si="532"/>
        <v>12044</v>
      </c>
      <c r="E6117" s="4">
        <v>3</v>
      </c>
      <c r="F6117" s="95">
        <f t="shared" si="531"/>
        <v>185</v>
      </c>
    </row>
    <row r="6118" spans="1:6" x14ac:dyDescent="0.25">
      <c r="A6118" s="105" t="s">
        <v>23</v>
      </c>
      <c r="B6118" s="29">
        <v>44147</v>
      </c>
      <c r="C6118" s="4">
        <v>1597</v>
      </c>
      <c r="D6118" s="21">
        <f t="shared" si="532"/>
        <v>124426</v>
      </c>
      <c r="E6118" s="4">
        <v>33</v>
      </c>
      <c r="F6118" s="95">
        <f t="shared" si="531"/>
        <v>1849</v>
      </c>
    </row>
    <row r="6119" spans="1:6" x14ac:dyDescent="0.25">
      <c r="A6119" s="105" t="s">
        <v>39</v>
      </c>
      <c r="B6119" s="29">
        <v>44147</v>
      </c>
      <c r="C6119" s="4">
        <v>188</v>
      </c>
      <c r="D6119" s="21">
        <f t="shared" si="532"/>
        <v>12100</v>
      </c>
      <c r="E6119" s="4">
        <v>1</v>
      </c>
      <c r="F6119" s="95">
        <f t="shared" si="531"/>
        <v>152</v>
      </c>
    </row>
    <row r="6120" spans="1:6" x14ac:dyDescent="0.25">
      <c r="A6120" s="105" t="s">
        <v>40</v>
      </c>
      <c r="B6120" s="29">
        <v>44147</v>
      </c>
      <c r="C6120" s="4">
        <v>214</v>
      </c>
      <c r="D6120" s="21">
        <f t="shared" si="532"/>
        <v>13881</v>
      </c>
      <c r="E6120" s="4">
        <v>16</v>
      </c>
      <c r="F6120" s="95">
        <f t="shared" si="531"/>
        <v>188</v>
      </c>
    </row>
    <row r="6121" spans="1:6" ht="15.75" thickBot="1" x14ac:dyDescent="0.3">
      <c r="A6121" s="107" t="s">
        <v>41</v>
      </c>
      <c r="B6121" s="29">
        <v>44147</v>
      </c>
      <c r="C6121" s="4">
        <v>633</v>
      </c>
      <c r="D6121" s="59">
        <f>C6121+D6097</f>
        <v>57727</v>
      </c>
      <c r="E6121" s="4">
        <v>2</v>
      </c>
      <c r="F6121" s="104">
        <f t="shared" si="531"/>
        <v>960</v>
      </c>
    </row>
    <row r="6122" spans="1:6" x14ac:dyDescent="0.25">
      <c r="A6122" s="45" t="s">
        <v>17</v>
      </c>
      <c r="B6122" s="29">
        <v>44148</v>
      </c>
      <c r="C6122" s="4">
        <v>2761</v>
      </c>
      <c r="D6122" s="97">
        <f t="shared" ref="D6122:D6185" si="533">C6122+D6098</f>
        <v>585508</v>
      </c>
      <c r="E6122" s="4">
        <f>53+34</f>
        <v>87</v>
      </c>
      <c r="F6122" s="94">
        <f t="shared" si="531"/>
        <v>19130</v>
      </c>
    </row>
    <row r="6123" spans="1:6" x14ac:dyDescent="0.25">
      <c r="A6123" s="105" t="s">
        <v>44</v>
      </c>
      <c r="B6123" s="29">
        <v>44148</v>
      </c>
      <c r="C6123" s="4">
        <v>397</v>
      </c>
      <c r="D6123" s="21">
        <f t="shared" si="533"/>
        <v>152982</v>
      </c>
      <c r="E6123" s="4">
        <f>13+3</f>
        <v>16</v>
      </c>
      <c r="F6123" s="95">
        <f t="shared" ref="F6123:F6186" si="534">E6123+F6099</f>
        <v>5057</v>
      </c>
    </row>
    <row r="6124" spans="1:6" x14ac:dyDescent="0.25">
      <c r="A6124" s="105" t="s">
        <v>29</v>
      </c>
      <c r="B6124" s="29">
        <v>44148</v>
      </c>
      <c r="C6124" s="4">
        <v>59</v>
      </c>
      <c r="D6124" s="21">
        <f t="shared" si="533"/>
        <v>1387</v>
      </c>
      <c r="E6124" s="4">
        <f>1+2</f>
        <v>3</v>
      </c>
      <c r="F6124" s="95">
        <f t="shared" si="534"/>
        <v>7</v>
      </c>
    </row>
    <row r="6125" spans="1:6" x14ac:dyDescent="0.25">
      <c r="A6125" s="105" t="s">
        <v>16</v>
      </c>
      <c r="B6125" s="29">
        <v>44148</v>
      </c>
      <c r="C6125" s="4">
        <v>258</v>
      </c>
      <c r="D6125" s="21">
        <f t="shared" si="533"/>
        <v>15973</v>
      </c>
      <c r="E6125" s="4">
        <f>2</f>
        <v>2</v>
      </c>
      <c r="F6125" s="95">
        <f t="shared" si="534"/>
        <v>484</v>
      </c>
    </row>
    <row r="6126" spans="1:6" x14ac:dyDescent="0.25">
      <c r="A6126" s="105" t="s">
        <v>30</v>
      </c>
      <c r="B6126" s="29">
        <v>44148</v>
      </c>
      <c r="C6126" s="4">
        <v>367</v>
      </c>
      <c r="D6126" s="21">
        <f t="shared" si="533"/>
        <v>18757</v>
      </c>
      <c r="E6126" s="4">
        <v>8</v>
      </c>
      <c r="F6126" s="95">
        <f t="shared" si="534"/>
        <v>318</v>
      </c>
    </row>
    <row r="6127" spans="1:6" x14ac:dyDescent="0.25">
      <c r="A6127" s="105" t="s">
        <v>21</v>
      </c>
      <c r="B6127" s="29">
        <v>44148</v>
      </c>
      <c r="C6127" s="4">
        <v>1631</v>
      </c>
      <c r="D6127" s="21">
        <f t="shared" si="533"/>
        <v>100491</v>
      </c>
      <c r="E6127" s="4">
        <f>15+14</f>
        <v>29</v>
      </c>
      <c r="F6127" s="95">
        <f t="shared" si="534"/>
        <v>1612</v>
      </c>
    </row>
    <row r="6128" spans="1:6" x14ac:dyDescent="0.25">
      <c r="A6128" s="105" t="s">
        <v>31</v>
      </c>
      <c r="B6128" s="29">
        <v>44148</v>
      </c>
      <c r="C6128" s="4">
        <v>64</v>
      </c>
      <c r="D6128" s="21">
        <f t="shared" si="533"/>
        <v>3479</v>
      </c>
      <c r="E6128" s="4">
        <f>3</f>
        <v>3</v>
      </c>
      <c r="F6128" s="95">
        <f t="shared" si="534"/>
        <v>68</v>
      </c>
    </row>
    <row r="6129" spans="1:6" x14ac:dyDescent="0.25">
      <c r="A6129" s="105" t="s">
        <v>32</v>
      </c>
      <c r="B6129" s="29">
        <v>44148</v>
      </c>
      <c r="C6129" s="4">
        <v>297</v>
      </c>
      <c r="D6129" s="21">
        <f t="shared" si="533"/>
        <v>19560</v>
      </c>
      <c r="E6129" s="4">
        <f>2+3</f>
        <v>5</v>
      </c>
      <c r="F6129" s="95">
        <f t="shared" si="534"/>
        <v>363</v>
      </c>
    </row>
    <row r="6130" spans="1:6" x14ac:dyDescent="0.25">
      <c r="A6130" s="105" t="s">
        <v>42</v>
      </c>
      <c r="B6130" s="29">
        <v>44148</v>
      </c>
      <c r="C6130" s="4">
        <v>1</v>
      </c>
      <c r="D6130" s="21">
        <f t="shared" si="533"/>
        <v>167</v>
      </c>
      <c r="F6130" s="95">
        <f t="shared" si="534"/>
        <v>3</v>
      </c>
    </row>
    <row r="6131" spans="1:6" x14ac:dyDescent="0.25">
      <c r="A6131" s="105" t="s">
        <v>33</v>
      </c>
      <c r="B6131" s="29">
        <v>44148</v>
      </c>
      <c r="C6131" s="4">
        <v>30</v>
      </c>
      <c r="D6131" s="21">
        <f t="shared" si="533"/>
        <v>18125</v>
      </c>
      <c r="E6131" s="4">
        <f>1</f>
        <v>1</v>
      </c>
      <c r="F6131" s="95">
        <f t="shared" si="534"/>
        <v>837</v>
      </c>
    </row>
    <row r="6132" spans="1:6" x14ac:dyDescent="0.25">
      <c r="A6132" s="105" t="s">
        <v>34</v>
      </c>
      <c r="B6132" s="29">
        <v>44148</v>
      </c>
      <c r="C6132" s="4">
        <v>82</v>
      </c>
      <c r="D6132" s="21">
        <f t="shared" si="533"/>
        <v>4548</v>
      </c>
      <c r="E6132" s="4">
        <f>1</f>
        <v>1</v>
      </c>
      <c r="F6132" s="95">
        <f t="shared" si="534"/>
        <v>49</v>
      </c>
    </row>
    <row r="6133" spans="1:6" x14ac:dyDescent="0.25">
      <c r="A6133" s="105" t="s">
        <v>22</v>
      </c>
      <c r="B6133" s="29">
        <v>44148</v>
      </c>
      <c r="C6133" s="4">
        <v>69</v>
      </c>
      <c r="D6133" s="21">
        <f t="shared" si="533"/>
        <v>8076</v>
      </c>
      <c r="F6133" s="95">
        <f t="shared" si="534"/>
        <v>298</v>
      </c>
    </row>
    <row r="6134" spans="1:6" x14ac:dyDescent="0.25">
      <c r="A6134" s="105" t="s">
        <v>18</v>
      </c>
      <c r="B6134" s="29">
        <v>44148</v>
      </c>
      <c r="C6134" s="4">
        <v>425</v>
      </c>
      <c r="D6134" s="21">
        <f t="shared" si="533"/>
        <v>52699</v>
      </c>
      <c r="E6134" s="4">
        <f>6+2</f>
        <v>8</v>
      </c>
      <c r="F6134" s="95">
        <f t="shared" si="534"/>
        <v>1007</v>
      </c>
    </row>
    <row r="6135" spans="1:6" x14ac:dyDescent="0.25">
      <c r="A6135" s="105" t="s">
        <v>24</v>
      </c>
      <c r="B6135" s="29">
        <v>44148</v>
      </c>
      <c r="C6135" s="4">
        <v>9</v>
      </c>
      <c r="D6135" s="21">
        <f t="shared" si="533"/>
        <v>368</v>
      </c>
      <c r="F6135" s="95">
        <f t="shared" si="534"/>
        <v>7</v>
      </c>
    </row>
    <row r="6136" spans="1:6" x14ac:dyDescent="0.25">
      <c r="A6136" s="105" t="s">
        <v>20</v>
      </c>
      <c r="B6136" s="29">
        <v>44148</v>
      </c>
      <c r="C6136" s="4">
        <v>255</v>
      </c>
      <c r="D6136" s="21">
        <f t="shared" si="533"/>
        <v>26493</v>
      </c>
      <c r="E6136" s="4">
        <f>24+8</f>
        <v>32</v>
      </c>
      <c r="F6136" s="95">
        <f t="shared" si="534"/>
        <v>515</v>
      </c>
    </row>
    <row r="6137" spans="1:6" x14ac:dyDescent="0.25">
      <c r="A6137" s="105" t="s">
        <v>19</v>
      </c>
      <c r="B6137" s="29">
        <v>44148</v>
      </c>
      <c r="C6137" s="4">
        <v>335</v>
      </c>
      <c r="D6137" s="21">
        <f t="shared" si="533"/>
        <v>28095</v>
      </c>
      <c r="E6137" s="4">
        <f>5+3</f>
        <v>8</v>
      </c>
      <c r="F6137" s="95">
        <f t="shared" si="534"/>
        <v>704</v>
      </c>
    </row>
    <row r="6138" spans="1:6" x14ac:dyDescent="0.25">
      <c r="A6138" s="105" t="s">
        <v>35</v>
      </c>
      <c r="B6138" s="29">
        <v>44148</v>
      </c>
      <c r="C6138" s="4">
        <v>157</v>
      </c>
      <c r="D6138" s="21">
        <f t="shared" si="533"/>
        <v>20066</v>
      </c>
      <c r="E6138" s="4">
        <f>1+2</f>
        <v>3</v>
      </c>
      <c r="F6138" s="95">
        <f t="shared" si="534"/>
        <v>914</v>
      </c>
    </row>
    <row r="6139" spans="1:6" x14ac:dyDescent="0.25">
      <c r="A6139" s="105" t="s">
        <v>36</v>
      </c>
      <c r="B6139" s="29">
        <v>44148</v>
      </c>
      <c r="C6139" s="4">
        <v>98</v>
      </c>
      <c r="D6139" s="21">
        <f t="shared" si="533"/>
        <v>4332</v>
      </c>
      <c r="E6139" s="4">
        <f>10+3</f>
        <v>13</v>
      </c>
      <c r="F6139" s="95">
        <f t="shared" si="534"/>
        <v>136</v>
      </c>
    </row>
    <row r="6140" spans="1:6" x14ac:dyDescent="0.25">
      <c r="A6140" s="105" t="s">
        <v>37</v>
      </c>
      <c r="B6140" s="29">
        <v>44148</v>
      </c>
      <c r="C6140" s="4">
        <v>465</v>
      </c>
      <c r="D6140" s="21">
        <f t="shared" si="533"/>
        <v>10995</v>
      </c>
      <c r="E6140" s="4">
        <f>4+3</f>
        <v>7</v>
      </c>
      <c r="F6140" s="95">
        <f t="shared" si="534"/>
        <v>152</v>
      </c>
    </row>
    <row r="6141" spans="1:6" x14ac:dyDescent="0.25">
      <c r="A6141" s="105" t="s">
        <v>38</v>
      </c>
      <c r="B6141" s="29">
        <v>44148</v>
      </c>
      <c r="C6141" s="4">
        <v>265</v>
      </c>
      <c r="D6141" s="21">
        <f t="shared" si="533"/>
        <v>12309</v>
      </c>
      <c r="E6141" s="4">
        <f>1</f>
        <v>1</v>
      </c>
      <c r="F6141" s="95">
        <f t="shared" si="534"/>
        <v>186</v>
      </c>
    </row>
    <row r="6142" spans="1:6" x14ac:dyDescent="0.25">
      <c r="A6142" s="105" t="s">
        <v>23</v>
      </c>
      <c r="B6142" s="29">
        <v>44148</v>
      </c>
      <c r="C6142" s="4">
        <v>1683</v>
      </c>
      <c r="D6142" s="21">
        <f t="shared" si="533"/>
        <v>126109</v>
      </c>
      <c r="E6142" s="4">
        <f>6+2</f>
        <v>8</v>
      </c>
      <c r="F6142" s="95">
        <f t="shared" si="534"/>
        <v>1857</v>
      </c>
    </row>
    <row r="6143" spans="1:6" x14ac:dyDescent="0.25">
      <c r="A6143" s="105" t="s">
        <v>39</v>
      </c>
      <c r="B6143" s="29">
        <v>44148</v>
      </c>
      <c r="C6143" s="4">
        <v>504</v>
      </c>
      <c r="D6143" s="21">
        <f t="shared" si="533"/>
        <v>12604</v>
      </c>
      <c r="E6143" s="4">
        <f>3</f>
        <v>3</v>
      </c>
      <c r="F6143" s="95">
        <f t="shared" si="534"/>
        <v>155</v>
      </c>
    </row>
    <row r="6144" spans="1:6" x14ac:dyDescent="0.25">
      <c r="A6144" s="105" t="s">
        <v>40</v>
      </c>
      <c r="B6144" s="29">
        <v>44148</v>
      </c>
      <c r="C6144" s="4">
        <v>171</v>
      </c>
      <c r="D6144" s="21">
        <f t="shared" si="533"/>
        <v>14052</v>
      </c>
      <c r="E6144" s="4">
        <f>5+1</f>
        <v>6</v>
      </c>
      <c r="F6144" s="95">
        <f t="shared" si="534"/>
        <v>194</v>
      </c>
    </row>
    <row r="6145" spans="1:6" ht="15.75" thickBot="1" x14ac:dyDescent="0.3">
      <c r="A6145" s="107" t="s">
        <v>41</v>
      </c>
      <c r="B6145" s="29">
        <v>44148</v>
      </c>
      <c r="C6145" s="4">
        <v>1476</v>
      </c>
      <c r="D6145" s="59">
        <f>C6145+D6121</f>
        <v>59203</v>
      </c>
      <c r="E6145" s="4">
        <f>7+4</f>
        <v>11</v>
      </c>
      <c r="F6145" s="104">
        <f t="shared" si="534"/>
        <v>971</v>
      </c>
    </row>
    <row r="6146" spans="1:6" x14ac:dyDescent="0.25">
      <c r="A6146" s="45" t="s">
        <v>17</v>
      </c>
      <c r="B6146" s="29">
        <v>44149</v>
      </c>
      <c r="C6146" s="4">
        <v>2300</v>
      </c>
      <c r="D6146" s="97">
        <f t="shared" si="533"/>
        <v>587808</v>
      </c>
      <c r="E6146" s="4">
        <f>105+72</f>
        <v>177</v>
      </c>
      <c r="F6146" s="94">
        <f t="shared" si="534"/>
        <v>19307</v>
      </c>
    </row>
    <row r="6147" spans="1:6" x14ac:dyDescent="0.25">
      <c r="A6147" s="105" t="s">
        <v>44</v>
      </c>
      <c r="B6147" s="29">
        <v>44149</v>
      </c>
      <c r="C6147" s="4">
        <v>506</v>
      </c>
      <c r="D6147" s="21">
        <f t="shared" si="533"/>
        <v>153488</v>
      </c>
      <c r="E6147" s="4">
        <f>6+8</f>
        <v>14</v>
      </c>
      <c r="F6147" s="95">
        <f t="shared" si="534"/>
        <v>5071</v>
      </c>
    </row>
    <row r="6148" spans="1:6" x14ac:dyDescent="0.25">
      <c r="A6148" s="105" t="s">
        <v>29</v>
      </c>
      <c r="B6148" s="29">
        <v>44149</v>
      </c>
      <c r="C6148" s="4">
        <v>34</v>
      </c>
      <c r="D6148" s="21">
        <f t="shared" si="533"/>
        <v>1421</v>
      </c>
      <c r="F6148" s="95">
        <f t="shared" si="534"/>
        <v>7</v>
      </c>
    </row>
    <row r="6149" spans="1:6" x14ac:dyDescent="0.25">
      <c r="A6149" s="105" t="s">
        <v>16</v>
      </c>
      <c r="B6149" s="29">
        <v>44149</v>
      </c>
      <c r="C6149" s="4">
        <v>215</v>
      </c>
      <c r="D6149" s="21">
        <f t="shared" si="533"/>
        <v>16188</v>
      </c>
      <c r="E6149" s="4">
        <f>2</f>
        <v>2</v>
      </c>
      <c r="F6149" s="95">
        <f t="shared" si="534"/>
        <v>486</v>
      </c>
    </row>
    <row r="6150" spans="1:6" x14ac:dyDescent="0.25">
      <c r="A6150" s="105" t="s">
        <v>30</v>
      </c>
      <c r="B6150" s="29">
        <v>44149</v>
      </c>
      <c r="C6150" s="4">
        <v>275</v>
      </c>
      <c r="D6150" s="21">
        <f t="shared" si="533"/>
        <v>19032</v>
      </c>
      <c r="E6150" s="4">
        <f>1+1</f>
        <v>2</v>
      </c>
      <c r="F6150" s="95">
        <f t="shared" si="534"/>
        <v>320</v>
      </c>
    </row>
    <row r="6151" spans="1:6" x14ac:dyDescent="0.25">
      <c r="A6151" s="105" t="s">
        <v>21</v>
      </c>
      <c r="B6151" s="29">
        <v>44149</v>
      </c>
      <c r="C6151" s="4">
        <v>1139</v>
      </c>
      <c r="D6151" s="21">
        <f t="shared" si="533"/>
        <v>101630</v>
      </c>
      <c r="E6151" s="4">
        <f>8+11</f>
        <v>19</v>
      </c>
      <c r="F6151" s="95">
        <f t="shared" si="534"/>
        <v>1631</v>
      </c>
    </row>
    <row r="6152" spans="1:6" x14ac:dyDescent="0.25">
      <c r="A6152" s="105" t="s">
        <v>31</v>
      </c>
      <c r="B6152" s="29">
        <v>44149</v>
      </c>
      <c r="C6152" s="4">
        <v>144</v>
      </c>
      <c r="D6152" s="21">
        <f t="shared" si="533"/>
        <v>3623</v>
      </c>
      <c r="E6152" s="4">
        <f>1</f>
        <v>1</v>
      </c>
      <c r="F6152" s="95">
        <f t="shared" si="534"/>
        <v>69</v>
      </c>
    </row>
    <row r="6153" spans="1:6" x14ac:dyDescent="0.25">
      <c r="A6153" s="105" t="s">
        <v>32</v>
      </c>
      <c r="B6153" s="29">
        <v>44149</v>
      </c>
      <c r="C6153" s="4">
        <v>306</v>
      </c>
      <c r="D6153" s="21">
        <f t="shared" si="533"/>
        <v>19866</v>
      </c>
      <c r="E6153" s="4">
        <f>5+2</f>
        <v>7</v>
      </c>
      <c r="F6153" s="95">
        <f t="shared" si="534"/>
        <v>370</v>
      </c>
    </row>
    <row r="6154" spans="1:6" x14ac:dyDescent="0.25">
      <c r="A6154" s="105" t="s">
        <v>42</v>
      </c>
      <c r="B6154" s="29">
        <v>44149</v>
      </c>
      <c r="C6154" s="4">
        <v>1</v>
      </c>
      <c r="D6154" s="21">
        <f t="shared" si="533"/>
        <v>168</v>
      </c>
      <c r="F6154" s="95">
        <f t="shared" si="534"/>
        <v>3</v>
      </c>
    </row>
    <row r="6155" spans="1:6" x14ac:dyDescent="0.25">
      <c r="A6155" s="105" t="s">
        <v>33</v>
      </c>
      <c r="B6155" s="29">
        <v>44149</v>
      </c>
      <c r="C6155" s="4">
        <v>22</v>
      </c>
      <c r="D6155" s="21">
        <f t="shared" si="533"/>
        <v>18147</v>
      </c>
      <c r="E6155" s="4">
        <f>1</f>
        <v>1</v>
      </c>
      <c r="F6155" s="95">
        <f t="shared" si="534"/>
        <v>838</v>
      </c>
    </row>
    <row r="6156" spans="1:6" x14ac:dyDescent="0.25">
      <c r="A6156" s="105" t="s">
        <v>34</v>
      </c>
      <c r="B6156" s="29">
        <v>44149</v>
      </c>
      <c r="C6156" s="4">
        <v>95</v>
      </c>
      <c r="D6156" s="21">
        <f t="shared" si="533"/>
        <v>4643</v>
      </c>
      <c r="F6156" s="95">
        <f t="shared" si="534"/>
        <v>49</v>
      </c>
    </row>
    <row r="6157" spans="1:6" x14ac:dyDescent="0.25">
      <c r="A6157" s="105" t="s">
        <v>22</v>
      </c>
      <c r="B6157" s="29">
        <v>44149</v>
      </c>
      <c r="C6157" s="4">
        <v>80</v>
      </c>
      <c r="D6157" s="21">
        <f t="shared" si="533"/>
        <v>8156</v>
      </c>
      <c r="F6157" s="95">
        <f t="shared" si="534"/>
        <v>298</v>
      </c>
    </row>
    <row r="6158" spans="1:6" x14ac:dyDescent="0.25">
      <c r="A6158" s="105" t="s">
        <v>18</v>
      </c>
      <c r="B6158" s="29">
        <v>44149</v>
      </c>
      <c r="C6158" s="4">
        <v>294</v>
      </c>
      <c r="D6158" s="21">
        <f t="shared" si="533"/>
        <v>52993</v>
      </c>
      <c r="E6158" s="4">
        <f>1+2</f>
        <v>3</v>
      </c>
      <c r="F6158" s="95">
        <f t="shared" si="534"/>
        <v>1010</v>
      </c>
    </row>
    <row r="6159" spans="1:6" x14ac:dyDescent="0.25">
      <c r="A6159" s="105" t="s">
        <v>24</v>
      </c>
      <c r="B6159" s="29">
        <v>44149</v>
      </c>
      <c r="C6159" s="4">
        <v>4</v>
      </c>
      <c r="D6159" s="21">
        <f t="shared" si="533"/>
        <v>372</v>
      </c>
      <c r="F6159" s="95">
        <f t="shared" si="534"/>
        <v>7</v>
      </c>
    </row>
    <row r="6160" spans="1:6" x14ac:dyDescent="0.25">
      <c r="A6160" s="105" t="s">
        <v>20</v>
      </c>
      <c r="B6160" s="29">
        <v>44149</v>
      </c>
      <c r="C6160" s="4">
        <v>181</v>
      </c>
      <c r="D6160" s="21">
        <f t="shared" si="533"/>
        <v>26674</v>
      </c>
      <c r="F6160" s="95">
        <f t="shared" si="534"/>
        <v>515</v>
      </c>
    </row>
    <row r="6161" spans="1:6" x14ac:dyDescent="0.25">
      <c r="A6161" s="105" t="s">
        <v>19</v>
      </c>
      <c r="B6161" s="29">
        <v>44149</v>
      </c>
      <c r="C6161" s="4">
        <v>217</v>
      </c>
      <c r="D6161" s="21">
        <f t="shared" si="533"/>
        <v>28312</v>
      </c>
      <c r="E6161" s="4">
        <f>4+3</f>
        <v>7</v>
      </c>
      <c r="F6161" s="95">
        <f t="shared" si="534"/>
        <v>711</v>
      </c>
    </row>
    <row r="6162" spans="1:6" x14ac:dyDescent="0.25">
      <c r="A6162" s="105" t="s">
        <v>35</v>
      </c>
      <c r="B6162" s="29">
        <v>44149</v>
      </c>
      <c r="C6162" s="4">
        <v>59</v>
      </c>
      <c r="D6162" s="21">
        <f t="shared" si="533"/>
        <v>20125</v>
      </c>
      <c r="E6162" s="4">
        <f>3+2</f>
        <v>5</v>
      </c>
      <c r="F6162" s="95">
        <f t="shared" si="534"/>
        <v>919</v>
      </c>
    </row>
    <row r="6163" spans="1:6" x14ac:dyDescent="0.25">
      <c r="A6163" s="105" t="s">
        <v>36</v>
      </c>
      <c r="B6163" s="29">
        <v>44149</v>
      </c>
      <c r="C6163" s="4">
        <v>88</v>
      </c>
      <c r="D6163" s="21">
        <f t="shared" si="533"/>
        <v>4420</v>
      </c>
      <c r="F6163" s="95">
        <f t="shared" si="534"/>
        <v>136</v>
      </c>
    </row>
    <row r="6164" spans="1:6" x14ac:dyDescent="0.25">
      <c r="A6164" s="105" t="s">
        <v>37</v>
      </c>
      <c r="B6164" s="29">
        <v>44149</v>
      </c>
      <c r="C6164" s="4">
        <v>199</v>
      </c>
      <c r="D6164" s="21">
        <f t="shared" si="533"/>
        <v>11194</v>
      </c>
      <c r="F6164" s="95">
        <f t="shared" si="534"/>
        <v>152</v>
      </c>
    </row>
    <row r="6165" spans="1:6" x14ac:dyDescent="0.25">
      <c r="A6165" s="105" t="s">
        <v>38</v>
      </c>
      <c r="B6165" s="29">
        <v>44149</v>
      </c>
      <c r="C6165" s="4">
        <v>160</v>
      </c>
      <c r="D6165" s="21">
        <f t="shared" si="533"/>
        <v>12469</v>
      </c>
      <c r="E6165" s="4">
        <f>1</f>
        <v>1</v>
      </c>
      <c r="F6165" s="95">
        <f t="shared" si="534"/>
        <v>187</v>
      </c>
    </row>
    <row r="6166" spans="1:6" x14ac:dyDescent="0.25">
      <c r="A6166" s="105" t="s">
        <v>23</v>
      </c>
      <c r="B6166" s="29">
        <v>44149</v>
      </c>
      <c r="C6166" s="4">
        <v>1339</v>
      </c>
      <c r="D6166" s="21">
        <f t="shared" si="533"/>
        <v>127448</v>
      </c>
      <c r="E6166" s="4">
        <f>7+5</f>
        <v>12</v>
      </c>
      <c r="F6166" s="95">
        <f t="shared" si="534"/>
        <v>1869</v>
      </c>
    </row>
    <row r="6167" spans="1:6" x14ac:dyDescent="0.25">
      <c r="A6167" s="105" t="s">
        <v>39</v>
      </c>
      <c r="B6167" s="29">
        <v>44149</v>
      </c>
      <c r="C6167" s="4">
        <v>264</v>
      </c>
      <c r="D6167" s="21">
        <f t="shared" si="533"/>
        <v>12868</v>
      </c>
      <c r="E6167" s="4">
        <f>2</f>
        <v>2</v>
      </c>
      <c r="F6167" s="95">
        <f t="shared" si="534"/>
        <v>157</v>
      </c>
    </row>
    <row r="6168" spans="1:6" x14ac:dyDescent="0.25">
      <c r="A6168" s="105" t="s">
        <v>40</v>
      </c>
      <c r="B6168" s="29">
        <v>44149</v>
      </c>
      <c r="C6168" s="4">
        <v>120</v>
      </c>
      <c r="D6168" s="21">
        <f t="shared" si="533"/>
        <v>14172</v>
      </c>
      <c r="E6168" s="4">
        <f>1</f>
        <v>1</v>
      </c>
      <c r="F6168" s="95">
        <f t="shared" si="534"/>
        <v>195</v>
      </c>
    </row>
    <row r="6169" spans="1:6" ht="15.75" thickBot="1" x14ac:dyDescent="0.3">
      <c r="A6169" s="107" t="s">
        <v>41</v>
      </c>
      <c r="B6169" s="29">
        <v>44149</v>
      </c>
      <c r="C6169" s="4">
        <v>426</v>
      </c>
      <c r="D6169" s="59">
        <f>C6169+D6145</f>
        <v>59629</v>
      </c>
      <c r="E6169" s="4">
        <f>3+5</f>
        <v>8</v>
      </c>
      <c r="F6169" s="104">
        <f t="shared" si="534"/>
        <v>979</v>
      </c>
    </row>
    <row r="6170" spans="1:6" x14ac:dyDescent="0.25">
      <c r="A6170" s="45" t="s">
        <v>17</v>
      </c>
      <c r="B6170" s="29">
        <v>44150</v>
      </c>
      <c r="C6170" s="4">
        <v>1446</v>
      </c>
      <c r="D6170" s="97">
        <f t="shared" si="533"/>
        <v>589254</v>
      </c>
      <c r="E6170" s="4">
        <f>37+32</f>
        <v>69</v>
      </c>
      <c r="F6170" s="94">
        <f t="shared" si="534"/>
        <v>19376</v>
      </c>
    </row>
    <row r="6171" spans="1:6" x14ac:dyDescent="0.25">
      <c r="A6171" s="105" t="s">
        <v>44</v>
      </c>
      <c r="B6171" s="29">
        <v>44150</v>
      </c>
      <c r="C6171" s="4">
        <v>297</v>
      </c>
      <c r="D6171" s="21">
        <f t="shared" si="533"/>
        <v>153785</v>
      </c>
      <c r="E6171" s="4">
        <f>3+2</f>
        <v>5</v>
      </c>
      <c r="F6171" s="95">
        <f t="shared" si="534"/>
        <v>5076</v>
      </c>
    </row>
    <row r="6172" spans="1:6" x14ac:dyDescent="0.25">
      <c r="A6172" s="105" t="s">
        <v>29</v>
      </c>
      <c r="B6172" s="29">
        <v>44150</v>
      </c>
      <c r="C6172" s="4">
        <v>45</v>
      </c>
      <c r="D6172" s="21">
        <f t="shared" si="533"/>
        <v>1466</v>
      </c>
      <c r="F6172" s="95">
        <f t="shared" si="534"/>
        <v>7</v>
      </c>
    </row>
    <row r="6173" spans="1:6" x14ac:dyDescent="0.25">
      <c r="A6173" s="105" t="s">
        <v>16</v>
      </c>
      <c r="B6173" s="29">
        <v>44150</v>
      </c>
      <c r="C6173" s="4">
        <v>130</v>
      </c>
      <c r="D6173" s="21">
        <f t="shared" si="533"/>
        <v>16318</v>
      </c>
      <c r="E6173" s="4">
        <f>2+2</f>
        <v>4</v>
      </c>
      <c r="F6173" s="95">
        <f t="shared" si="534"/>
        <v>490</v>
      </c>
    </row>
    <row r="6174" spans="1:6" x14ac:dyDescent="0.25">
      <c r="A6174" s="105" t="s">
        <v>30</v>
      </c>
      <c r="B6174" s="29">
        <v>44150</v>
      </c>
      <c r="C6174" s="4">
        <v>159</v>
      </c>
      <c r="D6174" s="21">
        <f t="shared" si="533"/>
        <v>19191</v>
      </c>
      <c r="E6174" s="4">
        <v>2</v>
      </c>
      <c r="F6174" s="95">
        <f t="shared" si="534"/>
        <v>322</v>
      </c>
    </row>
    <row r="6175" spans="1:6" x14ac:dyDescent="0.25">
      <c r="A6175" s="105" t="s">
        <v>21</v>
      </c>
      <c r="B6175" s="29">
        <v>44150</v>
      </c>
      <c r="C6175" s="4">
        <v>832</v>
      </c>
      <c r="D6175" s="21">
        <f t="shared" si="533"/>
        <v>102462</v>
      </c>
      <c r="E6175" s="4">
        <f>9+5</f>
        <v>14</v>
      </c>
      <c r="F6175" s="95">
        <f t="shared" si="534"/>
        <v>1645</v>
      </c>
    </row>
    <row r="6176" spans="1:6" x14ac:dyDescent="0.25">
      <c r="A6176" s="105" t="s">
        <v>31</v>
      </c>
      <c r="B6176" s="29">
        <v>44150</v>
      </c>
      <c r="C6176" s="4">
        <v>93</v>
      </c>
      <c r="D6176" s="21">
        <f t="shared" si="533"/>
        <v>3716</v>
      </c>
      <c r="F6176" s="95">
        <f t="shared" si="534"/>
        <v>69</v>
      </c>
    </row>
    <row r="6177" spans="1:6" x14ac:dyDescent="0.25">
      <c r="A6177" s="105" t="s">
        <v>32</v>
      </c>
      <c r="B6177" s="29">
        <v>44150</v>
      </c>
      <c r="C6177" s="4">
        <v>180</v>
      </c>
      <c r="D6177" s="21">
        <f t="shared" si="533"/>
        <v>20046</v>
      </c>
      <c r="E6177" s="4">
        <f>1+2</f>
        <v>3</v>
      </c>
      <c r="F6177" s="95">
        <f t="shared" si="534"/>
        <v>373</v>
      </c>
    </row>
    <row r="6178" spans="1:6" x14ac:dyDescent="0.25">
      <c r="A6178" s="105" t="s">
        <v>42</v>
      </c>
      <c r="B6178" s="29">
        <v>44150</v>
      </c>
      <c r="C6178" s="4">
        <v>0</v>
      </c>
      <c r="D6178" s="21">
        <f t="shared" si="533"/>
        <v>168</v>
      </c>
      <c r="F6178" s="95">
        <f t="shared" si="534"/>
        <v>3</v>
      </c>
    </row>
    <row r="6179" spans="1:6" x14ac:dyDescent="0.25">
      <c r="A6179" s="105" t="s">
        <v>33</v>
      </c>
      <c r="B6179" s="29">
        <v>44150</v>
      </c>
      <c r="C6179" s="4">
        <v>21</v>
      </c>
      <c r="D6179" s="21">
        <f t="shared" si="533"/>
        <v>18168</v>
      </c>
      <c r="F6179" s="95">
        <f t="shared" si="534"/>
        <v>838</v>
      </c>
    </row>
    <row r="6180" spans="1:6" x14ac:dyDescent="0.25">
      <c r="A6180" s="105" t="s">
        <v>34</v>
      </c>
      <c r="B6180" s="29">
        <v>44150</v>
      </c>
      <c r="C6180" s="4">
        <v>65</v>
      </c>
      <c r="D6180" s="21">
        <f t="shared" si="533"/>
        <v>4708</v>
      </c>
      <c r="F6180" s="95">
        <f t="shared" si="534"/>
        <v>49</v>
      </c>
    </row>
    <row r="6181" spans="1:6" x14ac:dyDescent="0.25">
      <c r="A6181" s="105" t="s">
        <v>22</v>
      </c>
      <c r="B6181" s="29">
        <v>44150</v>
      </c>
      <c r="C6181" s="4">
        <v>24</v>
      </c>
      <c r="D6181" s="21">
        <f t="shared" si="533"/>
        <v>8180</v>
      </c>
      <c r="F6181" s="95">
        <f t="shared" si="534"/>
        <v>298</v>
      </c>
    </row>
    <row r="6182" spans="1:6" x14ac:dyDescent="0.25">
      <c r="A6182" s="105" t="s">
        <v>18</v>
      </c>
      <c r="B6182" s="29">
        <v>44150</v>
      </c>
      <c r="C6182" s="4">
        <v>94</v>
      </c>
      <c r="D6182" s="21">
        <f t="shared" si="533"/>
        <v>53087</v>
      </c>
      <c r="E6182" s="4">
        <f>2</f>
        <v>2</v>
      </c>
      <c r="F6182" s="95">
        <f t="shared" si="534"/>
        <v>1012</v>
      </c>
    </row>
    <row r="6183" spans="1:6" x14ac:dyDescent="0.25">
      <c r="A6183" s="105" t="s">
        <v>24</v>
      </c>
      <c r="B6183" s="29">
        <v>44150</v>
      </c>
      <c r="C6183" s="4">
        <v>3</v>
      </c>
      <c r="D6183" s="21">
        <f t="shared" si="533"/>
        <v>375</v>
      </c>
      <c r="F6183" s="95">
        <f t="shared" si="534"/>
        <v>7</v>
      </c>
    </row>
    <row r="6184" spans="1:6" x14ac:dyDescent="0.25">
      <c r="A6184" s="105" t="s">
        <v>20</v>
      </c>
      <c r="B6184" s="29">
        <v>44150</v>
      </c>
      <c r="C6184" s="4">
        <v>234</v>
      </c>
      <c r="D6184" s="21">
        <f t="shared" si="533"/>
        <v>26908</v>
      </c>
      <c r="E6184" s="4">
        <v>2</v>
      </c>
      <c r="F6184" s="95">
        <f t="shared" si="534"/>
        <v>517</v>
      </c>
    </row>
    <row r="6185" spans="1:6" x14ac:dyDescent="0.25">
      <c r="A6185" s="105" t="s">
        <v>19</v>
      </c>
      <c r="B6185" s="29">
        <v>44150</v>
      </c>
      <c r="C6185" s="4">
        <v>132</v>
      </c>
      <c r="D6185" s="21">
        <f t="shared" si="533"/>
        <v>28444</v>
      </c>
      <c r="E6185" s="4">
        <f>4+2</f>
        <v>6</v>
      </c>
      <c r="F6185" s="95">
        <f t="shared" si="534"/>
        <v>717</v>
      </c>
    </row>
    <row r="6186" spans="1:6" x14ac:dyDescent="0.25">
      <c r="A6186" s="105" t="s">
        <v>35</v>
      </c>
      <c r="B6186" s="29">
        <v>44150</v>
      </c>
      <c r="C6186" s="4">
        <v>67</v>
      </c>
      <c r="D6186" s="21">
        <f t="shared" ref="D6186:D6192" si="535">C6186+D6162</f>
        <v>20192</v>
      </c>
      <c r="F6186" s="95">
        <f t="shared" si="534"/>
        <v>919</v>
      </c>
    </row>
    <row r="6187" spans="1:6" x14ac:dyDescent="0.25">
      <c r="A6187" s="105" t="s">
        <v>36</v>
      </c>
      <c r="B6187" s="29">
        <v>44150</v>
      </c>
      <c r="C6187" s="4">
        <v>29</v>
      </c>
      <c r="D6187" s="21">
        <f t="shared" si="535"/>
        <v>4449</v>
      </c>
      <c r="F6187" s="95">
        <f t="shared" ref="F6187:F6250" si="536">E6187+F6163</f>
        <v>136</v>
      </c>
    </row>
    <row r="6188" spans="1:6" x14ac:dyDescent="0.25">
      <c r="A6188" s="105" t="s">
        <v>37</v>
      </c>
      <c r="B6188" s="29">
        <v>44150</v>
      </c>
      <c r="C6188" s="4">
        <v>180</v>
      </c>
      <c r="D6188" s="21">
        <f t="shared" si="535"/>
        <v>11374</v>
      </c>
      <c r="F6188" s="95">
        <f t="shared" si="536"/>
        <v>152</v>
      </c>
    </row>
    <row r="6189" spans="1:6" x14ac:dyDescent="0.25">
      <c r="A6189" s="105" t="s">
        <v>38</v>
      </c>
      <c r="B6189" s="29">
        <v>44150</v>
      </c>
      <c r="C6189" s="4">
        <v>186</v>
      </c>
      <c r="D6189" s="21">
        <f t="shared" si="535"/>
        <v>12655</v>
      </c>
      <c r="E6189" s="4">
        <f>3+1</f>
        <v>4</v>
      </c>
      <c r="F6189" s="95">
        <f t="shared" si="536"/>
        <v>191</v>
      </c>
    </row>
    <row r="6190" spans="1:6" x14ac:dyDescent="0.25">
      <c r="A6190" s="105" t="s">
        <v>23</v>
      </c>
      <c r="B6190" s="29">
        <v>44150</v>
      </c>
      <c r="C6190" s="4">
        <v>685</v>
      </c>
      <c r="D6190" s="21">
        <f t="shared" si="535"/>
        <v>128133</v>
      </c>
      <c r="E6190" s="4">
        <f>4+5</f>
        <v>9</v>
      </c>
      <c r="F6190" s="95">
        <f t="shared" si="536"/>
        <v>1878</v>
      </c>
    </row>
    <row r="6191" spans="1:6" x14ac:dyDescent="0.25">
      <c r="A6191" s="105" t="s">
        <v>39</v>
      </c>
      <c r="B6191" s="29">
        <v>44150</v>
      </c>
      <c r="C6191" s="4">
        <v>251</v>
      </c>
      <c r="D6191" s="21">
        <f t="shared" si="535"/>
        <v>13119</v>
      </c>
      <c r="F6191" s="95">
        <f t="shared" si="536"/>
        <v>157</v>
      </c>
    </row>
    <row r="6192" spans="1:6" x14ac:dyDescent="0.25">
      <c r="A6192" s="105" t="s">
        <v>40</v>
      </c>
      <c r="B6192" s="29">
        <v>44150</v>
      </c>
      <c r="C6192" s="4">
        <v>89</v>
      </c>
      <c r="D6192" s="21">
        <f t="shared" si="535"/>
        <v>14261</v>
      </c>
      <c r="E6192" s="4">
        <f>1</f>
        <v>1</v>
      </c>
      <c r="F6192" s="95">
        <f t="shared" si="536"/>
        <v>196</v>
      </c>
    </row>
    <row r="6193" spans="1:6" ht="15.75" thickBot="1" x14ac:dyDescent="0.3">
      <c r="A6193" s="107" t="s">
        <v>41</v>
      </c>
      <c r="B6193" s="29">
        <v>44150</v>
      </c>
      <c r="C6193" s="4">
        <v>403</v>
      </c>
      <c r="D6193" s="59">
        <f>C6193+D6169</f>
        <v>60032</v>
      </c>
      <c r="F6193" s="104">
        <f t="shared" si="536"/>
        <v>979</v>
      </c>
    </row>
    <row r="6194" spans="1:6" x14ac:dyDescent="0.25">
      <c r="A6194" s="45" t="s">
        <v>17</v>
      </c>
      <c r="B6194" s="29">
        <v>44151</v>
      </c>
      <c r="C6194" s="4">
        <v>2190</v>
      </c>
      <c r="D6194" s="97">
        <f t="shared" ref="D6194:D6257" si="537">C6194+D6170</f>
        <v>591444</v>
      </c>
      <c r="E6194" s="4">
        <f>65+40</f>
        <v>105</v>
      </c>
      <c r="F6194" s="94">
        <f t="shared" si="536"/>
        <v>19481</v>
      </c>
    </row>
    <row r="6195" spans="1:6" x14ac:dyDescent="0.25">
      <c r="A6195" s="105" t="s">
        <v>44</v>
      </c>
      <c r="B6195" s="29">
        <v>44151</v>
      </c>
      <c r="C6195" s="4">
        <v>383</v>
      </c>
      <c r="D6195" s="21">
        <f t="shared" si="537"/>
        <v>154168</v>
      </c>
      <c r="E6195" s="4">
        <f>11+8</f>
        <v>19</v>
      </c>
      <c r="F6195" s="95">
        <f t="shared" si="536"/>
        <v>5095</v>
      </c>
    </row>
    <row r="6196" spans="1:6" x14ac:dyDescent="0.25">
      <c r="A6196" s="105" t="s">
        <v>29</v>
      </c>
      <c r="B6196" s="29">
        <v>44151</v>
      </c>
      <c r="C6196" s="4">
        <v>98</v>
      </c>
      <c r="D6196" s="21">
        <f t="shared" si="537"/>
        <v>1564</v>
      </c>
      <c r="F6196" s="95">
        <f t="shared" si="536"/>
        <v>7</v>
      </c>
    </row>
    <row r="6197" spans="1:6" x14ac:dyDescent="0.25">
      <c r="A6197" s="105" t="s">
        <v>16</v>
      </c>
      <c r="B6197" s="29">
        <v>44151</v>
      </c>
      <c r="C6197" s="4">
        <v>150</v>
      </c>
      <c r="D6197" s="21">
        <f t="shared" si="537"/>
        <v>16468</v>
      </c>
      <c r="E6197" s="4">
        <f>10+3</f>
        <v>13</v>
      </c>
      <c r="F6197" s="95">
        <f t="shared" si="536"/>
        <v>503</v>
      </c>
    </row>
    <row r="6198" spans="1:6" x14ac:dyDescent="0.25">
      <c r="A6198" s="105" t="s">
        <v>30</v>
      </c>
      <c r="B6198" s="29">
        <v>44151</v>
      </c>
      <c r="C6198" s="4">
        <v>212</v>
      </c>
      <c r="D6198" s="21">
        <f t="shared" si="537"/>
        <v>19403</v>
      </c>
      <c r="E6198" s="4">
        <f>1+1</f>
        <v>2</v>
      </c>
      <c r="F6198" s="95">
        <f t="shared" si="536"/>
        <v>324</v>
      </c>
    </row>
    <row r="6199" spans="1:6" x14ac:dyDescent="0.25">
      <c r="A6199" s="105" t="s">
        <v>21</v>
      </c>
      <c r="B6199" s="29">
        <v>44151</v>
      </c>
      <c r="C6199" s="4">
        <v>701</v>
      </c>
      <c r="D6199" s="21">
        <f t="shared" si="537"/>
        <v>103163</v>
      </c>
      <c r="E6199" s="4">
        <f>19+8</f>
        <v>27</v>
      </c>
      <c r="F6199" s="95">
        <f t="shared" si="536"/>
        <v>1672</v>
      </c>
    </row>
    <row r="6200" spans="1:6" x14ac:dyDescent="0.25">
      <c r="A6200" s="105" t="s">
        <v>31</v>
      </c>
      <c r="B6200" s="29">
        <v>44151</v>
      </c>
      <c r="C6200" s="4">
        <v>122</v>
      </c>
      <c r="D6200" s="21">
        <f t="shared" si="537"/>
        <v>3838</v>
      </c>
      <c r="F6200" s="95">
        <f t="shared" si="536"/>
        <v>69</v>
      </c>
    </row>
    <row r="6201" spans="1:6" x14ac:dyDescent="0.25">
      <c r="A6201" s="105" t="s">
        <v>32</v>
      </c>
      <c r="B6201" s="29">
        <v>44151</v>
      </c>
      <c r="C6201" s="4">
        <v>157</v>
      </c>
      <c r="D6201" s="21">
        <f t="shared" si="537"/>
        <v>20203</v>
      </c>
      <c r="E6201" s="4">
        <f>6+5</f>
        <v>11</v>
      </c>
      <c r="F6201" s="95">
        <f t="shared" si="536"/>
        <v>384</v>
      </c>
    </row>
    <row r="6202" spans="1:6" x14ac:dyDescent="0.25">
      <c r="A6202" s="105" t="s">
        <v>42</v>
      </c>
      <c r="B6202" s="29">
        <v>44151</v>
      </c>
      <c r="C6202" s="4">
        <v>2</v>
      </c>
      <c r="D6202" s="21">
        <f t="shared" si="537"/>
        <v>170</v>
      </c>
      <c r="F6202" s="95">
        <f t="shared" si="536"/>
        <v>3</v>
      </c>
    </row>
    <row r="6203" spans="1:6" x14ac:dyDescent="0.25">
      <c r="A6203" s="105" t="s">
        <v>33</v>
      </c>
      <c r="B6203" s="29">
        <v>44151</v>
      </c>
      <c r="C6203" s="4">
        <v>24</v>
      </c>
      <c r="D6203" s="21">
        <f t="shared" si="537"/>
        <v>18192</v>
      </c>
      <c r="F6203" s="95">
        <f t="shared" si="536"/>
        <v>838</v>
      </c>
    </row>
    <row r="6204" spans="1:6" x14ac:dyDescent="0.25">
      <c r="A6204" s="105" t="s">
        <v>34</v>
      </c>
      <c r="B6204" s="29">
        <v>44151</v>
      </c>
      <c r="C6204" s="4">
        <v>61</v>
      </c>
      <c r="D6204" s="21">
        <f t="shared" si="537"/>
        <v>4769</v>
      </c>
      <c r="E6204" s="4">
        <f>1+1</f>
        <v>2</v>
      </c>
      <c r="F6204" s="95">
        <f t="shared" si="536"/>
        <v>51</v>
      </c>
    </row>
    <row r="6205" spans="1:6" x14ac:dyDescent="0.25">
      <c r="A6205" s="105" t="s">
        <v>22</v>
      </c>
      <c r="B6205" s="29">
        <v>44151</v>
      </c>
      <c r="C6205" s="4">
        <v>45</v>
      </c>
      <c r="D6205" s="21">
        <f t="shared" si="537"/>
        <v>8225</v>
      </c>
      <c r="E6205" s="4">
        <f>1</f>
        <v>1</v>
      </c>
      <c r="F6205" s="95">
        <f t="shared" si="536"/>
        <v>299</v>
      </c>
    </row>
    <row r="6206" spans="1:6" x14ac:dyDescent="0.25">
      <c r="A6206" s="105" t="s">
        <v>18</v>
      </c>
      <c r="B6206" s="29">
        <v>44151</v>
      </c>
      <c r="C6206" s="4">
        <v>429</v>
      </c>
      <c r="D6206" s="21">
        <f t="shared" si="537"/>
        <v>53516</v>
      </c>
      <c r="E6206" s="4">
        <f>1+3+6</f>
        <v>10</v>
      </c>
      <c r="F6206" s="95">
        <f t="shared" si="536"/>
        <v>1022</v>
      </c>
    </row>
    <row r="6207" spans="1:6" x14ac:dyDescent="0.25">
      <c r="A6207" s="105" t="s">
        <v>24</v>
      </c>
      <c r="B6207" s="29">
        <v>44151</v>
      </c>
      <c r="C6207" s="4">
        <v>16</v>
      </c>
      <c r="D6207" s="21">
        <f t="shared" si="537"/>
        <v>391</v>
      </c>
      <c r="F6207" s="95">
        <f t="shared" si="536"/>
        <v>7</v>
      </c>
    </row>
    <row r="6208" spans="1:6" x14ac:dyDescent="0.25">
      <c r="A6208" s="105" t="s">
        <v>20</v>
      </c>
      <c r="B6208" s="29">
        <v>44151</v>
      </c>
      <c r="C6208" s="4">
        <v>403</v>
      </c>
      <c r="D6208" s="21">
        <f t="shared" si="537"/>
        <v>27311</v>
      </c>
      <c r="E6208" s="4">
        <f>4+1</f>
        <v>5</v>
      </c>
      <c r="F6208" s="95">
        <f t="shared" si="536"/>
        <v>522</v>
      </c>
    </row>
    <row r="6209" spans="1:6" x14ac:dyDescent="0.25">
      <c r="A6209" s="105" t="s">
        <v>19</v>
      </c>
      <c r="B6209" s="29">
        <v>44151</v>
      </c>
      <c r="C6209" s="4">
        <v>198</v>
      </c>
      <c r="D6209" s="21">
        <f t="shared" si="537"/>
        <v>28642</v>
      </c>
      <c r="E6209" s="4">
        <f>2+7</f>
        <v>9</v>
      </c>
      <c r="F6209" s="95">
        <f t="shared" si="536"/>
        <v>726</v>
      </c>
    </row>
    <row r="6210" spans="1:6" x14ac:dyDescent="0.25">
      <c r="A6210" s="105" t="s">
        <v>35</v>
      </c>
      <c r="B6210" s="29">
        <v>44151</v>
      </c>
      <c r="C6210" s="4">
        <v>43</v>
      </c>
      <c r="D6210" s="21">
        <f t="shared" si="537"/>
        <v>20235</v>
      </c>
      <c r="E6210" s="4">
        <f>3+2</f>
        <v>5</v>
      </c>
      <c r="F6210" s="95">
        <f t="shared" si="536"/>
        <v>924</v>
      </c>
    </row>
    <row r="6211" spans="1:6" x14ac:dyDescent="0.25">
      <c r="A6211" s="105" t="s">
        <v>36</v>
      </c>
      <c r="B6211" s="29">
        <v>44151</v>
      </c>
      <c r="C6211" s="4">
        <v>67</v>
      </c>
      <c r="D6211" s="21">
        <f t="shared" si="537"/>
        <v>4516</v>
      </c>
      <c r="E6211" s="4">
        <f>4+3</f>
        <v>7</v>
      </c>
      <c r="F6211" s="95">
        <f t="shared" si="536"/>
        <v>143</v>
      </c>
    </row>
    <row r="6212" spans="1:6" x14ac:dyDescent="0.25">
      <c r="A6212" s="105" t="s">
        <v>37</v>
      </c>
      <c r="B6212" s="29">
        <v>44151</v>
      </c>
      <c r="C6212" s="4">
        <v>234</v>
      </c>
      <c r="D6212" s="21">
        <f t="shared" si="537"/>
        <v>11608</v>
      </c>
      <c r="F6212" s="95">
        <f t="shared" si="536"/>
        <v>152</v>
      </c>
    </row>
    <row r="6213" spans="1:6" x14ac:dyDescent="0.25">
      <c r="A6213" s="105" t="s">
        <v>38</v>
      </c>
      <c r="B6213" s="29">
        <v>44151</v>
      </c>
      <c r="C6213" s="4">
        <v>123</v>
      </c>
      <c r="D6213" s="21">
        <f t="shared" si="537"/>
        <v>12778</v>
      </c>
      <c r="E6213" s="4">
        <f>1+1</f>
        <v>2</v>
      </c>
      <c r="F6213" s="95">
        <f t="shared" si="536"/>
        <v>193</v>
      </c>
    </row>
    <row r="6214" spans="1:6" x14ac:dyDescent="0.25">
      <c r="A6214" s="105" t="s">
        <v>23</v>
      </c>
      <c r="B6214" s="29">
        <v>44151</v>
      </c>
      <c r="C6214" s="4">
        <v>1319</v>
      </c>
      <c r="D6214" s="21">
        <f t="shared" si="537"/>
        <v>129452</v>
      </c>
      <c r="E6214" s="4">
        <f>11+25</f>
        <v>36</v>
      </c>
      <c r="F6214" s="95">
        <f t="shared" si="536"/>
        <v>1914</v>
      </c>
    </row>
    <row r="6215" spans="1:6" x14ac:dyDescent="0.25">
      <c r="A6215" s="105" t="s">
        <v>39</v>
      </c>
      <c r="B6215" s="29">
        <v>44151</v>
      </c>
      <c r="C6215" s="4">
        <v>192</v>
      </c>
      <c r="D6215" s="21">
        <f t="shared" si="537"/>
        <v>13311</v>
      </c>
      <c r="E6215" s="4">
        <f>2+1</f>
        <v>3</v>
      </c>
      <c r="F6215" s="95">
        <f t="shared" si="536"/>
        <v>160</v>
      </c>
    </row>
    <row r="6216" spans="1:6" x14ac:dyDescent="0.25">
      <c r="A6216" s="105" t="s">
        <v>40</v>
      </c>
      <c r="B6216" s="29">
        <v>44151</v>
      </c>
      <c r="C6216" s="4">
        <v>144</v>
      </c>
      <c r="D6216" s="21">
        <f t="shared" si="537"/>
        <v>14405</v>
      </c>
      <c r="E6216" s="4">
        <f>3+6</f>
        <v>9</v>
      </c>
      <c r="F6216" s="95">
        <f t="shared" si="536"/>
        <v>205</v>
      </c>
    </row>
    <row r="6217" spans="1:6" ht="15.75" thickBot="1" x14ac:dyDescent="0.3">
      <c r="A6217" s="107" t="s">
        <v>41</v>
      </c>
      <c r="B6217" s="29">
        <v>44151</v>
      </c>
      <c r="C6217" s="4">
        <v>580</v>
      </c>
      <c r="D6217" s="59">
        <f>C6217+D6193</f>
        <v>60612</v>
      </c>
      <c r="E6217" s="4">
        <f>17+9</f>
        <v>26</v>
      </c>
      <c r="F6217" s="104">
        <f t="shared" si="536"/>
        <v>1005</v>
      </c>
    </row>
    <row r="6218" spans="1:6" x14ac:dyDescent="0.25">
      <c r="A6218" s="45" t="s">
        <v>17</v>
      </c>
      <c r="B6218" s="29">
        <v>44152</v>
      </c>
      <c r="C6218" s="4">
        <v>2804</v>
      </c>
      <c r="D6218" s="97">
        <f t="shared" si="537"/>
        <v>594248</v>
      </c>
      <c r="E6218" s="4">
        <f>3+91+73</f>
        <v>167</v>
      </c>
      <c r="F6218" s="94">
        <f t="shared" si="536"/>
        <v>19648</v>
      </c>
    </row>
    <row r="6219" spans="1:6" x14ac:dyDescent="0.25">
      <c r="A6219" s="105" t="s">
        <v>44</v>
      </c>
      <c r="B6219" s="29">
        <v>44152</v>
      </c>
      <c r="C6219" s="4">
        <v>428</v>
      </c>
      <c r="D6219" s="21">
        <f t="shared" si="537"/>
        <v>154596</v>
      </c>
      <c r="E6219" s="4">
        <f>5+6</f>
        <v>11</v>
      </c>
      <c r="F6219" s="95">
        <f t="shared" si="536"/>
        <v>5106</v>
      </c>
    </row>
    <row r="6220" spans="1:6" x14ac:dyDescent="0.25">
      <c r="A6220" s="105" t="s">
        <v>29</v>
      </c>
      <c r="B6220" s="29">
        <v>44152</v>
      </c>
      <c r="C6220" s="4">
        <v>17</v>
      </c>
      <c r="D6220" s="21">
        <f t="shared" si="537"/>
        <v>1581</v>
      </c>
      <c r="F6220" s="95">
        <f t="shared" si="536"/>
        <v>7</v>
      </c>
    </row>
    <row r="6221" spans="1:6" x14ac:dyDescent="0.25">
      <c r="A6221" s="105" t="s">
        <v>16</v>
      </c>
      <c r="B6221" s="29">
        <v>44152</v>
      </c>
      <c r="C6221" s="4">
        <v>259</v>
      </c>
      <c r="D6221" s="21">
        <f t="shared" si="537"/>
        <v>16727</v>
      </c>
      <c r="E6221" s="4">
        <f>8+5</f>
        <v>13</v>
      </c>
      <c r="F6221" s="95">
        <f t="shared" si="536"/>
        <v>516</v>
      </c>
    </row>
    <row r="6222" spans="1:6" x14ac:dyDescent="0.25">
      <c r="A6222" s="105" t="s">
        <v>30</v>
      </c>
      <c r="B6222" s="29">
        <v>44152</v>
      </c>
      <c r="C6222" s="4">
        <v>344</v>
      </c>
      <c r="D6222" s="21">
        <f t="shared" si="537"/>
        <v>19747</v>
      </c>
      <c r="E6222" s="4">
        <f>6+2</f>
        <v>8</v>
      </c>
      <c r="F6222" s="95">
        <f t="shared" si="536"/>
        <v>332</v>
      </c>
    </row>
    <row r="6223" spans="1:6" x14ac:dyDescent="0.25">
      <c r="A6223" s="105" t="s">
        <v>21</v>
      </c>
      <c r="B6223" s="29">
        <v>44152</v>
      </c>
      <c r="C6223" s="4">
        <v>1309</v>
      </c>
      <c r="D6223" s="21">
        <f t="shared" si="537"/>
        <v>104472</v>
      </c>
      <c r="E6223" s="4">
        <f>21+6</f>
        <v>27</v>
      </c>
      <c r="F6223" s="95">
        <f t="shared" si="536"/>
        <v>1699</v>
      </c>
    </row>
    <row r="6224" spans="1:6" x14ac:dyDescent="0.25">
      <c r="A6224" s="105" t="s">
        <v>31</v>
      </c>
      <c r="B6224" s="29">
        <v>44152</v>
      </c>
      <c r="C6224" s="4">
        <v>138</v>
      </c>
      <c r="D6224" s="21">
        <f t="shared" si="537"/>
        <v>3976</v>
      </c>
      <c r="E6224" s="4">
        <f>8+3</f>
        <v>11</v>
      </c>
      <c r="F6224" s="95">
        <f t="shared" si="536"/>
        <v>80</v>
      </c>
    </row>
    <row r="6225" spans="1:6" x14ac:dyDescent="0.25">
      <c r="A6225" s="105" t="s">
        <v>32</v>
      </c>
      <c r="B6225" s="29">
        <v>44152</v>
      </c>
      <c r="C6225" s="4">
        <v>348</v>
      </c>
      <c r="D6225" s="21">
        <f t="shared" si="537"/>
        <v>20551</v>
      </c>
      <c r="E6225" s="4">
        <f>4+4</f>
        <v>8</v>
      </c>
      <c r="F6225" s="95">
        <f t="shared" si="536"/>
        <v>392</v>
      </c>
    </row>
    <row r="6226" spans="1:6" x14ac:dyDescent="0.25">
      <c r="A6226" s="105" t="s">
        <v>42</v>
      </c>
      <c r="B6226" s="29">
        <v>44152</v>
      </c>
      <c r="C6226" s="4">
        <v>0</v>
      </c>
      <c r="D6226" s="21">
        <f t="shared" si="537"/>
        <v>170</v>
      </c>
      <c r="F6226" s="95">
        <f t="shared" si="536"/>
        <v>3</v>
      </c>
    </row>
    <row r="6227" spans="1:6" x14ac:dyDescent="0.25">
      <c r="A6227" s="105" t="s">
        <v>33</v>
      </c>
      <c r="B6227" s="29">
        <v>44152</v>
      </c>
      <c r="C6227" s="4">
        <v>21</v>
      </c>
      <c r="D6227" s="21">
        <f t="shared" si="537"/>
        <v>18213</v>
      </c>
      <c r="E6227" s="4">
        <f>1</f>
        <v>1</v>
      </c>
      <c r="F6227" s="95">
        <f t="shared" si="536"/>
        <v>839</v>
      </c>
    </row>
    <row r="6228" spans="1:6" x14ac:dyDescent="0.25">
      <c r="A6228" s="105" t="s">
        <v>34</v>
      </c>
      <c r="B6228" s="29">
        <v>44152</v>
      </c>
      <c r="C6228" s="4">
        <v>65</v>
      </c>
      <c r="D6228" s="21">
        <f t="shared" si="537"/>
        <v>4834</v>
      </c>
      <c r="E6228" s="4">
        <f>5+6</f>
        <v>11</v>
      </c>
      <c r="F6228" s="95">
        <f t="shared" si="536"/>
        <v>62</v>
      </c>
    </row>
    <row r="6229" spans="1:6" x14ac:dyDescent="0.25">
      <c r="A6229" s="105" t="s">
        <v>22</v>
      </c>
      <c r="B6229" s="29">
        <v>44152</v>
      </c>
      <c r="C6229" s="4">
        <v>18</v>
      </c>
      <c r="D6229" s="21">
        <f t="shared" si="537"/>
        <v>8243</v>
      </c>
      <c r="E6229" s="4">
        <f>1</f>
        <v>1</v>
      </c>
      <c r="F6229" s="95">
        <f t="shared" si="536"/>
        <v>300</v>
      </c>
    </row>
    <row r="6230" spans="1:6" x14ac:dyDescent="0.25">
      <c r="A6230" s="105" t="s">
        <v>18</v>
      </c>
      <c r="B6230" s="29">
        <v>44152</v>
      </c>
      <c r="C6230" s="4">
        <v>396</v>
      </c>
      <c r="D6230" s="21">
        <f t="shared" si="537"/>
        <v>53912</v>
      </c>
      <c r="E6230" s="4">
        <f>4+3</f>
        <v>7</v>
      </c>
      <c r="F6230" s="95">
        <f t="shared" si="536"/>
        <v>1029</v>
      </c>
    </row>
    <row r="6231" spans="1:6" x14ac:dyDescent="0.25">
      <c r="A6231" s="105" t="s">
        <v>24</v>
      </c>
      <c r="B6231" s="29">
        <v>44152</v>
      </c>
      <c r="C6231" s="4">
        <v>6</v>
      </c>
      <c r="D6231" s="21">
        <f t="shared" si="537"/>
        <v>397</v>
      </c>
      <c r="F6231" s="95">
        <f t="shared" si="536"/>
        <v>7</v>
      </c>
    </row>
    <row r="6232" spans="1:6" x14ac:dyDescent="0.25">
      <c r="A6232" s="105" t="s">
        <v>20</v>
      </c>
      <c r="B6232" s="29">
        <v>44152</v>
      </c>
      <c r="C6232" s="4">
        <v>999</v>
      </c>
      <c r="D6232" s="21">
        <f t="shared" si="537"/>
        <v>28310</v>
      </c>
      <c r="E6232" s="4">
        <f>18+11</f>
        <v>29</v>
      </c>
      <c r="F6232" s="95">
        <f t="shared" si="536"/>
        <v>551</v>
      </c>
    </row>
    <row r="6233" spans="1:6" x14ac:dyDescent="0.25">
      <c r="A6233" s="105" t="s">
        <v>19</v>
      </c>
      <c r="B6233" s="29">
        <v>44152</v>
      </c>
      <c r="C6233" s="4">
        <v>295</v>
      </c>
      <c r="D6233" s="21">
        <f t="shared" si="537"/>
        <v>28937</v>
      </c>
      <c r="E6233" s="4">
        <f>2+3</f>
        <v>5</v>
      </c>
      <c r="F6233" s="95">
        <f t="shared" si="536"/>
        <v>731</v>
      </c>
    </row>
    <row r="6234" spans="1:6" x14ac:dyDescent="0.25">
      <c r="A6234" s="105" t="s">
        <v>35</v>
      </c>
      <c r="B6234" s="29">
        <v>44152</v>
      </c>
      <c r="C6234" s="4">
        <v>92</v>
      </c>
      <c r="D6234" s="21">
        <f t="shared" si="537"/>
        <v>20327</v>
      </c>
      <c r="E6234" s="4">
        <f>3+1</f>
        <v>4</v>
      </c>
      <c r="F6234" s="95">
        <f t="shared" si="536"/>
        <v>928</v>
      </c>
    </row>
    <row r="6235" spans="1:6" x14ac:dyDescent="0.25">
      <c r="A6235" s="105" t="s">
        <v>36</v>
      </c>
      <c r="B6235" s="29">
        <v>44152</v>
      </c>
      <c r="C6235" s="4">
        <v>172</v>
      </c>
      <c r="D6235" s="21">
        <f t="shared" si="537"/>
        <v>4688</v>
      </c>
      <c r="F6235" s="95">
        <f t="shared" si="536"/>
        <v>143</v>
      </c>
    </row>
    <row r="6236" spans="1:6" x14ac:dyDescent="0.25">
      <c r="A6236" s="105" t="s">
        <v>37</v>
      </c>
      <c r="B6236" s="29">
        <v>44152</v>
      </c>
      <c r="C6236" s="4">
        <v>233</v>
      </c>
      <c r="D6236" s="21">
        <f t="shared" si="537"/>
        <v>11841</v>
      </c>
      <c r="E6236" s="4">
        <f>3+2</f>
        <v>5</v>
      </c>
      <c r="F6236" s="95">
        <f t="shared" si="536"/>
        <v>157</v>
      </c>
    </row>
    <row r="6237" spans="1:6" x14ac:dyDescent="0.25">
      <c r="A6237" s="105" t="s">
        <v>38</v>
      </c>
      <c r="B6237" s="29">
        <v>44152</v>
      </c>
      <c r="C6237" s="4">
        <v>267</v>
      </c>
      <c r="D6237" s="21">
        <f t="shared" si="537"/>
        <v>13045</v>
      </c>
      <c r="E6237" s="4">
        <v>17</v>
      </c>
      <c r="F6237" s="95">
        <f t="shared" si="536"/>
        <v>210</v>
      </c>
    </row>
    <row r="6238" spans="1:6" x14ac:dyDescent="0.25">
      <c r="A6238" s="105" t="s">
        <v>23</v>
      </c>
      <c r="B6238" s="29">
        <v>44152</v>
      </c>
      <c r="C6238" s="4">
        <v>1477</v>
      </c>
      <c r="D6238" s="21">
        <f t="shared" si="537"/>
        <v>130929</v>
      </c>
      <c r="E6238" s="4">
        <f>14+19</f>
        <v>33</v>
      </c>
      <c r="F6238" s="95">
        <f t="shared" si="536"/>
        <v>1947</v>
      </c>
    </row>
    <row r="6239" spans="1:6" x14ac:dyDescent="0.25">
      <c r="A6239" s="105" t="s">
        <v>39</v>
      </c>
      <c r="B6239" s="29">
        <v>44152</v>
      </c>
      <c r="C6239" s="4">
        <v>113</v>
      </c>
      <c r="D6239" s="21">
        <f t="shared" si="537"/>
        <v>13424</v>
      </c>
      <c r="E6239" s="4">
        <f>3</f>
        <v>3</v>
      </c>
      <c r="F6239" s="95">
        <f t="shared" si="536"/>
        <v>163</v>
      </c>
    </row>
    <row r="6240" spans="1:6" x14ac:dyDescent="0.25">
      <c r="A6240" s="105" t="s">
        <v>40</v>
      </c>
      <c r="B6240" s="29">
        <v>44152</v>
      </c>
      <c r="C6240" s="4">
        <v>132</v>
      </c>
      <c r="D6240" s="21">
        <f t="shared" si="537"/>
        <v>14537</v>
      </c>
      <c r="E6240" s="4">
        <f>2</f>
        <v>2</v>
      </c>
      <c r="F6240" s="95">
        <f t="shared" si="536"/>
        <v>207</v>
      </c>
    </row>
    <row r="6241" spans="1:6" ht="15.75" thickBot="1" x14ac:dyDescent="0.3">
      <c r="A6241" s="107" t="s">
        <v>41</v>
      </c>
      <c r="B6241" s="29">
        <v>44152</v>
      </c>
      <c r="C6241" s="4">
        <v>688</v>
      </c>
      <c r="D6241" s="59">
        <f>C6241+D6217</f>
        <v>61300</v>
      </c>
      <c r="E6241" s="4">
        <f>9+6</f>
        <v>15</v>
      </c>
      <c r="F6241" s="104">
        <f t="shared" si="536"/>
        <v>1020</v>
      </c>
    </row>
    <row r="6242" spans="1:6" x14ac:dyDescent="0.25">
      <c r="A6242" s="45" t="s">
        <v>17</v>
      </c>
      <c r="B6242" s="29">
        <v>44153</v>
      </c>
      <c r="C6242" s="4">
        <v>2826</v>
      </c>
      <c r="D6242" s="97">
        <f t="shared" si="537"/>
        <v>597074</v>
      </c>
      <c r="E6242" s="4">
        <f>39+29</f>
        <v>68</v>
      </c>
      <c r="F6242" s="94">
        <f t="shared" si="536"/>
        <v>19716</v>
      </c>
    </row>
    <row r="6243" spans="1:6" x14ac:dyDescent="0.25">
      <c r="A6243" s="105" t="s">
        <v>44</v>
      </c>
      <c r="B6243" s="29">
        <v>44153</v>
      </c>
      <c r="C6243" s="4">
        <v>384</v>
      </c>
      <c r="D6243" s="21">
        <f t="shared" si="537"/>
        <v>154980</v>
      </c>
      <c r="E6243" s="4">
        <f>8+13</f>
        <v>21</v>
      </c>
      <c r="F6243" s="95">
        <f t="shared" si="536"/>
        <v>5127</v>
      </c>
    </row>
    <row r="6244" spans="1:6" x14ac:dyDescent="0.25">
      <c r="A6244" s="105" t="s">
        <v>29</v>
      </c>
      <c r="B6244" s="29">
        <v>44153</v>
      </c>
      <c r="C6244" s="4">
        <v>23</v>
      </c>
      <c r="D6244" s="21">
        <f t="shared" si="537"/>
        <v>1604</v>
      </c>
      <c r="E6244" s="4">
        <v>1</v>
      </c>
      <c r="F6244" s="95">
        <f t="shared" si="536"/>
        <v>8</v>
      </c>
    </row>
    <row r="6245" spans="1:6" x14ac:dyDescent="0.25">
      <c r="A6245" s="105" t="s">
        <v>16</v>
      </c>
      <c r="B6245" s="29">
        <v>44153</v>
      </c>
      <c r="C6245" s="4">
        <v>230</v>
      </c>
      <c r="D6245" s="21">
        <f t="shared" si="537"/>
        <v>16957</v>
      </c>
      <c r="E6245" s="4">
        <f>2+1</f>
        <v>3</v>
      </c>
      <c r="F6245" s="95">
        <f t="shared" si="536"/>
        <v>519</v>
      </c>
    </row>
    <row r="6246" spans="1:6" x14ac:dyDescent="0.25">
      <c r="A6246" s="105" t="s">
        <v>30</v>
      </c>
      <c r="B6246" s="29">
        <v>44153</v>
      </c>
      <c r="C6246" s="4">
        <v>366</v>
      </c>
      <c r="D6246" s="21">
        <f t="shared" si="537"/>
        <v>20113</v>
      </c>
      <c r="E6246" s="4">
        <f>5+2</f>
        <v>7</v>
      </c>
      <c r="F6246" s="95">
        <f t="shared" si="536"/>
        <v>339</v>
      </c>
    </row>
    <row r="6247" spans="1:6" x14ac:dyDescent="0.25">
      <c r="A6247" s="105" t="s">
        <v>21</v>
      </c>
      <c r="B6247" s="29">
        <v>44153</v>
      </c>
      <c r="C6247" s="4">
        <v>1381</v>
      </c>
      <c r="D6247" s="21">
        <f t="shared" si="537"/>
        <v>105853</v>
      </c>
      <c r="E6247" s="4">
        <f>19+12</f>
        <v>31</v>
      </c>
      <c r="F6247" s="95">
        <f t="shared" si="536"/>
        <v>1730</v>
      </c>
    </row>
    <row r="6248" spans="1:6" x14ac:dyDescent="0.25">
      <c r="A6248" s="105" t="s">
        <v>31</v>
      </c>
      <c r="B6248" s="29">
        <v>44153</v>
      </c>
      <c r="C6248" s="4">
        <v>272</v>
      </c>
      <c r="D6248" s="21">
        <f t="shared" si="537"/>
        <v>4248</v>
      </c>
      <c r="E6248" s="4">
        <f>3+3</f>
        <v>6</v>
      </c>
      <c r="F6248" s="95">
        <f t="shared" si="536"/>
        <v>86</v>
      </c>
    </row>
    <row r="6249" spans="1:6" x14ac:dyDescent="0.25">
      <c r="A6249" s="105" t="s">
        <v>32</v>
      </c>
      <c r="B6249" s="29">
        <v>44153</v>
      </c>
      <c r="C6249" s="4">
        <v>374</v>
      </c>
      <c r="D6249" s="21">
        <f t="shared" si="537"/>
        <v>20925</v>
      </c>
      <c r="E6249" s="4">
        <v>4</v>
      </c>
      <c r="F6249" s="95">
        <f t="shared" si="536"/>
        <v>396</v>
      </c>
    </row>
    <row r="6250" spans="1:6" x14ac:dyDescent="0.25">
      <c r="A6250" s="105" t="s">
        <v>42</v>
      </c>
      <c r="B6250" s="29">
        <v>44153</v>
      </c>
      <c r="C6250" s="4">
        <v>3</v>
      </c>
      <c r="D6250" s="21">
        <f t="shared" si="537"/>
        <v>173</v>
      </c>
      <c r="F6250" s="95">
        <f t="shared" si="536"/>
        <v>3</v>
      </c>
    </row>
    <row r="6251" spans="1:6" x14ac:dyDescent="0.25">
      <c r="A6251" s="105" t="s">
        <v>33</v>
      </c>
      <c r="B6251" s="29">
        <v>44153</v>
      </c>
      <c r="C6251" s="4">
        <v>27</v>
      </c>
      <c r="D6251" s="21">
        <f t="shared" si="537"/>
        <v>18240</v>
      </c>
      <c r="E6251" s="4">
        <f>1</f>
        <v>1</v>
      </c>
      <c r="F6251" s="95">
        <f t="shared" ref="F6251:F6314" si="538">E6251+F6227</f>
        <v>840</v>
      </c>
    </row>
    <row r="6252" spans="1:6" x14ac:dyDescent="0.25">
      <c r="A6252" s="105" t="s">
        <v>34</v>
      </c>
      <c r="B6252" s="29">
        <v>44153</v>
      </c>
      <c r="C6252" s="4">
        <v>75</v>
      </c>
      <c r="D6252" s="21">
        <f t="shared" si="537"/>
        <v>4909</v>
      </c>
      <c r="E6252" s="4">
        <f>2</f>
        <v>2</v>
      </c>
      <c r="F6252" s="95">
        <f t="shared" si="538"/>
        <v>64</v>
      </c>
    </row>
    <row r="6253" spans="1:6" x14ac:dyDescent="0.25">
      <c r="A6253" s="105" t="s">
        <v>22</v>
      </c>
      <c r="B6253" s="29">
        <v>44153</v>
      </c>
      <c r="C6253" s="4">
        <v>51</v>
      </c>
      <c r="D6253" s="21">
        <f t="shared" si="537"/>
        <v>8294</v>
      </c>
      <c r="E6253" s="4">
        <f>1</f>
        <v>1</v>
      </c>
      <c r="F6253" s="95">
        <f t="shared" si="538"/>
        <v>301</v>
      </c>
    </row>
    <row r="6254" spans="1:6" x14ac:dyDescent="0.25">
      <c r="A6254" s="105" t="s">
        <v>18</v>
      </c>
      <c r="B6254" s="29">
        <v>44153</v>
      </c>
      <c r="C6254" s="4">
        <v>339</v>
      </c>
      <c r="D6254" s="21">
        <f t="shared" si="537"/>
        <v>54251</v>
      </c>
      <c r="E6254" s="4">
        <f>15+9</f>
        <v>24</v>
      </c>
      <c r="F6254" s="95">
        <f t="shared" si="538"/>
        <v>1053</v>
      </c>
    </row>
    <row r="6255" spans="1:6" x14ac:dyDescent="0.25">
      <c r="A6255" s="105" t="s">
        <v>24</v>
      </c>
      <c r="B6255" s="29">
        <v>44153</v>
      </c>
      <c r="C6255" s="4">
        <v>10</v>
      </c>
      <c r="D6255" s="21">
        <f t="shared" si="537"/>
        <v>407</v>
      </c>
      <c r="F6255" s="95">
        <f t="shared" si="538"/>
        <v>7</v>
      </c>
    </row>
    <row r="6256" spans="1:6" x14ac:dyDescent="0.25">
      <c r="A6256" s="105" t="s">
        <v>20</v>
      </c>
      <c r="B6256" s="29">
        <v>44153</v>
      </c>
      <c r="C6256" s="4">
        <v>348</v>
      </c>
      <c r="D6256" s="21">
        <f t="shared" si="537"/>
        <v>28658</v>
      </c>
      <c r="E6256" s="4">
        <v>13</v>
      </c>
      <c r="F6256" s="95">
        <f t="shared" si="538"/>
        <v>564</v>
      </c>
    </row>
    <row r="6257" spans="1:6" x14ac:dyDescent="0.25">
      <c r="A6257" s="105" t="s">
        <v>19</v>
      </c>
      <c r="B6257" s="29">
        <v>44153</v>
      </c>
      <c r="C6257" s="4">
        <v>299</v>
      </c>
      <c r="D6257" s="21">
        <f t="shared" si="537"/>
        <v>29236</v>
      </c>
      <c r="E6257" s="4">
        <f>4+4</f>
        <v>8</v>
      </c>
      <c r="F6257" s="95">
        <f t="shared" si="538"/>
        <v>739</v>
      </c>
    </row>
    <row r="6258" spans="1:6" x14ac:dyDescent="0.25">
      <c r="A6258" s="105" t="s">
        <v>35</v>
      </c>
      <c r="B6258" s="29">
        <v>44153</v>
      </c>
      <c r="C6258" s="4">
        <v>112</v>
      </c>
      <c r="D6258" s="21">
        <f t="shared" ref="D6258:D6264" si="539">C6258+D6234</f>
        <v>20439</v>
      </c>
      <c r="E6258" s="4">
        <f>5+4</f>
        <v>9</v>
      </c>
      <c r="F6258" s="95">
        <f t="shared" si="538"/>
        <v>937</v>
      </c>
    </row>
    <row r="6259" spans="1:6" x14ac:dyDescent="0.25">
      <c r="A6259" s="105" t="s">
        <v>36</v>
      </c>
      <c r="B6259" s="29">
        <v>44153</v>
      </c>
      <c r="C6259" s="4">
        <v>174</v>
      </c>
      <c r="D6259" s="21">
        <f t="shared" si="539"/>
        <v>4862</v>
      </c>
      <c r="F6259" s="95">
        <f t="shared" si="538"/>
        <v>143</v>
      </c>
    </row>
    <row r="6260" spans="1:6" x14ac:dyDescent="0.25">
      <c r="A6260" s="105" t="s">
        <v>37</v>
      </c>
      <c r="B6260" s="29">
        <v>44153</v>
      </c>
      <c r="C6260" s="4">
        <v>219</v>
      </c>
      <c r="D6260" s="21">
        <f t="shared" si="539"/>
        <v>12060</v>
      </c>
      <c r="E6260" s="4">
        <f>4+2</f>
        <v>6</v>
      </c>
      <c r="F6260" s="95">
        <f t="shared" si="538"/>
        <v>163</v>
      </c>
    </row>
    <row r="6261" spans="1:6" x14ac:dyDescent="0.25">
      <c r="A6261" s="105" t="s">
        <v>38</v>
      </c>
      <c r="B6261" s="29">
        <v>44153</v>
      </c>
      <c r="C6261" s="4">
        <v>268</v>
      </c>
      <c r="D6261" s="21">
        <f t="shared" si="539"/>
        <v>13313</v>
      </c>
      <c r="E6261" s="4">
        <f>4+2</f>
        <v>6</v>
      </c>
      <c r="F6261" s="95">
        <f t="shared" si="538"/>
        <v>216</v>
      </c>
    </row>
    <row r="6262" spans="1:6" x14ac:dyDescent="0.25">
      <c r="A6262" s="105" t="s">
        <v>23</v>
      </c>
      <c r="B6262" s="29">
        <v>44153</v>
      </c>
      <c r="C6262" s="4">
        <v>1657</v>
      </c>
      <c r="D6262" s="21">
        <f t="shared" si="539"/>
        <v>132586</v>
      </c>
      <c r="E6262" s="4">
        <f>13+10</f>
        <v>23</v>
      </c>
      <c r="F6262" s="95">
        <f t="shared" si="538"/>
        <v>1970</v>
      </c>
    </row>
    <row r="6263" spans="1:6" x14ac:dyDescent="0.25">
      <c r="A6263" s="105" t="s">
        <v>39</v>
      </c>
      <c r="B6263" s="29">
        <v>44153</v>
      </c>
      <c r="C6263" s="4">
        <v>229</v>
      </c>
      <c r="D6263" s="21">
        <f t="shared" si="539"/>
        <v>13653</v>
      </c>
      <c r="F6263" s="95">
        <f t="shared" si="538"/>
        <v>163</v>
      </c>
    </row>
    <row r="6264" spans="1:6" x14ac:dyDescent="0.25">
      <c r="A6264" s="105" t="s">
        <v>40</v>
      </c>
      <c r="B6264" s="29">
        <v>44153</v>
      </c>
      <c r="C6264" s="4">
        <v>132</v>
      </c>
      <c r="D6264" s="21">
        <f t="shared" si="539"/>
        <v>14669</v>
      </c>
      <c r="E6264" s="4">
        <f>2+2</f>
        <v>4</v>
      </c>
      <c r="F6264" s="95">
        <f t="shared" si="538"/>
        <v>211</v>
      </c>
    </row>
    <row r="6265" spans="1:6" ht="15.75" thickBot="1" x14ac:dyDescent="0.3">
      <c r="A6265" s="107" t="s">
        <v>41</v>
      </c>
      <c r="B6265" s="29">
        <v>44153</v>
      </c>
      <c r="C6265" s="30">
        <v>533</v>
      </c>
      <c r="D6265" s="59">
        <f>C6265+D6241</f>
        <v>61833</v>
      </c>
      <c r="E6265" s="30">
        <v>1</v>
      </c>
      <c r="F6265" s="104">
        <f t="shared" si="538"/>
        <v>1021</v>
      </c>
    </row>
    <row r="6266" spans="1:6" x14ac:dyDescent="0.25">
      <c r="A6266" s="45" t="s">
        <v>17</v>
      </c>
      <c r="B6266" s="152">
        <v>44154</v>
      </c>
      <c r="C6266" s="33">
        <v>2743</v>
      </c>
      <c r="D6266" s="97">
        <f t="shared" ref="D6266:D6329" si="540">C6266+D6242</f>
        <v>599817</v>
      </c>
      <c r="E6266" s="33">
        <f>29+18</f>
        <v>47</v>
      </c>
      <c r="F6266" s="94">
        <f t="shared" si="538"/>
        <v>19763</v>
      </c>
    </row>
    <row r="6267" spans="1:6" x14ac:dyDescent="0.25">
      <c r="A6267" s="105" t="s">
        <v>44</v>
      </c>
      <c r="B6267" s="29">
        <v>44154</v>
      </c>
      <c r="C6267" s="4">
        <v>479</v>
      </c>
      <c r="D6267" s="21">
        <f t="shared" si="540"/>
        <v>155459</v>
      </c>
      <c r="E6267" s="4">
        <f>1+3</f>
        <v>4</v>
      </c>
      <c r="F6267" s="95">
        <f t="shared" si="538"/>
        <v>5131</v>
      </c>
    </row>
    <row r="6268" spans="1:6" x14ac:dyDescent="0.25">
      <c r="A6268" s="105" t="s">
        <v>29</v>
      </c>
      <c r="B6268" s="29">
        <v>44154</v>
      </c>
      <c r="C6268" s="4">
        <v>30</v>
      </c>
      <c r="D6268" s="21">
        <f t="shared" si="540"/>
        <v>1634</v>
      </c>
      <c r="F6268" s="95">
        <f t="shared" si="538"/>
        <v>8</v>
      </c>
    </row>
    <row r="6269" spans="1:6" x14ac:dyDescent="0.25">
      <c r="A6269" s="105" t="s">
        <v>16</v>
      </c>
      <c r="B6269" s="29">
        <v>44154</v>
      </c>
      <c r="C6269" s="4">
        <v>290</v>
      </c>
      <c r="D6269" s="21">
        <f t="shared" si="540"/>
        <v>17247</v>
      </c>
      <c r="E6269" s="4">
        <v>1</v>
      </c>
      <c r="F6269" s="95">
        <f t="shared" si="538"/>
        <v>520</v>
      </c>
    </row>
    <row r="6270" spans="1:6" x14ac:dyDescent="0.25">
      <c r="A6270" s="105" t="s">
        <v>30</v>
      </c>
      <c r="B6270" s="29">
        <v>44154</v>
      </c>
      <c r="C6270" s="4">
        <v>324</v>
      </c>
      <c r="D6270" s="21">
        <f t="shared" si="540"/>
        <v>20437</v>
      </c>
      <c r="E6270" s="4">
        <f>7+5</f>
        <v>12</v>
      </c>
      <c r="F6270" s="95">
        <f t="shared" si="538"/>
        <v>351</v>
      </c>
    </row>
    <row r="6271" spans="1:6" x14ac:dyDescent="0.25">
      <c r="A6271" s="105" t="s">
        <v>21</v>
      </c>
      <c r="B6271" s="29">
        <v>44154</v>
      </c>
      <c r="C6271" s="4">
        <v>1051</v>
      </c>
      <c r="D6271" s="21">
        <f t="shared" si="540"/>
        <v>106904</v>
      </c>
      <c r="E6271" s="4">
        <f>10+6</f>
        <v>16</v>
      </c>
      <c r="F6271" s="95">
        <f t="shared" si="538"/>
        <v>1746</v>
      </c>
    </row>
    <row r="6272" spans="1:6" x14ac:dyDescent="0.25">
      <c r="A6272" s="105" t="s">
        <v>31</v>
      </c>
      <c r="B6272" s="29">
        <v>44154</v>
      </c>
      <c r="C6272" s="4">
        <v>261</v>
      </c>
      <c r="D6272" s="21">
        <f t="shared" si="540"/>
        <v>4509</v>
      </c>
      <c r="F6272" s="95">
        <f t="shared" si="538"/>
        <v>86</v>
      </c>
    </row>
    <row r="6273" spans="1:6" x14ac:dyDescent="0.25">
      <c r="A6273" s="105" t="s">
        <v>32</v>
      </c>
      <c r="B6273" s="29">
        <v>44154</v>
      </c>
      <c r="C6273" s="4">
        <v>324</v>
      </c>
      <c r="D6273" s="21">
        <f t="shared" si="540"/>
        <v>21249</v>
      </c>
      <c r="E6273" s="4">
        <f>5+1</f>
        <v>6</v>
      </c>
      <c r="F6273" s="95">
        <f t="shared" si="538"/>
        <v>402</v>
      </c>
    </row>
    <row r="6274" spans="1:6" x14ac:dyDescent="0.25">
      <c r="A6274" s="105" t="s">
        <v>42</v>
      </c>
      <c r="B6274" s="29">
        <v>44154</v>
      </c>
      <c r="C6274" s="4">
        <v>1</v>
      </c>
      <c r="D6274" s="21">
        <f t="shared" si="540"/>
        <v>174</v>
      </c>
      <c r="F6274" s="95">
        <f t="shared" si="538"/>
        <v>3</v>
      </c>
    </row>
    <row r="6275" spans="1:6" x14ac:dyDescent="0.25">
      <c r="A6275" s="105" t="s">
        <v>33</v>
      </c>
      <c r="B6275" s="29">
        <v>44154</v>
      </c>
      <c r="C6275" s="4">
        <v>12</v>
      </c>
      <c r="D6275" s="21">
        <f t="shared" si="540"/>
        <v>18252</v>
      </c>
      <c r="F6275" s="95">
        <f t="shared" si="538"/>
        <v>840</v>
      </c>
    </row>
    <row r="6276" spans="1:6" x14ac:dyDescent="0.25">
      <c r="A6276" s="105" t="s">
        <v>34</v>
      </c>
      <c r="B6276" s="29">
        <v>44154</v>
      </c>
      <c r="C6276" s="4">
        <v>63</v>
      </c>
      <c r="D6276" s="21">
        <f t="shared" si="540"/>
        <v>4972</v>
      </c>
      <c r="F6276" s="95">
        <f t="shared" si="538"/>
        <v>64</v>
      </c>
    </row>
    <row r="6277" spans="1:6" x14ac:dyDescent="0.25">
      <c r="A6277" s="105" t="s">
        <v>22</v>
      </c>
      <c r="B6277" s="29">
        <v>44154</v>
      </c>
      <c r="C6277" s="4">
        <v>68</v>
      </c>
      <c r="D6277" s="21">
        <f t="shared" si="540"/>
        <v>8362</v>
      </c>
      <c r="E6277" s="4">
        <f>2+1</f>
        <v>3</v>
      </c>
      <c r="F6277" s="95">
        <f t="shared" si="538"/>
        <v>304</v>
      </c>
    </row>
    <row r="6278" spans="1:6" x14ac:dyDescent="0.25">
      <c r="A6278" s="105" t="s">
        <v>18</v>
      </c>
      <c r="B6278" s="29">
        <v>44154</v>
      </c>
      <c r="C6278" s="4">
        <v>243</v>
      </c>
      <c r="D6278" s="21">
        <f t="shared" si="540"/>
        <v>54494</v>
      </c>
      <c r="E6278" s="4">
        <f>3+2</f>
        <v>5</v>
      </c>
      <c r="F6278" s="95">
        <f t="shared" si="538"/>
        <v>1058</v>
      </c>
    </row>
    <row r="6279" spans="1:6" x14ac:dyDescent="0.25">
      <c r="A6279" s="105" t="s">
        <v>24</v>
      </c>
      <c r="B6279" s="29">
        <v>44154</v>
      </c>
      <c r="C6279" s="4">
        <v>24</v>
      </c>
      <c r="D6279" s="21">
        <f t="shared" si="540"/>
        <v>431</v>
      </c>
      <c r="F6279" s="95">
        <f t="shared" si="538"/>
        <v>7</v>
      </c>
    </row>
    <row r="6280" spans="1:6" x14ac:dyDescent="0.25">
      <c r="A6280" s="105" t="s">
        <v>20</v>
      </c>
      <c r="B6280" s="29">
        <v>44154</v>
      </c>
      <c r="C6280" s="4">
        <v>280</v>
      </c>
      <c r="D6280" s="21">
        <f t="shared" si="540"/>
        <v>28938</v>
      </c>
      <c r="E6280" s="4">
        <f>6+1</f>
        <v>7</v>
      </c>
      <c r="F6280" s="95">
        <f t="shared" si="538"/>
        <v>571</v>
      </c>
    </row>
    <row r="6281" spans="1:6" x14ac:dyDescent="0.25">
      <c r="A6281" s="105" t="s">
        <v>19</v>
      </c>
      <c r="B6281" s="29">
        <v>44154</v>
      </c>
      <c r="C6281" s="4">
        <v>309</v>
      </c>
      <c r="D6281" s="21">
        <f t="shared" si="540"/>
        <v>29545</v>
      </c>
      <c r="E6281" s="4">
        <f>7+3</f>
        <v>10</v>
      </c>
      <c r="F6281" s="95">
        <f t="shared" si="538"/>
        <v>749</v>
      </c>
    </row>
    <row r="6282" spans="1:6" x14ac:dyDescent="0.25">
      <c r="A6282" s="105" t="s">
        <v>35</v>
      </c>
      <c r="B6282" s="29">
        <v>44154</v>
      </c>
      <c r="C6282" s="4">
        <v>73</v>
      </c>
      <c r="D6282" s="21">
        <f t="shared" si="540"/>
        <v>20512</v>
      </c>
      <c r="E6282" s="4">
        <f>5+1</f>
        <v>6</v>
      </c>
      <c r="F6282" s="95">
        <f t="shared" si="538"/>
        <v>943</v>
      </c>
    </row>
    <row r="6283" spans="1:6" x14ac:dyDescent="0.25">
      <c r="A6283" s="105" t="s">
        <v>36</v>
      </c>
      <c r="B6283" s="29">
        <v>44154</v>
      </c>
      <c r="C6283" s="4">
        <v>220</v>
      </c>
      <c r="D6283" s="21">
        <f t="shared" si="540"/>
        <v>5082</v>
      </c>
      <c r="F6283" s="95">
        <f t="shared" si="538"/>
        <v>143</v>
      </c>
    </row>
    <row r="6284" spans="1:6" x14ac:dyDescent="0.25">
      <c r="A6284" s="105" t="s">
        <v>37</v>
      </c>
      <c r="B6284" s="29">
        <v>44154</v>
      </c>
      <c r="C6284" s="4">
        <v>349</v>
      </c>
      <c r="D6284" s="21">
        <f t="shared" si="540"/>
        <v>12409</v>
      </c>
      <c r="E6284" s="4">
        <f>3+3</f>
        <v>6</v>
      </c>
      <c r="F6284" s="95">
        <f t="shared" si="538"/>
        <v>169</v>
      </c>
    </row>
    <row r="6285" spans="1:6" x14ac:dyDescent="0.25">
      <c r="A6285" s="105" t="s">
        <v>38</v>
      </c>
      <c r="B6285" s="29">
        <v>44154</v>
      </c>
      <c r="C6285" s="4">
        <v>286</v>
      </c>
      <c r="D6285" s="21">
        <f t="shared" si="540"/>
        <v>13599</v>
      </c>
      <c r="E6285" s="4">
        <f>4+1</f>
        <v>5</v>
      </c>
      <c r="F6285" s="95">
        <f t="shared" si="538"/>
        <v>221</v>
      </c>
    </row>
    <row r="6286" spans="1:6" x14ac:dyDescent="0.25">
      <c r="A6286" s="105" t="s">
        <v>23</v>
      </c>
      <c r="B6286" s="29">
        <v>44154</v>
      </c>
      <c r="C6286" s="4">
        <v>1666</v>
      </c>
      <c r="D6286" s="21">
        <f t="shared" si="540"/>
        <v>134252</v>
      </c>
      <c r="E6286" s="4">
        <f>21+13</f>
        <v>34</v>
      </c>
      <c r="F6286" s="95">
        <f t="shared" si="538"/>
        <v>2004</v>
      </c>
    </row>
    <row r="6287" spans="1:6" x14ac:dyDescent="0.25">
      <c r="A6287" s="105" t="s">
        <v>39</v>
      </c>
      <c r="B6287" s="29">
        <v>44154</v>
      </c>
      <c r="C6287" s="4">
        <v>258</v>
      </c>
      <c r="D6287" s="21">
        <f t="shared" si="540"/>
        <v>13911</v>
      </c>
      <c r="E6287" s="4">
        <f>5+5</f>
        <v>10</v>
      </c>
      <c r="F6287" s="95">
        <f t="shared" si="538"/>
        <v>173</v>
      </c>
    </row>
    <row r="6288" spans="1:6" x14ac:dyDescent="0.25">
      <c r="A6288" s="105" t="s">
        <v>40</v>
      </c>
      <c r="B6288" s="29">
        <v>44154</v>
      </c>
      <c r="C6288" s="4">
        <v>169</v>
      </c>
      <c r="D6288" s="21">
        <f t="shared" si="540"/>
        <v>14838</v>
      </c>
      <c r="E6288" s="4">
        <f>2+2</f>
        <v>4</v>
      </c>
      <c r="F6288" s="95">
        <f t="shared" si="538"/>
        <v>215</v>
      </c>
    </row>
    <row r="6289" spans="1:6" ht="15.75" thickBot="1" x14ac:dyDescent="0.3">
      <c r="A6289" s="106" t="s">
        <v>41</v>
      </c>
      <c r="B6289" s="36">
        <v>44154</v>
      </c>
      <c r="C6289" s="37">
        <v>574</v>
      </c>
      <c r="D6289" s="98">
        <f>C6289+D6265</f>
        <v>62407</v>
      </c>
      <c r="E6289" s="37">
        <f>7+4</f>
        <v>11</v>
      </c>
      <c r="F6289" s="96">
        <f t="shared" si="538"/>
        <v>1032</v>
      </c>
    </row>
    <row r="6290" spans="1:6" x14ac:dyDescent="0.25">
      <c r="A6290" s="45" t="s">
        <v>17</v>
      </c>
      <c r="B6290" s="102">
        <v>44155</v>
      </c>
      <c r="C6290" s="31">
        <v>2305</v>
      </c>
      <c r="D6290" s="97">
        <f t="shared" si="540"/>
        <v>602122</v>
      </c>
      <c r="E6290" s="31">
        <v>133</v>
      </c>
      <c r="F6290" s="94">
        <f t="shared" si="538"/>
        <v>19896</v>
      </c>
    </row>
    <row r="6291" spans="1:6" x14ac:dyDescent="0.25">
      <c r="A6291" s="105" t="s">
        <v>44</v>
      </c>
      <c r="B6291" s="102">
        <v>44155</v>
      </c>
      <c r="C6291" s="4">
        <v>410</v>
      </c>
      <c r="D6291" s="21">
        <f t="shared" si="540"/>
        <v>155869</v>
      </c>
      <c r="E6291" s="4">
        <v>23</v>
      </c>
      <c r="F6291" s="95">
        <f t="shared" si="538"/>
        <v>5154</v>
      </c>
    </row>
    <row r="6292" spans="1:6" x14ac:dyDescent="0.25">
      <c r="A6292" s="105" t="s">
        <v>29</v>
      </c>
      <c r="B6292" s="102">
        <v>44155</v>
      </c>
      <c r="C6292" s="4">
        <v>12</v>
      </c>
      <c r="D6292" s="21">
        <f t="shared" si="540"/>
        <v>1646</v>
      </c>
      <c r="F6292" s="95">
        <f t="shared" si="538"/>
        <v>8</v>
      </c>
    </row>
    <row r="6293" spans="1:6" x14ac:dyDescent="0.25">
      <c r="A6293" s="105" t="s">
        <v>16</v>
      </c>
      <c r="B6293" s="102">
        <v>44155</v>
      </c>
      <c r="C6293" s="4">
        <v>256</v>
      </c>
      <c r="D6293" s="21">
        <f t="shared" si="540"/>
        <v>17503</v>
      </c>
      <c r="E6293" s="4">
        <v>5</v>
      </c>
      <c r="F6293" s="95">
        <f t="shared" si="538"/>
        <v>525</v>
      </c>
    </row>
    <row r="6294" spans="1:6" x14ac:dyDescent="0.25">
      <c r="A6294" s="105" t="s">
        <v>30</v>
      </c>
      <c r="B6294" s="102">
        <v>44155</v>
      </c>
      <c r="C6294" s="4">
        <v>343</v>
      </c>
      <c r="D6294" s="21">
        <f t="shared" si="540"/>
        <v>20780</v>
      </c>
      <c r="E6294" s="4">
        <v>5</v>
      </c>
      <c r="F6294" s="95">
        <f t="shared" si="538"/>
        <v>356</v>
      </c>
    </row>
    <row r="6295" spans="1:6" x14ac:dyDescent="0.25">
      <c r="A6295" s="105" t="s">
        <v>21</v>
      </c>
      <c r="B6295" s="102">
        <v>44155</v>
      </c>
      <c r="C6295" s="4">
        <v>982</v>
      </c>
      <c r="D6295" s="21">
        <f t="shared" si="540"/>
        <v>107886</v>
      </c>
      <c r="E6295" s="4">
        <v>15</v>
      </c>
      <c r="F6295" s="95">
        <f t="shared" si="538"/>
        <v>1761</v>
      </c>
    </row>
    <row r="6296" spans="1:6" x14ac:dyDescent="0.25">
      <c r="A6296" s="105" t="s">
        <v>31</v>
      </c>
      <c r="B6296" s="102">
        <v>44155</v>
      </c>
      <c r="C6296" s="4">
        <v>164</v>
      </c>
      <c r="D6296" s="21">
        <f t="shared" si="540"/>
        <v>4673</v>
      </c>
      <c r="F6296" s="95">
        <f t="shared" si="538"/>
        <v>86</v>
      </c>
    </row>
    <row r="6297" spans="1:6" x14ac:dyDescent="0.25">
      <c r="A6297" s="105" t="s">
        <v>32</v>
      </c>
      <c r="B6297" s="102">
        <v>44155</v>
      </c>
      <c r="C6297" s="4">
        <v>253</v>
      </c>
      <c r="D6297" s="21">
        <f t="shared" si="540"/>
        <v>21502</v>
      </c>
      <c r="E6297" s="4">
        <v>9</v>
      </c>
      <c r="F6297" s="95">
        <f t="shared" si="538"/>
        <v>411</v>
      </c>
    </row>
    <row r="6298" spans="1:6" x14ac:dyDescent="0.25">
      <c r="A6298" s="105" t="s">
        <v>42</v>
      </c>
      <c r="B6298" s="102">
        <v>44155</v>
      </c>
      <c r="C6298" s="4">
        <v>3</v>
      </c>
      <c r="D6298" s="21">
        <f t="shared" si="540"/>
        <v>177</v>
      </c>
      <c r="F6298" s="95">
        <f t="shared" si="538"/>
        <v>3</v>
      </c>
    </row>
    <row r="6299" spans="1:6" x14ac:dyDescent="0.25">
      <c r="A6299" s="105" t="s">
        <v>33</v>
      </c>
      <c r="B6299" s="102">
        <v>44155</v>
      </c>
      <c r="C6299" s="4">
        <v>21</v>
      </c>
      <c r="D6299" s="21">
        <f t="shared" si="540"/>
        <v>18273</v>
      </c>
      <c r="E6299" s="4">
        <v>1</v>
      </c>
      <c r="F6299" s="95">
        <f t="shared" si="538"/>
        <v>841</v>
      </c>
    </row>
    <row r="6300" spans="1:6" x14ac:dyDescent="0.25">
      <c r="A6300" s="105" t="s">
        <v>34</v>
      </c>
      <c r="B6300" s="102">
        <v>44155</v>
      </c>
      <c r="C6300" s="4">
        <v>88</v>
      </c>
      <c r="D6300" s="21">
        <f t="shared" si="540"/>
        <v>5060</v>
      </c>
      <c r="E6300" s="4">
        <v>4</v>
      </c>
      <c r="F6300" s="95">
        <f t="shared" si="538"/>
        <v>68</v>
      </c>
    </row>
    <row r="6301" spans="1:6" x14ac:dyDescent="0.25">
      <c r="A6301" s="105" t="s">
        <v>22</v>
      </c>
      <c r="B6301" s="102">
        <v>44155</v>
      </c>
      <c r="C6301" s="4">
        <v>58</v>
      </c>
      <c r="D6301" s="21">
        <f t="shared" si="540"/>
        <v>8420</v>
      </c>
      <c r="F6301" s="95">
        <f t="shared" si="538"/>
        <v>304</v>
      </c>
    </row>
    <row r="6302" spans="1:6" x14ac:dyDescent="0.25">
      <c r="A6302" s="105" t="s">
        <v>18</v>
      </c>
      <c r="B6302" s="102">
        <v>44155</v>
      </c>
      <c r="C6302" s="4">
        <v>317</v>
      </c>
      <c r="D6302" s="21">
        <f t="shared" si="540"/>
        <v>54811</v>
      </c>
      <c r="E6302" s="4">
        <v>6</v>
      </c>
      <c r="F6302" s="95">
        <f t="shared" si="538"/>
        <v>1064</v>
      </c>
    </row>
    <row r="6303" spans="1:6" x14ac:dyDescent="0.25">
      <c r="A6303" s="105" t="s">
        <v>24</v>
      </c>
      <c r="B6303" s="102">
        <v>44155</v>
      </c>
      <c r="C6303" s="4">
        <v>3</v>
      </c>
      <c r="D6303" s="21">
        <f t="shared" si="540"/>
        <v>434</v>
      </c>
      <c r="F6303" s="95">
        <f t="shared" si="538"/>
        <v>7</v>
      </c>
    </row>
    <row r="6304" spans="1:6" x14ac:dyDescent="0.25">
      <c r="A6304" s="105" t="s">
        <v>20</v>
      </c>
      <c r="B6304" s="102">
        <v>44155</v>
      </c>
      <c r="C6304" s="4">
        <v>321</v>
      </c>
      <c r="D6304" s="21">
        <f t="shared" si="540"/>
        <v>29259</v>
      </c>
      <c r="E6304" s="4">
        <v>1</v>
      </c>
      <c r="F6304" s="95">
        <f t="shared" si="538"/>
        <v>572</v>
      </c>
    </row>
    <row r="6305" spans="1:6" x14ac:dyDescent="0.25">
      <c r="A6305" s="105" t="s">
        <v>19</v>
      </c>
      <c r="B6305" s="102">
        <v>44155</v>
      </c>
      <c r="C6305" s="4">
        <v>201</v>
      </c>
      <c r="D6305" s="21">
        <f t="shared" si="540"/>
        <v>29746</v>
      </c>
      <c r="E6305" s="4">
        <v>1</v>
      </c>
      <c r="F6305" s="95">
        <f t="shared" si="538"/>
        <v>750</v>
      </c>
    </row>
    <row r="6306" spans="1:6" x14ac:dyDescent="0.25">
      <c r="A6306" s="105" t="s">
        <v>35</v>
      </c>
      <c r="B6306" s="102">
        <v>44155</v>
      </c>
      <c r="C6306" s="4">
        <v>166</v>
      </c>
      <c r="D6306" s="21">
        <f t="shared" si="540"/>
        <v>20678</v>
      </c>
      <c r="E6306" s="4">
        <v>3</v>
      </c>
      <c r="F6306" s="95">
        <f t="shared" si="538"/>
        <v>946</v>
      </c>
    </row>
    <row r="6307" spans="1:6" x14ac:dyDescent="0.25">
      <c r="A6307" s="105" t="s">
        <v>36</v>
      </c>
      <c r="B6307" s="102">
        <v>44155</v>
      </c>
      <c r="C6307" s="4">
        <v>471</v>
      </c>
      <c r="D6307" s="21">
        <f t="shared" si="540"/>
        <v>5553</v>
      </c>
      <c r="F6307" s="95">
        <f t="shared" si="538"/>
        <v>143</v>
      </c>
    </row>
    <row r="6308" spans="1:6" x14ac:dyDescent="0.25">
      <c r="A6308" s="105" t="s">
        <v>37</v>
      </c>
      <c r="B6308" s="102">
        <v>44155</v>
      </c>
      <c r="C6308" s="4">
        <v>378</v>
      </c>
      <c r="D6308" s="21">
        <f t="shared" si="540"/>
        <v>12787</v>
      </c>
      <c r="E6308" s="4">
        <v>8</v>
      </c>
      <c r="F6308" s="95">
        <f t="shared" si="538"/>
        <v>177</v>
      </c>
    </row>
    <row r="6309" spans="1:6" x14ac:dyDescent="0.25">
      <c r="A6309" s="105" t="s">
        <v>38</v>
      </c>
      <c r="B6309" s="102">
        <v>44155</v>
      </c>
      <c r="C6309" s="4">
        <v>248</v>
      </c>
      <c r="D6309" s="21">
        <f t="shared" si="540"/>
        <v>13847</v>
      </c>
      <c r="E6309" s="4">
        <v>3</v>
      </c>
      <c r="F6309" s="95">
        <f t="shared" si="538"/>
        <v>224</v>
      </c>
    </row>
    <row r="6310" spans="1:6" x14ac:dyDescent="0.25">
      <c r="A6310" s="105" t="s">
        <v>23</v>
      </c>
      <c r="B6310" s="102">
        <v>44155</v>
      </c>
      <c r="C6310" s="4">
        <v>1757</v>
      </c>
      <c r="D6310" s="21">
        <f t="shared" si="540"/>
        <v>136009</v>
      </c>
      <c r="E6310" s="4">
        <v>18</v>
      </c>
      <c r="F6310" s="95">
        <f t="shared" si="538"/>
        <v>2022</v>
      </c>
    </row>
    <row r="6311" spans="1:6" x14ac:dyDescent="0.25">
      <c r="A6311" s="105" t="s">
        <v>39</v>
      </c>
      <c r="B6311" s="102">
        <v>44155</v>
      </c>
      <c r="C6311" s="4">
        <v>252</v>
      </c>
      <c r="D6311" s="21">
        <f t="shared" si="540"/>
        <v>14163</v>
      </c>
      <c r="F6311" s="95">
        <f t="shared" si="538"/>
        <v>173</v>
      </c>
    </row>
    <row r="6312" spans="1:6" x14ac:dyDescent="0.25">
      <c r="A6312" s="105" t="s">
        <v>40</v>
      </c>
      <c r="B6312" s="102">
        <v>44155</v>
      </c>
      <c r="C6312" s="4">
        <v>127</v>
      </c>
      <c r="D6312" s="21">
        <f t="shared" si="540"/>
        <v>14965</v>
      </c>
      <c r="E6312" s="4">
        <v>2</v>
      </c>
      <c r="F6312" s="95">
        <f t="shared" si="538"/>
        <v>217</v>
      </c>
    </row>
    <row r="6313" spans="1:6" ht="15.75" thickBot="1" x14ac:dyDescent="0.3">
      <c r="A6313" s="106" t="s">
        <v>41</v>
      </c>
      <c r="B6313" s="102">
        <v>44155</v>
      </c>
      <c r="C6313" s="4">
        <v>472</v>
      </c>
      <c r="D6313" s="98">
        <f>C6313+D6289</f>
        <v>62879</v>
      </c>
      <c r="E6313" s="4">
        <v>24</v>
      </c>
      <c r="F6313" s="96">
        <f t="shared" si="538"/>
        <v>1056</v>
      </c>
    </row>
    <row r="6314" spans="1:6" x14ac:dyDescent="0.25">
      <c r="A6314" s="45" t="s">
        <v>17</v>
      </c>
      <c r="B6314" s="102">
        <v>44156</v>
      </c>
      <c r="C6314" s="4">
        <v>1894</v>
      </c>
      <c r="D6314" s="97">
        <f t="shared" si="540"/>
        <v>604016</v>
      </c>
      <c r="E6314" s="4">
        <f>24+17</f>
        <v>41</v>
      </c>
      <c r="F6314" s="94">
        <f t="shared" si="538"/>
        <v>19937</v>
      </c>
    </row>
    <row r="6315" spans="1:6" x14ac:dyDescent="0.25">
      <c r="A6315" s="105" t="s">
        <v>44</v>
      </c>
      <c r="B6315" s="102">
        <v>44156</v>
      </c>
      <c r="C6315" s="4">
        <v>350</v>
      </c>
      <c r="D6315" s="21">
        <f t="shared" si="540"/>
        <v>156219</v>
      </c>
      <c r="E6315" s="4">
        <f>3+1</f>
        <v>4</v>
      </c>
      <c r="F6315" s="95">
        <f t="shared" ref="F6315:F6378" si="541">E6315+F6291</f>
        <v>5158</v>
      </c>
    </row>
    <row r="6316" spans="1:6" x14ac:dyDescent="0.25">
      <c r="A6316" s="105" t="s">
        <v>29</v>
      </c>
      <c r="B6316" s="102">
        <v>44156</v>
      </c>
      <c r="C6316" s="4">
        <v>25</v>
      </c>
      <c r="D6316" s="21">
        <f t="shared" si="540"/>
        <v>1671</v>
      </c>
      <c r="E6316" s="4">
        <f>5</f>
        <v>5</v>
      </c>
      <c r="F6316" s="95">
        <f t="shared" si="541"/>
        <v>13</v>
      </c>
    </row>
    <row r="6317" spans="1:6" x14ac:dyDescent="0.25">
      <c r="A6317" s="105" t="s">
        <v>16</v>
      </c>
      <c r="B6317" s="102">
        <v>44156</v>
      </c>
      <c r="C6317" s="4">
        <v>156</v>
      </c>
      <c r="D6317" s="21">
        <f t="shared" si="540"/>
        <v>17659</v>
      </c>
      <c r="F6317" s="95">
        <f t="shared" si="541"/>
        <v>525</v>
      </c>
    </row>
    <row r="6318" spans="1:6" x14ac:dyDescent="0.25">
      <c r="A6318" s="105" t="s">
        <v>30</v>
      </c>
      <c r="B6318" s="102">
        <v>44156</v>
      </c>
      <c r="C6318" s="4">
        <v>241</v>
      </c>
      <c r="D6318" s="21">
        <f t="shared" si="540"/>
        <v>21021</v>
      </c>
      <c r="E6318" s="4">
        <f>1</f>
        <v>1</v>
      </c>
      <c r="F6318" s="95">
        <f t="shared" si="541"/>
        <v>357</v>
      </c>
    </row>
    <row r="6319" spans="1:6" x14ac:dyDescent="0.25">
      <c r="A6319" s="105" t="s">
        <v>21</v>
      </c>
      <c r="B6319" s="102">
        <v>44156</v>
      </c>
      <c r="C6319" s="4">
        <v>888</v>
      </c>
      <c r="D6319" s="21">
        <f t="shared" si="540"/>
        <v>108774</v>
      </c>
      <c r="E6319" s="4">
        <f>6+4</f>
        <v>10</v>
      </c>
      <c r="F6319" s="95">
        <f t="shared" si="541"/>
        <v>1771</v>
      </c>
    </row>
    <row r="6320" spans="1:6" x14ac:dyDescent="0.25">
      <c r="A6320" s="105" t="s">
        <v>31</v>
      </c>
      <c r="B6320" s="102">
        <v>44156</v>
      </c>
      <c r="C6320" s="4">
        <v>96</v>
      </c>
      <c r="D6320" s="21">
        <f t="shared" si="540"/>
        <v>4769</v>
      </c>
      <c r="F6320" s="95">
        <f t="shared" si="541"/>
        <v>86</v>
      </c>
    </row>
    <row r="6321" spans="1:6" x14ac:dyDescent="0.25">
      <c r="A6321" s="105" t="s">
        <v>32</v>
      </c>
      <c r="B6321" s="102">
        <v>44156</v>
      </c>
      <c r="C6321" s="4">
        <v>216</v>
      </c>
      <c r="D6321" s="21">
        <f t="shared" si="540"/>
        <v>21718</v>
      </c>
      <c r="E6321" s="4">
        <f>4+1</f>
        <v>5</v>
      </c>
      <c r="F6321" s="95">
        <f t="shared" si="541"/>
        <v>416</v>
      </c>
    </row>
    <row r="6322" spans="1:6" x14ac:dyDescent="0.25">
      <c r="A6322" s="105" t="s">
        <v>42</v>
      </c>
      <c r="B6322" s="102">
        <v>44156</v>
      </c>
      <c r="C6322" s="4">
        <v>2</v>
      </c>
      <c r="D6322" s="21">
        <f t="shared" si="540"/>
        <v>179</v>
      </c>
      <c r="F6322" s="95">
        <f t="shared" si="541"/>
        <v>3</v>
      </c>
    </row>
    <row r="6323" spans="1:6" x14ac:dyDescent="0.25">
      <c r="A6323" s="105" t="s">
        <v>33</v>
      </c>
      <c r="B6323" s="102">
        <v>44156</v>
      </c>
      <c r="C6323" s="4">
        <v>12</v>
      </c>
      <c r="D6323" s="21">
        <f t="shared" si="540"/>
        <v>18285</v>
      </c>
      <c r="E6323" s="4">
        <f>1</f>
        <v>1</v>
      </c>
      <c r="F6323" s="95">
        <f t="shared" si="541"/>
        <v>842</v>
      </c>
    </row>
    <row r="6324" spans="1:6" x14ac:dyDescent="0.25">
      <c r="A6324" s="105" t="s">
        <v>34</v>
      </c>
      <c r="B6324" s="102">
        <v>44156</v>
      </c>
      <c r="C6324" s="4">
        <v>57</v>
      </c>
      <c r="D6324" s="21">
        <f t="shared" si="540"/>
        <v>5117</v>
      </c>
      <c r="E6324" s="4">
        <v>2</v>
      </c>
      <c r="F6324" s="95">
        <f t="shared" si="541"/>
        <v>70</v>
      </c>
    </row>
    <row r="6325" spans="1:6" x14ac:dyDescent="0.25">
      <c r="A6325" s="105" t="s">
        <v>22</v>
      </c>
      <c r="B6325" s="102">
        <v>44156</v>
      </c>
      <c r="C6325" s="4">
        <v>63</v>
      </c>
      <c r="D6325" s="21">
        <f t="shared" si="540"/>
        <v>8483</v>
      </c>
      <c r="E6325" s="4">
        <v>5</v>
      </c>
      <c r="F6325" s="95">
        <f t="shared" si="541"/>
        <v>309</v>
      </c>
    </row>
    <row r="6326" spans="1:6" x14ac:dyDescent="0.25">
      <c r="A6326" s="105" t="s">
        <v>18</v>
      </c>
      <c r="B6326" s="102">
        <v>44156</v>
      </c>
      <c r="C6326" s="4">
        <v>226</v>
      </c>
      <c r="D6326" s="21">
        <f t="shared" si="540"/>
        <v>55037</v>
      </c>
      <c r="E6326" s="4">
        <v>2</v>
      </c>
      <c r="F6326" s="95">
        <f t="shared" si="541"/>
        <v>1066</v>
      </c>
    </row>
    <row r="6327" spans="1:6" x14ac:dyDescent="0.25">
      <c r="A6327" s="105" t="s">
        <v>24</v>
      </c>
      <c r="B6327" s="102">
        <v>44156</v>
      </c>
      <c r="C6327" s="4">
        <v>1</v>
      </c>
      <c r="D6327" s="21">
        <f t="shared" si="540"/>
        <v>435</v>
      </c>
      <c r="E6327" s="4">
        <f>1</f>
        <v>1</v>
      </c>
      <c r="F6327" s="95">
        <f t="shared" si="541"/>
        <v>8</v>
      </c>
    </row>
    <row r="6328" spans="1:6" x14ac:dyDescent="0.25">
      <c r="A6328" s="105" t="s">
        <v>20</v>
      </c>
      <c r="B6328" s="102">
        <v>44156</v>
      </c>
      <c r="C6328" s="4">
        <v>235</v>
      </c>
      <c r="D6328" s="21">
        <f t="shared" si="540"/>
        <v>29494</v>
      </c>
      <c r="F6328" s="95">
        <f t="shared" si="541"/>
        <v>572</v>
      </c>
    </row>
    <row r="6329" spans="1:6" x14ac:dyDescent="0.25">
      <c r="A6329" s="105" t="s">
        <v>19</v>
      </c>
      <c r="B6329" s="102">
        <v>44156</v>
      </c>
      <c r="C6329" s="4">
        <v>169</v>
      </c>
      <c r="D6329" s="21">
        <f t="shared" si="540"/>
        <v>29915</v>
      </c>
      <c r="E6329" s="4">
        <v>1</v>
      </c>
      <c r="F6329" s="95">
        <f t="shared" si="541"/>
        <v>751</v>
      </c>
    </row>
    <row r="6330" spans="1:6" x14ac:dyDescent="0.25">
      <c r="A6330" s="105" t="s">
        <v>35</v>
      </c>
      <c r="B6330" s="102">
        <v>44156</v>
      </c>
      <c r="C6330" s="4">
        <v>48</v>
      </c>
      <c r="D6330" s="21">
        <f t="shared" ref="D6330:D6336" si="542">C6330+D6306</f>
        <v>20726</v>
      </c>
      <c r="E6330" s="4">
        <f>1</f>
        <v>1</v>
      </c>
      <c r="F6330" s="95">
        <f t="shared" si="541"/>
        <v>947</v>
      </c>
    </row>
    <row r="6331" spans="1:6" x14ac:dyDescent="0.25">
      <c r="A6331" s="105" t="s">
        <v>36</v>
      </c>
      <c r="B6331" s="102">
        <v>44156</v>
      </c>
      <c r="C6331" s="4">
        <v>115</v>
      </c>
      <c r="D6331" s="21">
        <f t="shared" si="542"/>
        <v>5668</v>
      </c>
      <c r="F6331" s="95">
        <f t="shared" si="541"/>
        <v>143</v>
      </c>
    </row>
    <row r="6332" spans="1:6" x14ac:dyDescent="0.25">
      <c r="A6332" s="105" t="s">
        <v>37</v>
      </c>
      <c r="B6332" s="102">
        <v>44156</v>
      </c>
      <c r="C6332" s="4">
        <v>250</v>
      </c>
      <c r="D6332" s="21">
        <f t="shared" si="542"/>
        <v>13037</v>
      </c>
      <c r="E6332" s="4">
        <f>1</f>
        <v>1</v>
      </c>
      <c r="F6332" s="95">
        <f t="shared" si="541"/>
        <v>178</v>
      </c>
    </row>
    <row r="6333" spans="1:6" x14ac:dyDescent="0.25">
      <c r="A6333" s="105" t="s">
        <v>38</v>
      </c>
      <c r="B6333" s="102">
        <v>44156</v>
      </c>
      <c r="C6333" s="4">
        <v>163</v>
      </c>
      <c r="D6333" s="21">
        <f t="shared" si="542"/>
        <v>14010</v>
      </c>
      <c r="E6333" s="4">
        <v>7</v>
      </c>
      <c r="F6333" s="95">
        <f t="shared" si="541"/>
        <v>231</v>
      </c>
    </row>
    <row r="6334" spans="1:6" x14ac:dyDescent="0.25">
      <c r="A6334" s="105" t="s">
        <v>23</v>
      </c>
      <c r="B6334" s="102">
        <v>44156</v>
      </c>
      <c r="C6334" s="4">
        <v>1254</v>
      </c>
      <c r="D6334" s="21">
        <f t="shared" si="542"/>
        <v>137263</v>
      </c>
      <c r="E6334" s="4">
        <f>12+9</f>
        <v>21</v>
      </c>
      <c r="F6334" s="95">
        <f t="shared" si="541"/>
        <v>2043</v>
      </c>
    </row>
    <row r="6335" spans="1:6" x14ac:dyDescent="0.25">
      <c r="A6335" s="105" t="s">
        <v>39</v>
      </c>
      <c r="B6335" s="102">
        <v>44156</v>
      </c>
      <c r="C6335" s="4">
        <v>201</v>
      </c>
      <c r="D6335" s="21">
        <f t="shared" si="542"/>
        <v>14364</v>
      </c>
      <c r="F6335" s="95">
        <f t="shared" si="541"/>
        <v>173</v>
      </c>
    </row>
    <row r="6336" spans="1:6" x14ac:dyDescent="0.25">
      <c r="A6336" s="105" t="s">
        <v>40</v>
      </c>
      <c r="B6336" s="102">
        <v>44156</v>
      </c>
      <c r="C6336" s="4">
        <v>221</v>
      </c>
      <c r="D6336" s="21">
        <f t="shared" si="542"/>
        <v>15186</v>
      </c>
      <c r="E6336" s="4">
        <f>2</f>
        <v>2</v>
      </c>
      <c r="F6336" s="95">
        <f t="shared" si="541"/>
        <v>219</v>
      </c>
    </row>
    <row r="6337" spans="1:6" ht="15.75" thickBot="1" x14ac:dyDescent="0.3">
      <c r="A6337" s="106" t="s">
        <v>41</v>
      </c>
      <c r="B6337" s="102">
        <v>44156</v>
      </c>
      <c r="C6337" s="4">
        <v>257</v>
      </c>
      <c r="D6337" s="98">
        <f>C6337+D6313</f>
        <v>63136</v>
      </c>
      <c r="E6337" s="4">
        <v>2</v>
      </c>
      <c r="F6337" s="96">
        <f t="shared" si="541"/>
        <v>1058</v>
      </c>
    </row>
    <row r="6338" spans="1:6" x14ac:dyDescent="0.25">
      <c r="A6338" s="45" t="s">
        <v>17</v>
      </c>
      <c r="B6338" s="102">
        <v>44157</v>
      </c>
      <c r="C6338" s="4">
        <v>998</v>
      </c>
      <c r="D6338" s="97">
        <f t="shared" ref="D6338:D6401" si="543">C6338+D6314</f>
        <v>605014</v>
      </c>
      <c r="E6338" s="4">
        <f>17+16</f>
        <v>33</v>
      </c>
      <c r="F6338" s="94">
        <f t="shared" si="541"/>
        <v>19970</v>
      </c>
    </row>
    <row r="6339" spans="1:6" x14ac:dyDescent="0.25">
      <c r="A6339" s="105" t="s">
        <v>44</v>
      </c>
      <c r="B6339" s="102">
        <v>44157</v>
      </c>
      <c r="C6339" s="4">
        <v>195</v>
      </c>
      <c r="D6339" s="21">
        <f t="shared" si="543"/>
        <v>156414</v>
      </c>
      <c r="E6339" s="4">
        <f>3+1</f>
        <v>4</v>
      </c>
      <c r="F6339" s="95">
        <f t="shared" si="541"/>
        <v>5162</v>
      </c>
    </row>
    <row r="6340" spans="1:6" x14ac:dyDescent="0.25">
      <c r="A6340" s="105" t="s">
        <v>29</v>
      </c>
      <c r="B6340" s="102">
        <v>44157</v>
      </c>
      <c r="C6340" s="4">
        <v>37</v>
      </c>
      <c r="D6340" s="21">
        <f t="shared" si="543"/>
        <v>1708</v>
      </c>
      <c r="F6340" s="95">
        <f t="shared" si="541"/>
        <v>13</v>
      </c>
    </row>
    <row r="6341" spans="1:6" x14ac:dyDescent="0.25">
      <c r="A6341" s="105" t="s">
        <v>16</v>
      </c>
      <c r="B6341" s="102">
        <v>44157</v>
      </c>
      <c r="C6341" s="4">
        <v>119</v>
      </c>
      <c r="D6341" s="21">
        <f t="shared" si="543"/>
        <v>17778</v>
      </c>
      <c r="E6341" s="4">
        <f>1+1</f>
        <v>2</v>
      </c>
      <c r="F6341" s="95">
        <f t="shared" si="541"/>
        <v>527</v>
      </c>
    </row>
    <row r="6342" spans="1:6" x14ac:dyDescent="0.25">
      <c r="A6342" s="105" t="s">
        <v>30</v>
      </c>
      <c r="B6342" s="102">
        <v>44157</v>
      </c>
      <c r="C6342" s="4">
        <v>146</v>
      </c>
      <c r="D6342" s="21">
        <f t="shared" si="543"/>
        <v>21167</v>
      </c>
      <c r="F6342" s="95">
        <f t="shared" si="541"/>
        <v>357</v>
      </c>
    </row>
    <row r="6343" spans="1:6" x14ac:dyDescent="0.25">
      <c r="A6343" s="105" t="s">
        <v>21</v>
      </c>
      <c r="B6343" s="102">
        <v>44157</v>
      </c>
      <c r="C6343" s="4">
        <v>452</v>
      </c>
      <c r="D6343" s="21">
        <f t="shared" si="543"/>
        <v>109226</v>
      </c>
      <c r="E6343" s="4">
        <f>3+2</f>
        <v>5</v>
      </c>
      <c r="F6343" s="95">
        <f t="shared" si="541"/>
        <v>1776</v>
      </c>
    </row>
    <row r="6344" spans="1:6" x14ac:dyDescent="0.25">
      <c r="A6344" s="105" t="s">
        <v>31</v>
      </c>
      <c r="B6344" s="102">
        <v>44157</v>
      </c>
      <c r="C6344" s="4">
        <v>27</v>
      </c>
      <c r="D6344" s="21">
        <f t="shared" si="543"/>
        <v>4796</v>
      </c>
      <c r="F6344" s="95">
        <f t="shared" si="541"/>
        <v>86</v>
      </c>
    </row>
    <row r="6345" spans="1:6" x14ac:dyDescent="0.25">
      <c r="A6345" s="105" t="s">
        <v>32</v>
      </c>
      <c r="B6345" s="102">
        <v>44157</v>
      </c>
      <c r="C6345" s="4">
        <v>159</v>
      </c>
      <c r="D6345" s="21">
        <f t="shared" si="543"/>
        <v>21877</v>
      </c>
      <c r="E6345" s="4">
        <f>2</f>
        <v>2</v>
      </c>
      <c r="F6345" s="95">
        <f t="shared" si="541"/>
        <v>418</v>
      </c>
    </row>
    <row r="6346" spans="1:6" x14ac:dyDescent="0.25">
      <c r="A6346" s="105" t="s">
        <v>42</v>
      </c>
      <c r="B6346" s="102">
        <v>44157</v>
      </c>
      <c r="C6346" s="4">
        <v>1</v>
      </c>
      <c r="D6346" s="21">
        <f t="shared" si="543"/>
        <v>180</v>
      </c>
      <c r="F6346" s="95">
        <f t="shared" si="541"/>
        <v>3</v>
      </c>
    </row>
    <row r="6347" spans="1:6" x14ac:dyDescent="0.25">
      <c r="A6347" s="105" t="s">
        <v>33</v>
      </c>
      <c r="B6347" s="102">
        <v>44157</v>
      </c>
      <c r="C6347" s="4">
        <v>9</v>
      </c>
      <c r="D6347" s="21">
        <f t="shared" si="543"/>
        <v>18294</v>
      </c>
      <c r="F6347" s="95">
        <f t="shared" si="541"/>
        <v>842</v>
      </c>
    </row>
    <row r="6348" spans="1:6" x14ac:dyDescent="0.25">
      <c r="A6348" s="105" t="s">
        <v>34</v>
      </c>
      <c r="B6348" s="102">
        <v>44157</v>
      </c>
      <c r="C6348" s="4">
        <v>82</v>
      </c>
      <c r="D6348" s="21">
        <f t="shared" si="543"/>
        <v>5199</v>
      </c>
      <c r="F6348" s="95">
        <f t="shared" si="541"/>
        <v>70</v>
      </c>
    </row>
    <row r="6349" spans="1:6" x14ac:dyDescent="0.25">
      <c r="A6349" s="105" t="s">
        <v>22</v>
      </c>
      <c r="B6349" s="102">
        <v>44157</v>
      </c>
      <c r="C6349" s="4">
        <v>28</v>
      </c>
      <c r="D6349" s="21">
        <f t="shared" si="543"/>
        <v>8511</v>
      </c>
      <c r="E6349" s="4">
        <f>1</f>
        <v>1</v>
      </c>
      <c r="F6349" s="95">
        <f t="shared" si="541"/>
        <v>310</v>
      </c>
    </row>
    <row r="6350" spans="1:6" x14ac:dyDescent="0.25">
      <c r="A6350" s="105" t="s">
        <v>18</v>
      </c>
      <c r="B6350" s="102">
        <v>44157</v>
      </c>
      <c r="C6350" s="4">
        <v>152</v>
      </c>
      <c r="D6350" s="21">
        <f t="shared" si="543"/>
        <v>55189</v>
      </c>
      <c r="E6350" s="4">
        <f>2</f>
        <v>2</v>
      </c>
      <c r="F6350" s="95">
        <f t="shared" si="541"/>
        <v>1068</v>
      </c>
    </row>
    <row r="6351" spans="1:6" x14ac:dyDescent="0.25">
      <c r="A6351" s="105" t="s">
        <v>24</v>
      </c>
      <c r="B6351" s="102">
        <v>44157</v>
      </c>
      <c r="C6351" s="4">
        <v>1</v>
      </c>
      <c r="D6351" s="21">
        <f t="shared" si="543"/>
        <v>436</v>
      </c>
      <c r="F6351" s="95">
        <f t="shared" si="541"/>
        <v>8</v>
      </c>
    </row>
    <row r="6352" spans="1:6" x14ac:dyDescent="0.25">
      <c r="A6352" s="105" t="s">
        <v>20</v>
      </c>
      <c r="B6352" s="102">
        <v>44157</v>
      </c>
      <c r="C6352" s="4">
        <v>169</v>
      </c>
      <c r="D6352" s="21">
        <f t="shared" si="543"/>
        <v>29663</v>
      </c>
      <c r="E6352" s="4">
        <f>9+8</f>
        <v>17</v>
      </c>
      <c r="F6352" s="95">
        <f t="shared" si="541"/>
        <v>589</v>
      </c>
    </row>
    <row r="6353" spans="1:6" x14ac:dyDescent="0.25">
      <c r="A6353" s="105" t="s">
        <v>19</v>
      </c>
      <c r="B6353" s="102">
        <v>44157</v>
      </c>
      <c r="C6353" s="4">
        <v>141</v>
      </c>
      <c r="D6353" s="21">
        <f t="shared" si="543"/>
        <v>30056</v>
      </c>
      <c r="F6353" s="95">
        <f t="shared" si="541"/>
        <v>751</v>
      </c>
    </row>
    <row r="6354" spans="1:6" x14ac:dyDescent="0.25">
      <c r="A6354" s="105" t="s">
        <v>35</v>
      </c>
      <c r="B6354" s="102">
        <v>44157</v>
      </c>
      <c r="C6354" s="4">
        <v>28</v>
      </c>
      <c r="D6354" s="21">
        <f t="shared" si="543"/>
        <v>20754</v>
      </c>
      <c r="E6354" s="4">
        <f>1</f>
        <v>1</v>
      </c>
      <c r="F6354" s="95">
        <f t="shared" si="541"/>
        <v>948</v>
      </c>
    </row>
    <row r="6355" spans="1:6" x14ac:dyDescent="0.25">
      <c r="A6355" s="105" t="s">
        <v>36</v>
      </c>
      <c r="B6355" s="102">
        <v>44157</v>
      </c>
      <c r="C6355" s="4">
        <v>62</v>
      </c>
      <c r="D6355" s="21">
        <f t="shared" si="543"/>
        <v>5730</v>
      </c>
      <c r="F6355" s="95">
        <f t="shared" si="541"/>
        <v>143</v>
      </c>
    </row>
    <row r="6356" spans="1:6" x14ac:dyDescent="0.25">
      <c r="A6356" s="105" t="s">
        <v>37</v>
      </c>
      <c r="B6356" s="102">
        <v>44157</v>
      </c>
      <c r="C6356" s="4">
        <v>126</v>
      </c>
      <c r="D6356" s="21">
        <f t="shared" si="543"/>
        <v>13163</v>
      </c>
      <c r="E6356" s="4">
        <v>1</v>
      </c>
      <c r="F6356" s="95">
        <f t="shared" si="541"/>
        <v>179</v>
      </c>
    </row>
    <row r="6357" spans="1:6" x14ac:dyDescent="0.25">
      <c r="A6357" s="105" t="s">
        <v>38</v>
      </c>
      <c r="B6357" s="102">
        <v>44157</v>
      </c>
      <c r="C6357" s="4">
        <v>189</v>
      </c>
      <c r="D6357" s="21">
        <f t="shared" si="543"/>
        <v>14199</v>
      </c>
      <c r="F6357" s="95">
        <f t="shared" si="541"/>
        <v>231</v>
      </c>
    </row>
    <row r="6358" spans="1:6" x14ac:dyDescent="0.25">
      <c r="A6358" s="105" t="s">
        <v>23</v>
      </c>
      <c r="B6358" s="102">
        <v>44157</v>
      </c>
      <c r="C6358" s="4">
        <v>634</v>
      </c>
      <c r="D6358" s="21">
        <f t="shared" si="543"/>
        <v>137897</v>
      </c>
      <c r="E6358" s="4">
        <f>19+12</f>
        <v>31</v>
      </c>
      <c r="F6358" s="95">
        <f t="shared" si="541"/>
        <v>2074</v>
      </c>
    </row>
    <row r="6359" spans="1:6" x14ac:dyDescent="0.25">
      <c r="A6359" s="105" t="s">
        <v>39</v>
      </c>
      <c r="B6359" s="102">
        <v>44157</v>
      </c>
      <c r="C6359" s="4">
        <v>194</v>
      </c>
      <c r="D6359" s="21">
        <f t="shared" si="543"/>
        <v>14558</v>
      </c>
      <c r="F6359" s="95">
        <f t="shared" si="541"/>
        <v>173</v>
      </c>
    </row>
    <row r="6360" spans="1:6" x14ac:dyDescent="0.25">
      <c r="A6360" s="105" t="s">
        <v>40</v>
      </c>
      <c r="B6360" s="102">
        <v>44157</v>
      </c>
      <c r="C6360" s="4">
        <v>77</v>
      </c>
      <c r="D6360" s="21">
        <f t="shared" si="543"/>
        <v>15263</v>
      </c>
      <c r="E6360" s="4">
        <v>1</v>
      </c>
      <c r="F6360" s="95">
        <f t="shared" si="541"/>
        <v>220</v>
      </c>
    </row>
    <row r="6361" spans="1:6" ht="15.75" thickBot="1" x14ac:dyDescent="0.3">
      <c r="A6361" s="106" t="s">
        <v>41</v>
      </c>
      <c r="B6361" s="102">
        <v>44157</v>
      </c>
      <c r="C6361" s="4">
        <v>158</v>
      </c>
      <c r="D6361" s="98">
        <f>C6361+D6337</f>
        <v>63294</v>
      </c>
      <c r="F6361" s="96">
        <f t="shared" si="541"/>
        <v>1058</v>
      </c>
    </row>
    <row r="6362" spans="1:6" x14ac:dyDescent="0.25">
      <c r="A6362" s="45" t="s">
        <v>17</v>
      </c>
      <c r="B6362" s="102">
        <v>44158</v>
      </c>
      <c r="C6362" s="4">
        <v>954</v>
      </c>
      <c r="D6362" s="97">
        <f t="shared" si="543"/>
        <v>605968</v>
      </c>
      <c r="E6362" s="4">
        <f>18+16</f>
        <v>34</v>
      </c>
      <c r="F6362" s="94">
        <f t="shared" si="541"/>
        <v>20004</v>
      </c>
    </row>
    <row r="6363" spans="1:6" x14ac:dyDescent="0.25">
      <c r="A6363" s="105" t="s">
        <v>44</v>
      </c>
      <c r="B6363" s="102">
        <v>44158</v>
      </c>
      <c r="C6363" s="4">
        <v>239</v>
      </c>
      <c r="D6363" s="21">
        <f t="shared" si="543"/>
        <v>156653</v>
      </c>
      <c r="E6363" s="4">
        <f>2+1</f>
        <v>3</v>
      </c>
      <c r="F6363" s="95">
        <f t="shared" si="541"/>
        <v>5165</v>
      </c>
    </row>
    <row r="6364" spans="1:6" x14ac:dyDescent="0.25">
      <c r="A6364" s="105" t="s">
        <v>29</v>
      </c>
      <c r="B6364" s="102">
        <v>44158</v>
      </c>
      <c r="C6364" s="4">
        <v>4</v>
      </c>
      <c r="D6364" s="21">
        <f t="shared" si="543"/>
        <v>1712</v>
      </c>
      <c r="F6364" s="95">
        <f t="shared" si="541"/>
        <v>13</v>
      </c>
    </row>
    <row r="6365" spans="1:6" x14ac:dyDescent="0.25">
      <c r="A6365" s="105" t="s">
        <v>16</v>
      </c>
      <c r="B6365" s="102">
        <v>44158</v>
      </c>
      <c r="C6365" s="4">
        <v>127</v>
      </c>
      <c r="D6365" s="21">
        <f t="shared" si="543"/>
        <v>17905</v>
      </c>
      <c r="E6365" s="4">
        <f>1</f>
        <v>1</v>
      </c>
      <c r="F6365" s="95">
        <f t="shared" si="541"/>
        <v>528</v>
      </c>
    </row>
    <row r="6366" spans="1:6" x14ac:dyDescent="0.25">
      <c r="A6366" s="105" t="s">
        <v>30</v>
      </c>
      <c r="B6366" s="102">
        <v>44158</v>
      </c>
      <c r="C6366" s="4">
        <v>104</v>
      </c>
      <c r="D6366" s="21">
        <f t="shared" si="543"/>
        <v>21271</v>
      </c>
      <c r="E6366" s="4">
        <f>1+1</f>
        <v>2</v>
      </c>
      <c r="F6366" s="95">
        <f t="shared" si="541"/>
        <v>359</v>
      </c>
    </row>
    <row r="6367" spans="1:6" x14ac:dyDescent="0.25">
      <c r="A6367" s="105" t="s">
        <v>21</v>
      </c>
      <c r="B6367" s="102">
        <v>44158</v>
      </c>
      <c r="C6367" s="4">
        <v>365</v>
      </c>
      <c r="D6367" s="21">
        <f t="shared" si="543"/>
        <v>109591</v>
      </c>
      <c r="E6367" s="4">
        <f>9+4</f>
        <v>13</v>
      </c>
      <c r="F6367" s="95">
        <f t="shared" si="541"/>
        <v>1789</v>
      </c>
    </row>
    <row r="6368" spans="1:6" x14ac:dyDescent="0.25">
      <c r="A6368" s="105" t="s">
        <v>31</v>
      </c>
      <c r="B6368" s="102">
        <v>44158</v>
      </c>
      <c r="C6368" s="4">
        <v>121</v>
      </c>
      <c r="D6368" s="21">
        <f t="shared" si="543"/>
        <v>4917</v>
      </c>
      <c r="F6368" s="95">
        <f t="shared" si="541"/>
        <v>86</v>
      </c>
    </row>
    <row r="6369" spans="1:6" x14ac:dyDescent="0.25">
      <c r="A6369" s="105" t="s">
        <v>32</v>
      </c>
      <c r="B6369" s="102">
        <v>44158</v>
      </c>
      <c r="C6369" s="4">
        <v>22</v>
      </c>
      <c r="D6369" s="21">
        <f t="shared" si="543"/>
        <v>21899</v>
      </c>
      <c r="E6369" s="4">
        <f>2</f>
        <v>2</v>
      </c>
      <c r="F6369" s="95">
        <f t="shared" si="541"/>
        <v>420</v>
      </c>
    </row>
    <row r="6370" spans="1:6" x14ac:dyDescent="0.25">
      <c r="A6370" s="105" t="s">
        <v>42</v>
      </c>
      <c r="B6370" s="102">
        <v>44158</v>
      </c>
      <c r="C6370" s="4">
        <v>9</v>
      </c>
      <c r="D6370" s="21">
        <f t="shared" si="543"/>
        <v>189</v>
      </c>
      <c r="F6370" s="95">
        <f t="shared" si="541"/>
        <v>3</v>
      </c>
    </row>
    <row r="6371" spans="1:6" x14ac:dyDescent="0.25">
      <c r="A6371" s="105" t="s">
        <v>33</v>
      </c>
      <c r="B6371" s="102">
        <v>44158</v>
      </c>
      <c r="C6371" s="4">
        <v>3</v>
      </c>
      <c r="D6371" s="21">
        <f t="shared" si="543"/>
        <v>18297</v>
      </c>
      <c r="E6371" s="4">
        <f>2+1</f>
        <v>3</v>
      </c>
      <c r="F6371" s="95">
        <f t="shared" si="541"/>
        <v>845</v>
      </c>
    </row>
    <row r="6372" spans="1:6" x14ac:dyDescent="0.25">
      <c r="A6372" s="105" t="s">
        <v>34</v>
      </c>
      <c r="B6372" s="102">
        <v>44158</v>
      </c>
      <c r="C6372" s="4">
        <v>38</v>
      </c>
      <c r="D6372" s="21">
        <f t="shared" si="543"/>
        <v>5237</v>
      </c>
      <c r="E6372" s="4">
        <f>2</f>
        <v>2</v>
      </c>
      <c r="F6372" s="95">
        <f t="shared" si="541"/>
        <v>72</v>
      </c>
    </row>
    <row r="6373" spans="1:6" x14ac:dyDescent="0.25">
      <c r="A6373" s="105" t="s">
        <v>22</v>
      </c>
      <c r="B6373" s="102">
        <v>44158</v>
      </c>
      <c r="C6373" s="4">
        <v>43</v>
      </c>
      <c r="D6373" s="21">
        <f t="shared" si="543"/>
        <v>8554</v>
      </c>
      <c r="F6373" s="95">
        <f t="shared" si="541"/>
        <v>310</v>
      </c>
    </row>
    <row r="6374" spans="1:6" x14ac:dyDescent="0.25">
      <c r="A6374" s="105" t="s">
        <v>18</v>
      </c>
      <c r="B6374" s="102">
        <v>44158</v>
      </c>
      <c r="C6374" s="4">
        <v>113</v>
      </c>
      <c r="D6374" s="21">
        <f t="shared" si="543"/>
        <v>55302</v>
      </c>
      <c r="E6374" s="4">
        <f>4+1</f>
        <v>5</v>
      </c>
      <c r="F6374" s="95">
        <f t="shared" si="541"/>
        <v>1073</v>
      </c>
    </row>
    <row r="6375" spans="1:6" x14ac:dyDescent="0.25">
      <c r="A6375" s="105" t="s">
        <v>24</v>
      </c>
      <c r="B6375" s="102">
        <v>44158</v>
      </c>
      <c r="C6375" s="4">
        <v>12</v>
      </c>
      <c r="D6375" s="21">
        <f t="shared" si="543"/>
        <v>448</v>
      </c>
      <c r="F6375" s="95">
        <f t="shared" si="541"/>
        <v>8</v>
      </c>
    </row>
    <row r="6376" spans="1:6" x14ac:dyDescent="0.25">
      <c r="A6376" s="105" t="s">
        <v>20</v>
      </c>
      <c r="B6376" s="102">
        <v>44158</v>
      </c>
      <c r="C6376" s="4">
        <v>356</v>
      </c>
      <c r="D6376" s="21">
        <f t="shared" si="543"/>
        <v>30019</v>
      </c>
      <c r="E6376" s="4">
        <f>1+1</f>
        <v>2</v>
      </c>
      <c r="F6376" s="95">
        <f t="shared" si="541"/>
        <v>591</v>
      </c>
    </row>
    <row r="6377" spans="1:6" x14ac:dyDescent="0.25">
      <c r="A6377" s="105" t="s">
        <v>19</v>
      </c>
      <c r="B6377" s="102">
        <v>44158</v>
      </c>
      <c r="C6377" s="4">
        <v>92</v>
      </c>
      <c r="D6377" s="21">
        <f t="shared" si="543"/>
        <v>30148</v>
      </c>
      <c r="E6377" s="4">
        <f>2+1</f>
        <v>3</v>
      </c>
      <c r="F6377" s="95">
        <f t="shared" si="541"/>
        <v>754</v>
      </c>
    </row>
    <row r="6378" spans="1:6" x14ac:dyDescent="0.25">
      <c r="A6378" s="105" t="s">
        <v>35</v>
      </c>
      <c r="B6378" s="102">
        <v>44158</v>
      </c>
      <c r="C6378" s="4">
        <v>17</v>
      </c>
      <c r="D6378" s="21">
        <f t="shared" si="543"/>
        <v>20771</v>
      </c>
      <c r="F6378" s="95">
        <f t="shared" si="541"/>
        <v>948</v>
      </c>
    </row>
    <row r="6379" spans="1:6" x14ac:dyDescent="0.25">
      <c r="A6379" s="105" t="s">
        <v>36</v>
      </c>
      <c r="B6379" s="102">
        <v>44158</v>
      </c>
      <c r="C6379" s="4">
        <v>48</v>
      </c>
      <c r="D6379" s="21">
        <f t="shared" si="543"/>
        <v>5778</v>
      </c>
      <c r="F6379" s="95">
        <f t="shared" ref="F6379:F6442" si="544">E6379+F6355</f>
        <v>143</v>
      </c>
    </row>
    <row r="6380" spans="1:6" x14ac:dyDescent="0.25">
      <c r="A6380" s="105" t="s">
        <v>37</v>
      </c>
      <c r="B6380" s="102">
        <v>44158</v>
      </c>
      <c r="C6380" s="4">
        <v>46</v>
      </c>
      <c r="D6380" s="21">
        <f t="shared" si="543"/>
        <v>13209</v>
      </c>
      <c r="E6380" s="4">
        <f>2</f>
        <v>2</v>
      </c>
      <c r="F6380" s="95">
        <f t="shared" si="544"/>
        <v>181</v>
      </c>
    </row>
    <row r="6381" spans="1:6" x14ac:dyDescent="0.25">
      <c r="A6381" s="105" t="s">
        <v>38</v>
      </c>
      <c r="B6381" s="102">
        <v>44158</v>
      </c>
      <c r="C6381" s="4">
        <v>110</v>
      </c>
      <c r="D6381" s="21">
        <f t="shared" si="543"/>
        <v>14309</v>
      </c>
      <c r="E6381" s="4">
        <f>6+1</f>
        <v>7</v>
      </c>
      <c r="F6381" s="95">
        <f t="shared" si="544"/>
        <v>238</v>
      </c>
    </row>
    <row r="6382" spans="1:6" x14ac:dyDescent="0.25">
      <c r="A6382" s="105" t="s">
        <v>23</v>
      </c>
      <c r="B6382" s="102">
        <v>44158</v>
      </c>
      <c r="C6382" s="4">
        <v>1021</v>
      </c>
      <c r="D6382" s="21">
        <f t="shared" si="543"/>
        <v>138918</v>
      </c>
      <c r="E6382" s="4">
        <v>23</v>
      </c>
      <c r="F6382" s="95">
        <f t="shared" si="544"/>
        <v>2097</v>
      </c>
    </row>
    <row r="6383" spans="1:6" x14ac:dyDescent="0.25">
      <c r="A6383" s="105" t="s">
        <v>39</v>
      </c>
      <c r="B6383" s="102">
        <v>44158</v>
      </c>
      <c r="C6383" s="4">
        <v>81</v>
      </c>
      <c r="D6383" s="21">
        <f t="shared" si="543"/>
        <v>14639</v>
      </c>
      <c r="E6383" s="4">
        <f>1+1</f>
        <v>2</v>
      </c>
      <c r="F6383" s="95">
        <f t="shared" si="544"/>
        <v>175</v>
      </c>
    </row>
    <row r="6384" spans="1:6" x14ac:dyDescent="0.25">
      <c r="A6384" s="105" t="s">
        <v>40</v>
      </c>
      <c r="B6384" s="102">
        <v>44158</v>
      </c>
      <c r="C6384" s="4">
        <v>152</v>
      </c>
      <c r="D6384" s="21">
        <f t="shared" si="543"/>
        <v>15415</v>
      </c>
      <c r="F6384" s="95">
        <f t="shared" si="544"/>
        <v>220</v>
      </c>
    </row>
    <row r="6385" spans="1:6" ht="15.75" thickBot="1" x14ac:dyDescent="0.3">
      <c r="A6385" s="106" t="s">
        <v>41</v>
      </c>
      <c r="B6385" s="102">
        <v>44158</v>
      </c>
      <c r="C6385" s="4">
        <v>188</v>
      </c>
      <c r="D6385" s="98">
        <f>C6385+D6361</f>
        <v>63482</v>
      </c>
      <c r="E6385" s="4">
        <f>7+8</f>
        <v>15</v>
      </c>
      <c r="F6385" s="96">
        <f t="shared" si="544"/>
        <v>1073</v>
      </c>
    </row>
    <row r="6386" spans="1:6" x14ac:dyDescent="0.25">
      <c r="A6386" s="45" t="s">
        <v>17</v>
      </c>
      <c r="B6386" s="102">
        <v>44159</v>
      </c>
      <c r="C6386" s="4">
        <v>1929</v>
      </c>
      <c r="D6386" s="97">
        <f t="shared" si="543"/>
        <v>607897</v>
      </c>
      <c r="E6386" s="4">
        <f>76+76</f>
        <v>152</v>
      </c>
      <c r="F6386" s="94">
        <f t="shared" si="544"/>
        <v>20156</v>
      </c>
    </row>
    <row r="6387" spans="1:6" x14ac:dyDescent="0.25">
      <c r="A6387" s="105" t="s">
        <v>44</v>
      </c>
      <c r="B6387" s="102">
        <v>44159</v>
      </c>
      <c r="C6387" s="4">
        <v>250</v>
      </c>
      <c r="D6387" s="21">
        <f t="shared" si="543"/>
        <v>156903</v>
      </c>
      <c r="E6387" s="4">
        <f>4+8</f>
        <v>12</v>
      </c>
      <c r="F6387" s="95">
        <f t="shared" si="544"/>
        <v>5177</v>
      </c>
    </row>
    <row r="6388" spans="1:6" x14ac:dyDescent="0.25">
      <c r="A6388" s="105" t="s">
        <v>29</v>
      </c>
      <c r="B6388" s="102">
        <v>44159</v>
      </c>
      <c r="C6388" s="4">
        <v>13</v>
      </c>
      <c r="D6388" s="21">
        <f t="shared" si="543"/>
        <v>1725</v>
      </c>
      <c r="F6388" s="95">
        <f t="shared" si="544"/>
        <v>13</v>
      </c>
    </row>
    <row r="6389" spans="1:6" x14ac:dyDescent="0.25">
      <c r="A6389" s="105" t="s">
        <v>16</v>
      </c>
      <c r="B6389" s="102">
        <v>44159</v>
      </c>
      <c r="C6389" s="4">
        <v>177</v>
      </c>
      <c r="D6389" s="21">
        <f t="shared" si="543"/>
        <v>18082</v>
      </c>
      <c r="E6389" s="4">
        <f>4+1</f>
        <v>5</v>
      </c>
      <c r="F6389" s="95">
        <f t="shared" si="544"/>
        <v>533</v>
      </c>
    </row>
    <row r="6390" spans="1:6" x14ac:dyDescent="0.25">
      <c r="A6390" s="105" t="s">
        <v>30</v>
      </c>
      <c r="B6390" s="102">
        <v>44159</v>
      </c>
      <c r="C6390" s="4">
        <v>227</v>
      </c>
      <c r="D6390" s="21">
        <f t="shared" si="543"/>
        <v>21498</v>
      </c>
      <c r="E6390" s="4">
        <f>1+1</f>
        <v>2</v>
      </c>
      <c r="F6390" s="95">
        <f t="shared" si="544"/>
        <v>361</v>
      </c>
    </row>
    <row r="6391" spans="1:6" x14ac:dyDescent="0.25">
      <c r="A6391" s="105" t="s">
        <v>21</v>
      </c>
      <c r="B6391" s="102">
        <v>44159</v>
      </c>
      <c r="C6391" s="4">
        <v>471</v>
      </c>
      <c r="D6391" s="21">
        <f t="shared" si="543"/>
        <v>110062</v>
      </c>
      <c r="E6391" s="4">
        <f>22+11</f>
        <v>33</v>
      </c>
      <c r="F6391" s="95">
        <f t="shared" si="544"/>
        <v>1822</v>
      </c>
    </row>
    <row r="6392" spans="1:6" x14ac:dyDescent="0.25">
      <c r="A6392" s="105" t="s">
        <v>31</v>
      </c>
      <c r="B6392" s="102">
        <v>44159</v>
      </c>
      <c r="C6392" s="4">
        <v>92</v>
      </c>
      <c r="D6392" s="21">
        <f t="shared" si="543"/>
        <v>5009</v>
      </c>
      <c r="F6392" s="95">
        <f t="shared" si="544"/>
        <v>86</v>
      </c>
    </row>
    <row r="6393" spans="1:6" x14ac:dyDescent="0.25">
      <c r="A6393" s="105" t="s">
        <v>32</v>
      </c>
      <c r="B6393" s="102">
        <v>44159</v>
      </c>
      <c r="C6393" s="4">
        <v>177</v>
      </c>
      <c r="D6393" s="21">
        <f t="shared" si="543"/>
        <v>22076</v>
      </c>
      <c r="E6393" s="4">
        <f>8+6</f>
        <v>14</v>
      </c>
      <c r="F6393" s="95">
        <f t="shared" si="544"/>
        <v>434</v>
      </c>
    </row>
    <row r="6394" spans="1:6" x14ac:dyDescent="0.25">
      <c r="A6394" s="105" t="s">
        <v>42</v>
      </c>
      <c r="B6394" s="102">
        <v>44159</v>
      </c>
      <c r="C6394" s="4">
        <v>2</v>
      </c>
      <c r="D6394" s="21">
        <f t="shared" si="543"/>
        <v>191</v>
      </c>
      <c r="F6394" s="95">
        <f t="shared" si="544"/>
        <v>3</v>
      </c>
    </row>
    <row r="6395" spans="1:6" x14ac:dyDescent="0.25">
      <c r="A6395" s="105" t="s">
        <v>33</v>
      </c>
      <c r="B6395" s="102">
        <v>44159</v>
      </c>
      <c r="C6395" s="4">
        <v>20</v>
      </c>
      <c r="D6395" s="21">
        <f t="shared" si="543"/>
        <v>18317</v>
      </c>
      <c r="F6395" s="95">
        <f t="shared" si="544"/>
        <v>845</v>
      </c>
    </row>
    <row r="6396" spans="1:6" x14ac:dyDescent="0.25">
      <c r="A6396" s="105" t="s">
        <v>34</v>
      </c>
      <c r="B6396" s="102">
        <v>44159</v>
      </c>
      <c r="C6396" s="4">
        <v>61</v>
      </c>
      <c r="D6396" s="21">
        <f t="shared" si="543"/>
        <v>5298</v>
      </c>
      <c r="E6396" s="4">
        <f>1</f>
        <v>1</v>
      </c>
      <c r="F6396" s="95">
        <f t="shared" si="544"/>
        <v>73</v>
      </c>
    </row>
    <row r="6397" spans="1:6" x14ac:dyDescent="0.25">
      <c r="A6397" s="105" t="s">
        <v>22</v>
      </c>
      <c r="B6397" s="102">
        <v>44159</v>
      </c>
      <c r="C6397" s="4">
        <v>16</v>
      </c>
      <c r="D6397" s="21">
        <f t="shared" si="543"/>
        <v>8570</v>
      </c>
      <c r="F6397" s="95">
        <f t="shared" si="544"/>
        <v>310</v>
      </c>
    </row>
    <row r="6398" spans="1:6" x14ac:dyDescent="0.25">
      <c r="A6398" s="105" t="s">
        <v>18</v>
      </c>
      <c r="B6398" s="102">
        <v>44159</v>
      </c>
      <c r="C6398" s="4">
        <v>198</v>
      </c>
      <c r="D6398" s="21">
        <f t="shared" si="543"/>
        <v>55500</v>
      </c>
      <c r="E6398" s="4">
        <f>1+2</f>
        <v>3</v>
      </c>
      <c r="F6398" s="95">
        <f t="shared" si="544"/>
        <v>1076</v>
      </c>
    </row>
    <row r="6399" spans="1:6" x14ac:dyDescent="0.25">
      <c r="A6399" s="105" t="s">
        <v>24</v>
      </c>
      <c r="B6399" s="102">
        <v>44159</v>
      </c>
      <c r="C6399" s="4">
        <v>10</v>
      </c>
      <c r="D6399" s="21">
        <f t="shared" si="543"/>
        <v>458</v>
      </c>
      <c r="F6399" s="95">
        <f t="shared" si="544"/>
        <v>8</v>
      </c>
    </row>
    <row r="6400" spans="1:6" x14ac:dyDescent="0.25">
      <c r="A6400" s="105" t="s">
        <v>20</v>
      </c>
      <c r="B6400" s="102">
        <v>44159</v>
      </c>
      <c r="C6400" s="4">
        <v>485</v>
      </c>
      <c r="D6400" s="21">
        <f t="shared" si="543"/>
        <v>30504</v>
      </c>
      <c r="F6400" s="95">
        <f t="shared" si="544"/>
        <v>591</v>
      </c>
    </row>
    <row r="6401" spans="1:6" x14ac:dyDescent="0.25">
      <c r="A6401" s="105" t="s">
        <v>19</v>
      </c>
      <c r="B6401" s="102">
        <v>44159</v>
      </c>
      <c r="C6401" s="4">
        <v>234</v>
      </c>
      <c r="D6401" s="21">
        <f t="shared" si="543"/>
        <v>30382</v>
      </c>
      <c r="E6401" s="4">
        <f>1</f>
        <v>1</v>
      </c>
      <c r="F6401" s="95">
        <f t="shared" si="544"/>
        <v>755</v>
      </c>
    </row>
    <row r="6402" spans="1:6" x14ac:dyDescent="0.25">
      <c r="A6402" s="105" t="s">
        <v>35</v>
      </c>
      <c r="B6402" s="102">
        <v>44159</v>
      </c>
      <c r="C6402" s="4">
        <v>97</v>
      </c>
      <c r="D6402" s="21">
        <f t="shared" ref="D6402:D6408" si="545">C6402+D6378</f>
        <v>20868</v>
      </c>
      <c r="E6402" s="4">
        <f>6+4</f>
        <v>10</v>
      </c>
      <c r="F6402" s="95">
        <f t="shared" si="544"/>
        <v>958</v>
      </c>
    </row>
    <row r="6403" spans="1:6" x14ac:dyDescent="0.25">
      <c r="A6403" s="105" t="s">
        <v>36</v>
      </c>
      <c r="B6403" s="102">
        <v>44159</v>
      </c>
      <c r="C6403" s="4">
        <v>493</v>
      </c>
      <c r="D6403" s="21">
        <f t="shared" si="545"/>
        <v>6271</v>
      </c>
      <c r="F6403" s="95">
        <f t="shared" si="544"/>
        <v>143</v>
      </c>
    </row>
    <row r="6404" spans="1:6" x14ac:dyDescent="0.25">
      <c r="A6404" s="105" t="s">
        <v>37</v>
      </c>
      <c r="B6404" s="102">
        <v>44159</v>
      </c>
      <c r="C6404" s="4">
        <v>178</v>
      </c>
      <c r="D6404" s="21">
        <f t="shared" si="545"/>
        <v>13387</v>
      </c>
      <c r="E6404" s="4">
        <f>6+1</f>
        <v>7</v>
      </c>
      <c r="F6404" s="95">
        <f t="shared" si="544"/>
        <v>188</v>
      </c>
    </row>
    <row r="6405" spans="1:6" x14ac:dyDescent="0.25">
      <c r="A6405" s="105" t="s">
        <v>38</v>
      </c>
      <c r="B6405" s="102">
        <v>44159</v>
      </c>
      <c r="C6405" s="4">
        <v>208</v>
      </c>
      <c r="D6405" s="21">
        <f t="shared" si="545"/>
        <v>14517</v>
      </c>
      <c r="E6405" s="4">
        <f>5+4</f>
        <v>9</v>
      </c>
      <c r="F6405" s="95">
        <f t="shared" si="544"/>
        <v>247</v>
      </c>
    </row>
    <row r="6406" spans="1:6" x14ac:dyDescent="0.25">
      <c r="A6406" s="105" t="s">
        <v>23</v>
      </c>
      <c r="B6406" s="102">
        <v>44159</v>
      </c>
      <c r="C6406" s="4">
        <v>1187</v>
      </c>
      <c r="D6406" s="21">
        <f t="shared" si="545"/>
        <v>140105</v>
      </c>
      <c r="E6406" s="4">
        <f>15+17</f>
        <v>32</v>
      </c>
      <c r="F6406" s="95">
        <f t="shared" si="544"/>
        <v>2129</v>
      </c>
    </row>
    <row r="6407" spans="1:6" x14ac:dyDescent="0.25">
      <c r="A6407" s="105" t="s">
        <v>39</v>
      </c>
      <c r="B6407" s="102">
        <v>44159</v>
      </c>
      <c r="C6407" s="4">
        <v>75</v>
      </c>
      <c r="D6407" s="21">
        <f t="shared" si="545"/>
        <v>14714</v>
      </c>
      <c r="E6407" s="4">
        <f>1+4</f>
        <v>5</v>
      </c>
      <c r="F6407" s="95">
        <f t="shared" si="544"/>
        <v>180</v>
      </c>
    </row>
    <row r="6408" spans="1:6" x14ac:dyDescent="0.25">
      <c r="A6408" s="105" t="s">
        <v>40</v>
      </c>
      <c r="B6408" s="102">
        <v>44159</v>
      </c>
      <c r="C6408" s="4">
        <v>109</v>
      </c>
      <c r="D6408" s="21">
        <f t="shared" si="545"/>
        <v>15524</v>
      </c>
      <c r="E6408" s="4">
        <f>2</f>
        <v>2</v>
      </c>
      <c r="F6408" s="95">
        <f t="shared" si="544"/>
        <v>222</v>
      </c>
    </row>
    <row r="6409" spans="1:6" ht="15.75" thickBot="1" x14ac:dyDescent="0.3">
      <c r="A6409" s="106" t="s">
        <v>41</v>
      </c>
      <c r="B6409" s="102">
        <v>44159</v>
      </c>
      <c r="C6409" s="4">
        <v>455</v>
      </c>
      <c r="D6409" s="98">
        <f>C6409+D6385</f>
        <v>63937</v>
      </c>
      <c r="E6409" s="4">
        <f>16+7</f>
        <v>23</v>
      </c>
      <c r="F6409" s="96">
        <f t="shared" si="544"/>
        <v>1096</v>
      </c>
    </row>
    <row r="6410" spans="1:6" x14ac:dyDescent="0.25">
      <c r="A6410" s="45" t="s">
        <v>17</v>
      </c>
      <c r="B6410" s="102">
        <v>44160</v>
      </c>
      <c r="C6410" s="4">
        <v>2262</v>
      </c>
      <c r="D6410" s="97">
        <f t="shared" ref="D6410:D6473" si="546">C6410+D6386</f>
        <v>610159</v>
      </c>
      <c r="E6410" s="4">
        <v>76</v>
      </c>
      <c r="F6410" s="94">
        <f t="shared" si="544"/>
        <v>20232</v>
      </c>
    </row>
    <row r="6411" spans="1:6" x14ac:dyDescent="0.25">
      <c r="A6411" s="105" t="s">
        <v>44</v>
      </c>
      <c r="B6411" s="102">
        <v>44160</v>
      </c>
      <c r="C6411" s="4">
        <v>324</v>
      </c>
      <c r="D6411" s="21">
        <f t="shared" si="546"/>
        <v>157227</v>
      </c>
      <c r="E6411" s="4">
        <v>11</v>
      </c>
      <c r="F6411" s="95">
        <f t="shared" si="544"/>
        <v>5188</v>
      </c>
    </row>
    <row r="6412" spans="1:6" x14ac:dyDescent="0.25">
      <c r="A6412" s="105" t="s">
        <v>29</v>
      </c>
      <c r="B6412" s="102">
        <v>44160</v>
      </c>
      <c r="C6412" s="4">
        <v>12</v>
      </c>
      <c r="D6412" s="21">
        <f t="shared" si="546"/>
        <v>1737</v>
      </c>
      <c r="F6412" s="95">
        <f t="shared" si="544"/>
        <v>13</v>
      </c>
    </row>
    <row r="6413" spans="1:6" x14ac:dyDescent="0.25">
      <c r="A6413" s="105" t="s">
        <v>16</v>
      </c>
      <c r="B6413" s="102">
        <v>44160</v>
      </c>
      <c r="C6413" s="4">
        <v>166</v>
      </c>
      <c r="D6413" s="21">
        <f t="shared" si="546"/>
        <v>18248</v>
      </c>
      <c r="E6413" s="4">
        <v>1</v>
      </c>
      <c r="F6413" s="95">
        <f t="shared" si="544"/>
        <v>534</v>
      </c>
    </row>
    <row r="6414" spans="1:6" x14ac:dyDescent="0.25">
      <c r="A6414" s="105" t="s">
        <v>30</v>
      </c>
      <c r="B6414" s="102">
        <v>44160</v>
      </c>
      <c r="C6414" s="4">
        <v>259</v>
      </c>
      <c r="D6414" s="21">
        <f t="shared" si="546"/>
        <v>21757</v>
      </c>
      <c r="E6414" s="4">
        <v>1</v>
      </c>
      <c r="F6414" s="95">
        <f t="shared" si="544"/>
        <v>362</v>
      </c>
    </row>
    <row r="6415" spans="1:6" x14ac:dyDescent="0.25">
      <c r="A6415" s="105" t="s">
        <v>21</v>
      </c>
      <c r="B6415" s="102">
        <v>44160</v>
      </c>
      <c r="C6415" s="4">
        <v>881</v>
      </c>
      <c r="D6415" s="21">
        <f t="shared" si="546"/>
        <v>110943</v>
      </c>
      <c r="E6415" s="4">
        <v>36</v>
      </c>
      <c r="F6415" s="95">
        <f t="shared" si="544"/>
        <v>1858</v>
      </c>
    </row>
    <row r="6416" spans="1:6" x14ac:dyDescent="0.25">
      <c r="A6416" s="105" t="s">
        <v>31</v>
      </c>
      <c r="B6416" s="102">
        <v>44160</v>
      </c>
      <c r="C6416" s="4">
        <v>125</v>
      </c>
      <c r="D6416" s="21">
        <f t="shared" si="546"/>
        <v>5134</v>
      </c>
      <c r="F6416" s="95">
        <f t="shared" si="544"/>
        <v>86</v>
      </c>
    </row>
    <row r="6417" spans="1:6" x14ac:dyDescent="0.25">
      <c r="A6417" s="105" t="s">
        <v>32</v>
      </c>
      <c r="B6417" s="102">
        <v>44160</v>
      </c>
      <c r="C6417" s="4">
        <v>191</v>
      </c>
      <c r="D6417" s="21">
        <f t="shared" si="546"/>
        <v>22267</v>
      </c>
      <c r="E6417" s="4">
        <v>18</v>
      </c>
      <c r="F6417" s="95">
        <f t="shared" si="544"/>
        <v>452</v>
      </c>
    </row>
    <row r="6418" spans="1:6" x14ac:dyDescent="0.25">
      <c r="A6418" s="105" t="s">
        <v>42</v>
      </c>
      <c r="B6418" s="102">
        <v>44160</v>
      </c>
      <c r="C6418" s="4">
        <v>-13</v>
      </c>
      <c r="D6418" s="21">
        <f t="shared" si="546"/>
        <v>178</v>
      </c>
      <c r="F6418" s="95">
        <f t="shared" si="544"/>
        <v>3</v>
      </c>
    </row>
    <row r="6419" spans="1:6" x14ac:dyDescent="0.25">
      <c r="A6419" s="105" t="s">
        <v>33</v>
      </c>
      <c r="B6419" s="102">
        <v>44160</v>
      </c>
      <c r="C6419" s="4">
        <v>15</v>
      </c>
      <c r="D6419" s="21">
        <f t="shared" si="546"/>
        <v>18332</v>
      </c>
      <c r="F6419" s="95">
        <f t="shared" si="544"/>
        <v>845</v>
      </c>
    </row>
    <row r="6420" spans="1:6" x14ac:dyDescent="0.25">
      <c r="A6420" s="105" t="s">
        <v>34</v>
      </c>
      <c r="B6420" s="102">
        <v>44160</v>
      </c>
      <c r="C6420" s="4">
        <v>105</v>
      </c>
      <c r="D6420" s="21">
        <f t="shared" si="546"/>
        <v>5403</v>
      </c>
      <c r="E6420" s="4">
        <v>2</v>
      </c>
      <c r="F6420" s="95">
        <f t="shared" si="544"/>
        <v>75</v>
      </c>
    </row>
    <row r="6421" spans="1:6" x14ac:dyDescent="0.25">
      <c r="A6421" s="105" t="s">
        <v>22</v>
      </c>
      <c r="B6421" s="102">
        <v>44160</v>
      </c>
      <c r="C6421" s="4">
        <v>18</v>
      </c>
      <c r="D6421" s="21">
        <f t="shared" si="546"/>
        <v>8588</v>
      </c>
      <c r="F6421" s="95">
        <f t="shared" si="544"/>
        <v>310</v>
      </c>
    </row>
    <row r="6422" spans="1:6" x14ac:dyDescent="0.25">
      <c r="A6422" s="105" t="s">
        <v>18</v>
      </c>
      <c r="B6422" s="102">
        <v>44160</v>
      </c>
      <c r="C6422" s="4">
        <v>264</v>
      </c>
      <c r="D6422" s="21">
        <f t="shared" si="546"/>
        <v>55764</v>
      </c>
      <c r="E6422" s="4">
        <v>4</v>
      </c>
      <c r="F6422" s="95">
        <f t="shared" si="544"/>
        <v>1080</v>
      </c>
    </row>
    <row r="6423" spans="1:6" x14ac:dyDescent="0.25">
      <c r="A6423" s="105" t="s">
        <v>24</v>
      </c>
      <c r="B6423" s="102">
        <v>44160</v>
      </c>
      <c r="C6423" s="4">
        <v>8</v>
      </c>
      <c r="D6423" s="21">
        <f t="shared" si="546"/>
        <v>466</v>
      </c>
      <c r="E6423" s="4">
        <v>1</v>
      </c>
      <c r="F6423" s="95">
        <f t="shared" si="544"/>
        <v>9</v>
      </c>
    </row>
    <row r="6424" spans="1:6" x14ac:dyDescent="0.25">
      <c r="A6424" s="105" t="s">
        <v>20</v>
      </c>
      <c r="B6424" s="102">
        <v>44160</v>
      </c>
      <c r="C6424" s="4">
        <v>394</v>
      </c>
      <c r="D6424" s="21">
        <f t="shared" si="546"/>
        <v>30898</v>
      </c>
      <c r="E6424" s="4">
        <v>20</v>
      </c>
      <c r="F6424" s="95">
        <f t="shared" si="544"/>
        <v>611</v>
      </c>
    </row>
    <row r="6425" spans="1:6" x14ac:dyDescent="0.25">
      <c r="A6425" s="105" t="s">
        <v>19</v>
      </c>
      <c r="B6425" s="102">
        <v>44160</v>
      </c>
      <c r="C6425" s="4">
        <v>350</v>
      </c>
      <c r="D6425" s="21">
        <f t="shared" si="546"/>
        <v>30732</v>
      </c>
      <c r="E6425" s="4">
        <v>6</v>
      </c>
      <c r="F6425" s="95">
        <f t="shared" si="544"/>
        <v>761</v>
      </c>
    </row>
    <row r="6426" spans="1:6" x14ac:dyDescent="0.25">
      <c r="A6426" s="105" t="s">
        <v>35</v>
      </c>
      <c r="B6426" s="102">
        <v>44160</v>
      </c>
      <c r="C6426" s="4">
        <v>84</v>
      </c>
      <c r="D6426" s="21">
        <f t="shared" si="546"/>
        <v>20952</v>
      </c>
      <c r="E6426" s="4">
        <v>2</v>
      </c>
      <c r="F6426" s="95">
        <f t="shared" si="544"/>
        <v>960</v>
      </c>
    </row>
    <row r="6427" spans="1:6" x14ac:dyDescent="0.25">
      <c r="A6427" s="105" t="s">
        <v>36</v>
      </c>
      <c r="B6427" s="102">
        <v>44160</v>
      </c>
      <c r="C6427" s="4">
        <v>451</v>
      </c>
      <c r="D6427" s="21">
        <f t="shared" si="546"/>
        <v>6722</v>
      </c>
      <c r="E6427" s="4">
        <v>28</v>
      </c>
      <c r="F6427" s="95">
        <f t="shared" si="544"/>
        <v>171</v>
      </c>
    </row>
    <row r="6428" spans="1:6" x14ac:dyDescent="0.25">
      <c r="A6428" s="105" t="s">
        <v>37</v>
      </c>
      <c r="B6428" s="102">
        <v>44160</v>
      </c>
      <c r="C6428" s="4">
        <v>185</v>
      </c>
      <c r="D6428" s="21">
        <f t="shared" si="546"/>
        <v>13572</v>
      </c>
      <c r="E6428" s="4">
        <v>2</v>
      </c>
      <c r="F6428" s="95">
        <f t="shared" si="544"/>
        <v>190</v>
      </c>
    </row>
    <row r="6429" spans="1:6" x14ac:dyDescent="0.25">
      <c r="A6429" s="105" t="s">
        <v>38</v>
      </c>
      <c r="B6429" s="102">
        <v>44160</v>
      </c>
      <c r="C6429" s="4">
        <v>327</v>
      </c>
      <c r="D6429" s="21">
        <f t="shared" si="546"/>
        <v>14844</v>
      </c>
      <c r="E6429" s="4">
        <v>7</v>
      </c>
      <c r="F6429" s="95">
        <f t="shared" si="544"/>
        <v>254</v>
      </c>
    </row>
    <row r="6430" spans="1:6" x14ac:dyDescent="0.25">
      <c r="A6430" s="105" t="s">
        <v>23</v>
      </c>
      <c r="B6430" s="102">
        <v>44160</v>
      </c>
      <c r="C6430" s="4">
        <v>1490</v>
      </c>
      <c r="D6430" s="21">
        <f t="shared" si="546"/>
        <v>141595</v>
      </c>
      <c r="E6430" s="4">
        <v>31</v>
      </c>
      <c r="F6430" s="95">
        <f t="shared" si="544"/>
        <v>2160</v>
      </c>
    </row>
    <row r="6431" spans="1:6" x14ac:dyDescent="0.25">
      <c r="A6431" s="105" t="s">
        <v>39</v>
      </c>
      <c r="B6431" s="102">
        <v>44160</v>
      </c>
      <c r="C6431" s="4">
        <v>154</v>
      </c>
      <c r="D6431" s="21">
        <f t="shared" si="546"/>
        <v>14868</v>
      </c>
      <c r="E6431" s="4">
        <v>2</v>
      </c>
      <c r="F6431" s="95">
        <f t="shared" si="544"/>
        <v>182</v>
      </c>
    </row>
    <row r="6432" spans="1:6" x14ac:dyDescent="0.25">
      <c r="A6432" s="105" t="s">
        <v>40</v>
      </c>
      <c r="B6432" s="102">
        <v>44160</v>
      </c>
      <c r="C6432" s="4">
        <v>177</v>
      </c>
      <c r="D6432" s="21">
        <f t="shared" si="546"/>
        <v>15701</v>
      </c>
      <c r="E6432" s="4">
        <v>4</v>
      </c>
      <c r="F6432" s="95">
        <f t="shared" si="544"/>
        <v>226</v>
      </c>
    </row>
    <row r="6433" spans="1:7" ht="15.75" thickBot="1" x14ac:dyDescent="0.3">
      <c r="A6433" s="106" t="s">
        <v>41</v>
      </c>
      <c r="B6433" s="102">
        <v>44160</v>
      </c>
      <c r="C6433" s="4">
        <v>364</v>
      </c>
      <c r="D6433" s="98">
        <f>C6433+D6409</f>
        <v>64301</v>
      </c>
      <c r="E6433" s="4">
        <v>30</v>
      </c>
      <c r="F6433" s="96">
        <f t="shared" si="544"/>
        <v>1126</v>
      </c>
    </row>
    <row r="6434" spans="1:7" x14ac:dyDescent="0.25">
      <c r="A6434" s="45" t="s">
        <v>17</v>
      </c>
      <c r="B6434" s="102">
        <v>44161</v>
      </c>
      <c r="C6434" s="4">
        <v>2589</v>
      </c>
      <c r="D6434" s="97">
        <f t="shared" si="546"/>
        <v>612748</v>
      </c>
      <c r="E6434" s="4">
        <v>64</v>
      </c>
      <c r="F6434" s="94">
        <f t="shared" si="544"/>
        <v>20296</v>
      </c>
    </row>
    <row r="6435" spans="1:7" x14ac:dyDescent="0.25">
      <c r="A6435" s="105" t="s">
        <v>44</v>
      </c>
      <c r="B6435" s="102">
        <v>44161</v>
      </c>
      <c r="C6435" s="4">
        <v>344</v>
      </c>
      <c r="D6435" s="21">
        <f t="shared" si="546"/>
        <v>157571</v>
      </c>
      <c r="E6435" s="4">
        <v>13</v>
      </c>
      <c r="F6435" s="95">
        <f t="shared" si="544"/>
        <v>5201</v>
      </c>
      <c r="G6435" s="62"/>
    </row>
    <row r="6436" spans="1:7" x14ac:dyDescent="0.25">
      <c r="A6436" s="105" t="s">
        <v>29</v>
      </c>
      <c r="B6436" s="102">
        <v>44161</v>
      </c>
      <c r="C6436" s="4">
        <v>42</v>
      </c>
      <c r="D6436" s="21">
        <f t="shared" si="546"/>
        <v>1779</v>
      </c>
      <c r="E6436" s="4">
        <v>2</v>
      </c>
      <c r="F6436" s="95">
        <f t="shared" si="544"/>
        <v>15</v>
      </c>
      <c r="G6436" s="62"/>
    </row>
    <row r="6437" spans="1:7" x14ac:dyDescent="0.25">
      <c r="A6437" s="105" t="s">
        <v>16</v>
      </c>
      <c r="B6437" s="102">
        <v>44161</v>
      </c>
      <c r="C6437" s="4">
        <v>250</v>
      </c>
      <c r="D6437" s="21">
        <f t="shared" si="546"/>
        <v>18498</v>
      </c>
      <c r="E6437" s="4">
        <v>9</v>
      </c>
      <c r="F6437" s="95">
        <f t="shared" si="544"/>
        <v>543</v>
      </c>
      <c r="G6437" s="62"/>
    </row>
    <row r="6438" spans="1:7" x14ac:dyDescent="0.25">
      <c r="A6438" s="105" t="s">
        <v>30</v>
      </c>
      <c r="B6438" s="102">
        <v>44161</v>
      </c>
      <c r="C6438" s="4">
        <v>266</v>
      </c>
      <c r="D6438" s="21">
        <f t="shared" si="546"/>
        <v>22023</v>
      </c>
      <c r="E6438" s="4">
        <v>0</v>
      </c>
      <c r="F6438" s="95">
        <f t="shared" si="544"/>
        <v>362</v>
      </c>
      <c r="G6438" s="62"/>
    </row>
    <row r="6439" spans="1:7" x14ac:dyDescent="0.25">
      <c r="A6439" s="105" t="s">
        <v>21</v>
      </c>
      <c r="B6439" s="102">
        <v>44161</v>
      </c>
      <c r="C6439" s="4">
        <v>942</v>
      </c>
      <c r="D6439" s="21">
        <f t="shared" si="546"/>
        <v>111885</v>
      </c>
      <c r="E6439" s="4">
        <v>25</v>
      </c>
      <c r="F6439" s="95">
        <f t="shared" si="544"/>
        <v>1883</v>
      </c>
      <c r="G6439" s="62"/>
    </row>
    <row r="6440" spans="1:7" x14ac:dyDescent="0.25">
      <c r="A6440" s="105" t="s">
        <v>31</v>
      </c>
      <c r="B6440" s="102">
        <v>44161</v>
      </c>
      <c r="C6440" s="4">
        <v>150</v>
      </c>
      <c r="D6440" s="21">
        <f t="shared" si="546"/>
        <v>5284</v>
      </c>
      <c r="E6440" s="4">
        <v>0</v>
      </c>
      <c r="F6440" s="95">
        <f t="shared" si="544"/>
        <v>86</v>
      </c>
      <c r="G6440" s="62"/>
    </row>
    <row r="6441" spans="1:7" x14ac:dyDescent="0.25">
      <c r="A6441" s="105" t="s">
        <v>32</v>
      </c>
      <c r="B6441" s="102">
        <v>44161</v>
      </c>
      <c r="C6441" s="4">
        <v>288</v>
      </c>
      <c r="D6441" s="21">
        <f t="shared" si="546"/>
        <v>22555</v>
      </c>
      <c r="E6441" s="4">
        <v>9</v>
      </c>
      <c r="F6441" s="95">
        <f t="shared" si="544"/>
        <v>461</v>
      </c>
      <c r="G6441" s="62"/>
    </row>
    <row r="6442" spans="1:7" x14ac:dyDescent="0.25">
      <c r="A6442" s="105" t="s">
        <v>42</v>
      </c>
      <c r="B6442" s="102">
        <v>44161</v>
      </c>
      <c r="C6442" s="4">
        <v>0</v>
      </c>
      <c r="D6442" s="21">
        <f t="shared" si="546"/>
        <v>178</v>
      </c>
      <c r="E6442" s="4">
        <v>0</v>
      </c>
      <c r="F6442" s="95">
        <f t="shared" si="544"/>
        <v>3</v>
      </c>
      <c r="G6442" s="62"/>
    </row>
    <row r="6443" spans="1:7" x14ac:dyDescent="0.25">
      <c r="A6443" s="105" t="s">
        <v>33</v>
      </c>
      <c r="B6443" s="102">
        <v>44161</v>
      </c>
      <c r="C6443" s="4">
        <v>6</v>
      </c>
      <c r="D6443" s="21">
        <f t="shared" si="546"/>
        <v>18338</v>
      </c>
      <c r="E6443" s="4">
        <v>2</v>
      </c>
      <c r="F6443" s="95">
        <f t="shared" ref="F6443:F6506" si="547">E6443+F6419</f>
        <v>847</v>
      </c>
      <c r="G6443" s="62"/>
    </row>
    <row r="6444" spans="1:7" x14ac:dyDescent="0.25">
      <c r="A6444" s="105" t="s">
        <v>34</v>
      </c>
      <c r="B6444" s="102">
        <v>44161</v>
      </c>
      <c r="C6444" s="4">
        <v>81</v>
      </c>
      <c r="D6444" s="21">
        <f t="shared" si="546"/>
        <v>5484</v>
      </c>
      <c r="E6444" s="4">
        <v>0</v>
      </c>
      <c r="F6444" s="95">
        <f t="shared" si="547"/>
        <v>75</v>
      </c>
      <c r="G6444" s="62"/>
    </row>
    <row r="6445" spans="1:7" x14ac:dyDescent="0.25">
      <c r="A6445" s="105" t="s">
        <v>22</v>
      </c>
      <c r="B6445" s="102">
        <v>44161</v>
      </c>
      <c r="C6445" s="4">
        <v>13</v>
      </c>
      <c r="D6445" s="21">
        <f t="shared" si="546"/>
        <v>8601</v>
      </c>
      <c r="E6445" s="4">
        <v>4</v>
      </c>
      <c r="F6445" s="95">
        <f t="shared" si="547"/>
        <v>314</v>
      </c>
      <c r="G6445" s="62"/>
    </row>
    <row r="6446" spans="1:7" x14ac:dyDescent="0.25">
      <c r="A6446" s="105" t="s">
        <v>18</v>
      </c>
      <c r="B6446" s="102">
        <v>44161</v>
      </c>
      <c r="C6446" s="4">
        <v>202</v>
      </c>
      <c r="D6446" s="21">
        <f t="shared" si="546"/>
        <v>55966</v>
      </c>
      <c r="E6446" s="4">
        <v>20</v>
      </c>
      <c r="F6446" s="95">
        <f t="shared" si="547"/>
        <v>1100</v>
      </c>
      <c r="G6446" s="62"/>
    </row>
    <row r="6447" spans="1:7" x14ac:dyDescent="0.25">
      <c r="A6447" s="105" t="s">
        <v>24</v>
      </c>
      <c r="B6447" s="102">
        <v>44161</v>
      </c>
      <c r="C6447" s="4">
        <v>16</v>
      </c>
      <c r="D6447" s="21">
        <f t="shared" si="546"/>
        <v>482</v>
      </c>
      <c r="E6447" s="4">
        <v>0</v>
      </c>
      <c r="F6447" s="95">
        <f t="shared" si="547"/>
        <v>9</v>
      </c>
      <c r="G6447" s="62"/>
    </row>
    <row r="6448" spans="1:7" x14ac:dyDescent="0.25">
      <c r="A6448" s="105" t="s">
        <v>20</v>
      </c>
      <c r="B6448" s="102">
        <v>44161</v>
      </c>
      <c r="C6448" s="4">
        <v>361</v>
      </c>
      <c r="D6448" s="21">
        <f t="shared" si="546"/>
        <v>31259</v>
      </c>
      <c r="E6448" s="4">
        <v>2</v>
      </c>
      <c r="F6448" s="95">
        <f t="shared" si="547"/>
        <v>613</v>
      </c>
      <c r="G6448" s="62"/>
    </row>
    <row r="6449" spans="1:7" x14ac:dyDescent="0.25">
      <c r="A6449" s="105" t="s">
        <v>19</v>
      </c>
      <c r="B6449" s="102">
        <v>44161</v>
      </c>
      <c r="C6449" s="4">
        <v>336</v>
      </c>
      <c r="D6449" s="21">
        <f t="shared" si="546"/>
        <v>31068</v>
      </c>
      <c r="E6449" s="4">
        <v>5</v>
      </c>
      <c r="F6449" s="95">
        <f t="shared" si="547"/>
        <v>766</v>
      </c>
      <c r="G6449" s="62"/>
    </row>
    <row r="6450" spans="1:7" x14ac:dyDescent="0.25">
      <c r="A6450" s="105" t="s">
        <v>35</v>
      </c>
      <c r="B6450" s="102">
        <v>44161</v>
      </c>
      <c r="C6450" s="4">
        <v>77</v>
      </c>
      <c r="D6450" s="21">
        <f t="shared" si="546"/>
        <v>21029</v>
      </c>
      <c r="E6450" s="4">
        <v>6</v>
      </c>
      <c r="F6450" s="95">
        <f t="shared" si="547"/>
        <v>966</v>
      </c>
      <c r="G6450" s="62"/>
    </row>
    <row r="6451" spans="1:7" x14ac:dyDescent="0.25">
      <c r="A6451" s="105" t="s">
        <v>36</v>
      </c>
      <c r="B6451" s="102">
        <v>44161</v>
      </c>
      <c r="C6451" s="4">
        <v>226</v>
      </c>
      <c r="D6451" s="21">
        <f t="shared" si="546"/>
        <v>6948</v>
      </c>
      <c r="E6451" s="4">
        <v>0</v>
      </c>
      <c r="F6451" s="95">
        <f t="shared" si="547"/>
        <v>171</v>
      </c>
      <c r="G6451" s="62"/>
    </row>
    <row r="6452" spans="1:7" x14ac:dyDescent="0.25">
      <c r="A6452" s="105" t="s">
        <v>37</v>
      </c>
      <c r="B6452" s="102">
        <v>44161</v>
      </c>
      <c r="C6452" s="4">
        <v>256</v>
      </c>
      <c r="D6452" s="21">
        <f t="shared" si="546"/>
        <v>13828</v>
      </c>
      <c r="E6452" s="4">
        <v>13</v>
      </c>
      <c r="F6452" s="95">
        <f t="shared" si="547"/>
        <v>203</v>
      </c>
      <c r="G6452" s="62"/>
    </row>
    <row r="6453" spans="1:7" x14ac:dyDescent="0.25">
      <c r="A6453" s="105" t="s">
        <v>38</v>
      </c>
      <c r="B6453" s="102">
        <v>44161</v>
      </c>
      <c r="C6453" s="4">
        <v>236</v>
      </c>
      <c r="D6453" s="21">
        <f t="shared" si="546"/>
        <v>15080</v>
      </c>
      <c r="E6453" s="4">
        <v>7</v>
      </c>
      <c r="F6453" s="95">
        <f t="shared" si="547"/>
        <v>261</v>
      </c>
      <c r="G6453" s="62"/>
    </row>
    <row r="6454" spans="1:7" x14ac:dyDescent="0.25">
      <c r="A6454" s="105" t="s">
        <v>23</v>
      </c>
      <c r="B6454" s="102">
        <v>44161</v>
      </c>
      <c r="C6454" s="4">
        <v>1446</v>
      </c>
      <c r="D6454" s="21">
        <f t="shared" si="546"/>
        <v>143041</v>
      </c>
      <c r="E6454" s="4">
        <v>25</v>
      </c>
      <c r="F6454" s="95">
        <f t="shared" si="547"/>
        <v>2185</v>
      </c>
      <c r="G6454" s="62"/>
    </row>
    <row r="6455" spans="1:7" x14ac:dyDescent="0.25">
      <c r="A6455" s="105" t="s">
        <v>39</v>
      </c>
      <c r="B6455" s="102">
        <v>44161</v>
      </c>
      <c r="C6455" s="4">
        <v>272</v>
      </c>
      <c r="D6455" s="21">
        <f t="shared" si="546"/>
        <v>15140</v>
      </c>
      <c r="E6455" s="4">
        <v>5</v>
      </c>
      <c r="F6455" s="95">
        <f t="shared" si="547"/>
        <v>187</v>
      </c>
      <c r="G6455" s="62"/>
    </row>
    <row r="6456" spans="1:7" x14ac:dyDescent="0.25">
      <c r="A6456" s="105" t="s">
        <v>40</v>
      </c>
      <c r="B6456" s="102">
        <v>44161</v>
      </c>
      <c r="C6456" s="4">
        <v>153</v>
      </c>
      <c r="D6456" s="21">
        <f t="shared" si="546"/>
        <v>15854</v>
      </c>
      <c r="E6456" s="4">
        <v>3</v>
      </c>
      <c r="F6456" s="95">
        <f t="shared" si="547"/>
        <v>229</v>
      </c>
      <c r="G6456" s="62"/>
    </row>
    <row r="6457" spans="1:7" ht="15.75" thickBot="1" x14ac:dyDescent="0.3">
      <c r="A6457" s="107" t="s">
        <v>41</v>
      </c>
      <c r="B6457" s="103">
        <v>44161</v>
      </c>
      <c r="C6457" s="30">
        <v>491</v>
      </c>
      <c r="D6457" s="59">
        <f>C6457+D6433</f>
        <v>64792</v>
      </c>
      <c r="E6457" s="30">
        <v>15</v>
      </c>
      <c r="F6457" s="104">
        <f t="shared" si="547"/>
        <v>1141</v>
      </c>
      <c r="G6457" s="62"/>
    </row>
    <row r="6458" spans="1:7" x14ac:dyDescent="0.25">
      <c r="A6458" s="45" t="s">
        <v>17</v>
      </c>
      <c r="B6458" s="32">
        <v>44162</v>
      </c>
      <c r="C6458" s="33">
        <v>2124</v>
      </c>
      <c r="D6458" s="97">
        <f t="shared" si="546"/>
        <v>614872</v>
      </c>
      <c r="E6458" s="33">
        <v>138</v>
      </c>
      <c r="F6458" s="94">
        <f t="shared" si="547"/>
        <v>20434</v>
      </c>
    </row>
    <row r="6459" spans="1:7" x14ac:dyDescent="0.25">
      <c r="A6459" s="105" t="s">
        <v>44</v>
      </c>
      <c r="B6459" s="102">
        <v>44162</v>
      </c>
      <c r="C6459" s="4">
        <v>414</v>
      </c>
      <c r="D6459" s="21">
        <f t="shared" si="546"/>
        <v>157985</v>
      </c>
      <c r="E6459" s="4">
        <v>7</v>
      </c>
      <c r="F6459" s="95">
        <f t="shared" si="547"/>
        <v>5208</v>
      </c>
      <c r="G6459" s="62"/>
    </row>
    <row r="6460" spans="1:7" x14ac:dyDescent="0.25">
      <c r="A6460" s="105" t="s">
        <v>29</v>
      </c>
      <c r="B6460" s="102">
        <v>44162</v>
      </c>
      <c r="C6460" s="4">
        <v>3</v>
      </c>
      <c r="D6460" s="21">
        <f t="shared" si="546"/>
        <v>1782</v>
      </c>
      <c r="E6460" s="4">
        <v>0</v>
      </c>
      <c r="F6460" s="95">
        <f t="shared" si="547"/>
        <v>15</v>
      </c>
      <c r="G6460" s="62"/>
    </row>
    <row r="6461" spans="1:7" x14ac:dyDescent="0.25">
      <c r="A6461" s="105" t="s">
        <v>16</v>
      </c>
      <c r="B6461" s="102">
        <v>44162</v>
      </c>
      <c r="C6461" s="4">
        <v>258</v>
      </c>
      <c r="D6461" s="21">
        <f t="shared" si="546"/>
        <v>18756</v>
      </c>
      <c r="E6461" s="4">
        <v>5</v>
      </c>
      <c r="F6461" s="95">
        <f t="shared" si="547"/>
        <v>548</v>
      </c>
      <c r="G6461" s="62"/>
    </row>
    <row r="6462" spans="1:7" x14ac:dyDescent="0.25">
      <c r="A6462" s="105" t="s">
        <v>30</v>
      </c>
      <c r="B6462" s="102">
        <v>44162</v>
      </c>
      <c r="C6462" s="4">
        <v>264</v>
      </c>
      <c r="D6462" s="21">
        <f t="shared" si="546"/>
        <v>22287</v>
      </c>
      <c r="E6462" s="4">
        <v>9</v>
      </c>
      <c r="F6462" s="95">
        <f t="shared" si="547"/>
        <v>371</v>
      </c>
      <c r="G6462" s="62"/>
    </row>
    <row r="6463" spans="1:7" x14ac:dyDescent="0.25">
      <c r="A6463" s="105" t="s">
        <v>21</v>
      </c>
      <c r="B6463" s="102">
        <v>44162</v>
      </c>
      <c r="C6463" s="4">
        <v>834</v>
      </c>
      <c r="D6463" s="21">
        <f t="shared" si="546"/>
        <v>112719</v>
      </c>
      <c r="E6463" s="4">
        <v>36</v>
      </c>
      <c r="F6463" s="95">
        <f t="shared" si="547"/>
        <v>1919</v>
      </c>
      <c r="G6463" s="62"/>
    </row>
    <row r="6464" spans="1:7" x14ac:dyDescent="0.25">
      <c r="A6464" s="105" t="s">
        <v>31</v>
      </c>
      <c r="B6464" s="102">
        <v>44162</v>
      </c>
      <c r="C6464" s="4">
        <v>158</v>
      </c>
      <c r="D6464" s="21">
        <f t="shared" si="546"/>
        <v>5442</v>
      </c>
      <c r="E6464" s="4">
        <v>0</v>
      </c>
      <c r="F6464" s="95">
        <f t="shared" si="547"/>
        <v>86</v>
      </c>
      <c r="G6464" s="62"/>
    </row>
    <row r="6465" spans="1:7" x14ac:dyDescent="0.25">
      <c r="A6465" s="105" t="s">
        <v>32</v>
      </c>
      <c r="B6465" s="102">
        <v>44162</v>
      </c>
      <c r="C6465" s="4">
        <v>298</v>
      </c>
      <c r="D6465" s="21">
        <f t="shared" si="546"/>
        <v>22853</v>
      </c>
      <c r="E6465" s="4">
        <v>3</v>
      </c>
      <c r="F6465" s="95">
        <f t="shared" si="547"/>
        <v>464</v>
      </c>
      <c r="G6465" s="62"/>
    </row>
    <row r="6466" spans="1:7" x14ac:dyDescent="0.25">
      <c r="A6466" s="105" t="s">
        <v>42</v>
      </c>
      <c r="B6466" s="102">
        <v>44162</v>
      </c>
      <c r="C6466" s="4">
        <v>1</v>
      </c>
      <c r="D6466" s="21">
        <f t="shared" si="546"/>
        <v>179</v>
      </c>
      <c r="E6466" s="4">
        <v>0</v>
      </c>
      <c r="F6466" s="95">
        <f t="shared" si="547"/>
        <v>3</v>
      </c>
      <c r="G6466" s="62"/>
    </row>
    <row r="6467" spans="1:7" x14ac:dyDescent="0.25">
      <c r="A6467" s="105" t="s">
        <v>33</v>
      </c>
      <c r="B6467" s="102">
        <v>44162</v>
      </c>
      <c r="C6467" s="4">
        <v>22</v>
      </c>
      <c r="D6467" s="21">
        <f t="shared" si="546"/>
        <v>18360</v>
      </c>
      <c r="E6467" s="4">
        <v>1</v>
      </c>
      <c r="F6467" s="95">
        <f t="shared" si="547"/>
        <v>848</v>
      </c>
      <c r="G6467" s="62"/>
    </row>
    <row r="6468" spans="1:7" x14ac:dyDescent="0.25">
      <c r="A6468" s="105" t="s">
        <v>34</v>
      </c>
      <c r="B6468" s="102">
        <v>44162</v>
      </c>
      <c r="C6468" s="4">
        <v>105</v>
      </c>
      <c r="D6468" s="21">
        <f t="shared" si="546"/>
        <v>5589</v>
      </c>
      <c r="E6468" s="4">
        <v>0</v>
      </c>
      <c r="F6468" s="95">
        <f t="shared" si="547"/>
        <v>75</v>
      </c>
      <c r="G6468" s="62"/>
    </row>
    <row r="6469" spans="1:7" x14ac:dyDescent="0.25">
      <c r="A6469" s="105" t="s">
        <v>22</v>
      </c>
      <c r="B6469" s="102">
        <v>44162</v>
      </c>
      <c r="C6469" s="4">
        <v>29</v>
      </c>
      <c r="D6469" s="21">
        <f t="shared" si="546"/>
        <v>8630</v>
      </c>
      <c r="E6469" s="4">
        <v>2</v>
      </c>
      <c r="F6469" s="95">
        <f t="shared" si="547"/>
        <v>316</v>
      </c>
      <c r="G6469" s="62"/>
    </row>
    <row r="6470" spans="1:7" x14ac:dyDescent="0.25">
      <c r="A6470" s="105" t="s">
        <v>18</v>
      </c>
      <c r="B6470" s="102">
        <v>44162</v>
      </c>
      <c r="C6470" s="4">
        <v>202</v>
      </c>
      <c r="D6470" s="21">
        <f t="shared" si="546"/>
        <v>56168</v>
      </c>
      <c r="E6470" s="4">
        <v>5</v>
      </c>
      <c r="F6470" s="95">
        <f t="shared" si="547"/>
        <v>1105</v>
      </c>
      <c r="G6470" s="62"/>
    </row>
    <row r="6471" spans="1:7" x14ac:dyDescent="0.25">
      <c r="A6471" s="105" t="s">
        <v>24</v>
      </c>
      <c r="B6471" s="102">
        <v>44162</v>
      </c>
      <c r="C6471" s="4">
        <v>4</v>
      </c>
      <c r="D6471" s="21">
        <f t="shared" si="546"/>
        <v>486</v>
      </c>
      <c r="E6471" s="4">
        <v>0</v>
      </c>
      <c r="F6471" s="95">
        <f t="shared" si="547"/>
        <v>9</v>
      </c>
      <c r="G6471" s="62"/>
    </row>
    <row r="6472" spans="1:7" x14ac:dyDescent="0.25">
      <c r="A6472" s="105" t="s">
        <v>20</v>
      </c>
      <c r="B6472" s="102">
        <v>44162</v>
      </c>
      <c r="C6472" s="4">
        <v>204</v>
      </c>
      <c r="D6472" s="21">
        <f t="shared" si="546"/>
        <v>31463</v>
      </c>
      <c r="E6472" s="4">
        <v>0</v>
      </c>
      <c r="F6472" s="95">
        <f t="shared" si="547"/>
        <v>613</v>
      </c>
      <c r="G6472" s="62"/>
    </row>
    <row r="6473" spans="1:7" x14ac:dyDescent="0.25">
      <c r="A6473" s="105" t="s">
        <v>19</v>
      </c>
      <c r="B6473" s="102">
        <v>44162</v>
      </c>
      <c r="C6473" s="4">
        <v>202</v>
      </c>
      <c r="D6473" s="21">
        <f t="shared" si="546"/>
        <v>31270</v>
      </c>
      <c r="E6473" s="4">
        <v>3</v>
      </c>
      <c r="F6473" s="95">
        <f t="shared" si="547"/>
        <v>769</v>
      </c>
      <c r="G6473" s="62"/>
    </row>
    <row r="6474" spans="1:7" x14ac:dyDescent="0.25">
      <c r="A6474" s="105" t="s">
        <v>35</v>
      </c>
      <c r="B6474" s="102">
        <v>44162</v>
      </c>
      <c r="C6474" s="4">
        <v>51</v>
      </c>
      <c r="D6474" s="21">
        <f t="shared" ref="D6474:D6480" si="548">C6474+D6450</f>
        <v>21080</v>
      </c>
      <c r="E6474" s="4">
        <v>8</v>
      </c>
      <c r="F6474" s="95">
        <f t="shared" si="547"/>
        <v>974</v>
      </c>
      <c r="G6474" s="62"/>
    </row>
    <row r="6475" spans="1:7" x14ac:dyDescent="0.25">
      <c r="A6475" s="105" t="s">
        <v>36</v>
      </c>
      <c r="B6475" s="102">
        <v>44162</v>
      </c>
      <c r="C6475" s="4">
        <v>234</v>
      </c>
      <c r="D6475" s="21">
        <f t="shared" si="548"/>
        <v>7182</v>
      </c>
      <c r="E6475" s="4">
        <v>0</v>
      </c>
      <c r="F6475" s="95">
        <f t="shared" si="547"/>
        <v>171</v>
      </c>
      <c r="G6475" s="62"/>
    </row>
    <row r="6476" spans="1:7" x14ac:dyDescent="0.25">
      <c r="A6476" s="105" t="s">
        <v>37</v>
      </c>
      <c r="B6476" s="102">
        <v>44162</v>
      </c>
      <c r="C6476" s="4">
        <v>114</v>
      </c>
      <c r="D6476" s="21">
        <f t="shared" si="548"/>
        <v>13942</v>
      </c>
      <c r="E6476" s="4">
        <v>4</v>
      </c>
      <c r="F6476" s="95">
        <f t="shared" si="547"/>
        <v>207</v>
      </c>
      <c r="G6476" s="62"/>
    </row>
    <row r="6477" spans="1:7" x14ac:dyDescent="0.25">
      <c r="A6477" s="105" t="s">
        <v>38</v>
      </c>
      <c r="B6477" s="102">
        <v>44162</v>
      </c>
      <c r="C6477" s="4">
        <v>293</v>
      </c>
      <c r="D6477" s="21">
        <f t="shared" si="548"/>
        <v>15373</v>
      </c>
      <c r="E6477" s="4">
        <v>6</v>
      </c>
      <c r="F6477" s="95">
        <f t="shared" si="547"/>
        <v>267</v>
      </c>
      <c r="G6477" s="62"/>
    </row>
    <row r="6478" spans="1:7" x14ac:dyDescent="0.25">
      <c r="A6478" s="105" t="s">
        <v>23</v>
      </c>
      <c r="B6478" s="102">
        <v>44162</v>
      </c>
      <c r="C6478" s="4">
        <v>1390</v>
      </c>
      <c r="D6478" s="21">
        <f t="shared" si="548"/>
        <v>144431</v>
      </c>
      <c r="E6478" s="4">
        <v>22</v>
      </c>
      <c r="F6478" s="95">
        <f t="shared" si="547"/>
        <v>2207</v>
      </c>
      <c r="G6478" s="62"/>
    </row>
    <row r="6479" spans="1:7" x14ac:dyDescent="0.25">
      <c r="A6479" s="105" t="s">
        <v>39</v>
      </c>
      <c r="B6479" s="102">
        <v>44162</v>
      </c>
      <c r="C6479" s="4">
        <v>158</v>
      </c>
      <c r="D6479" s="21">
        <f t="shared" si="548"/>
        <v>15298</v>
      </c>
      <c r="E6479" s="4">
        <v>1</v>
      </c>
      <c r="F6479" s="95">
        <f t="shared" si="547"/>
        <v>188</v>
      </c>
      <c r="G6479" s="62"/>
    </row>
    <row r="6480" spans="1:7" x14ac:dyDescent="0.25">
      <c r="A6480" s="105" t="s">
        <v>40</v>
      </c>
      <c r="B6480" s="102">
        <v>44162</v>
      </c>
      <c r="C6480" s="4">
        <v>86</v>
      </c>
      <c r="D6480" s="21">
        <f t="shared" si="548"/>
        <v>15940</v>
      </c>
      <c r="E6480" s="4">
        <v>1</v>
      </c>
      <c r="F6480" s="95">
        <f t="shared" si="547"/>
        <v>230</v>
      </c>
      <c r="G6480" s="62"/>
    </row>
    <row r="6481" spans="1:7" ht="15.75" thickBot="1" x14ac:dyDescent="0.3">
      <c r="A6481" s="106" t="s">
        <v>41</v>
      </c>
      <c r="B6481" s="109">
        <v>44162</v>
      </c>
      <c r="C6481" s="37">
        <v>398</v>
      </c>
      <c r="D6481" s="98">
        <f>C6481+D6457</f>
        <v>65190</v>
      </c>
      <c r="E6481" s="37">
        <v>25</v>
      </c>
      <c r="F6481" s="96">
        <f t="shared" si="547"/>
        <v>1166</v>
      </c>
      <c r="G6481" s="62"/>
    </row>
    <row r="6482" spans="1:7" ht="15.75" thickBot="1" x14ac:dyDescent="0.3">
      <c r="A6482" s="45" t="s">
        <v>17</v>
      </c>
      <c r="B6482" s="109">
        <v>44163</v>
      </c>
      <c r="C6482" s="31">
        <v>1531</v>
      </c>
      <c r="D6482" s="97">
        <f t="shared" ref="D6482:D6545" si="549">C6482+D6458</f>
        <v>616403</v>
      </c>
      <c r="E6482" s="31">
        <v>61</v>
      </c>
      <c r="F6482" s="94">
        <f t="shared" si="547"/>
        <v>20495</v>
      </c>
    </row>
    <row r="6483" spans="1:7" ht="15.75" thickBot="1" x14ac:dyDescent="0.3">
      <c r="A6483" s="105" t="s">
        <v>44</v>
      </c>
      <c r="B6483" s="109">
        <v>44163</v>
      </c>
      <c r="C6483" s="4">
        <v>282</v>
      </c>
      <c r="D6483" s="21">
        <f t="shared" si="549"/>
        <v>158267</v>
      </c>
      <c r="E6483" s="4">
        <v>8</v>
      </c>
      <c r="F6483" s="95">
        <f t="shared" si="547"/>
        <v>5216</v>
      </c>
    </row>
    <row r="6484" spans="1:7" ht="15.75" thickBot="1" x14ac:dyDescent="0.3">
      <c r="A6484" s="105" t="s">
        <v>29</v>
      </c>
      <c r="B6484" s="109">
        <v>44163</v>
      </c>
      <c r="C6484" s="4">
        <v>31</v>
      </c>
      <c r="D6484" s="21">
        <f t="shared" si="549"/>
        <v>1813</v>
      </c>
      <c r="F6484" s="95">
        <f t="shared" si="547"/>
        <v>15</v>
      </c>
    </row>
    <row r="6485" spans="1:7" ht="15.75" thickBot="1" x14ac:dyDescent="0.3">
      <c r="A6485" s="105" t="s">
        <v>16</v>
      </c>
      <c r="B6485" s="109">
        <v>44163</v>
      </c>
      <c r="C6485" s="4">
        <v>202</v>
      </c>
      <c r="D6485" s="21">
        <f t="shared" si="549"/>
        <v>18958</v>
      </c>
      <c r="E6485" s="4">
        <v>5</v>
      </c>
      <c r="F6485" s="95">
        <f t="shared" si="547"/>
        <v>553</v>
      </c>
    </row>
    <row r="6486" spans="1:7" ht="15.75" thickBot="1" x14ac:dyDescent="0.3">
      <c r="A6486" s="105" t="s">
        <v>30</v>
      </c>
      <c r="B6486" s="109">
        <v>44163</v>
      </c>
      <c r="C6486" s="4">
        <v>230</v>
      </c>
      <c r="D6486" s="21">
        <f t="shared" si="549"/>
        <v>22517</v>
      </c>
      <c r="E6486" s="4">
        <v>2</v>
      </c>
      <c r="F6486" s="95">
        <f t="shared" si="547"/>
        <v>373</v>
      </c>
    </row>
    <row r="6487" spans="1:7" ht="15.75" thickBot="1" x14ac:dyDescent="0.3">
      <c r="A6487" s="105" t="s">
        <v>21</v>
      </c>
      <c r="B6487" s="109">
        <v>44163</v>
      </c>
      <c r="C6487" s="4">
        <v>711</v>
      </c>
      <c r="D6487" s="21">
        <f t="shared" si="549"/>
        <v>113430</v>
      </c>
      <c r="E6487" s="4">
        <v>10</v>
      </c>
      <c r="F6487" s="95">
        <f t="shared" si="547"/>
        <v>1929</v>
      </c>
    </row>
    <row r="6488" spans="1:7" ht="15.75" thickBot="1" x14ac:dyDescent="0.3">
      <c r="A6488" s="105" t="s">
        <v>31</v>
      </c>
      <c r="B6488" s="109">
        <v>44163</v>
      </c>
      <c r="C6488" s="4">
        <v>231</v>
      </c>
      <c r="D6488" s="21">
        <f t="shared" si="549"/>
        <v>5673</v>
      </c>
      <c r="F6488" s="95">
        <f t="shared" si="547"/>
        <v>86</v>
      </c>
    </row>
    <row r="6489" spans="1:7" ht="15.75" thickBot="1" x14ac:dyDescent="0.3">
      <c r="A6489" s="105" t="s">
        <v>32</v>
      </c>
      <c r="B6489" s="109">
        <v>44163</v>
      </c>
      <c r="C6489" s="4">
        <v>222</v>
      </c>
      <c r="D6489" s="21">
        <f t="shared" si="549"/>
        <v>23075</v>
      </c>
      <c r="F6489" s="95">
        <f t="shared" si="547"/>
        <v>464</v>
      </c>
    </row>
    <row r="6490" spans="1:7" ht="15.75" thickBot="1" x14ac:dyDescent="0.3">
      <c r="A6490" s="105" t="s">
        <v>42</v>
      </c>
      <c r="B6490" s="109">
        <v>44163</v>
      </c>
      <c r="C6490" s="4">
        <v>3</v>
      </c>
      <c r="D6490" s="21">
        <f t="shared" si="549"/>
        <v>182</v>
      </c>
      <c r="F6490" s="95">
        <f t="shared" si="547"/>
        <v>3</v>
      </c>
    </row>
    <row r="6491" spans="1:7" ht="15.75" thickBot="1" x14ac:dyDescent="0.3">
      <c r="A6491" s="105" t="s">
        <v>33</v>
      </c>
      <c r="B6491" s="109">
        <v>44163</v>
      </c>
      <c r="C6491" s="4">
        <v>8</v>
      </c>
      <c r="D6491" s="21">
        <f t="shared" si="549"/>
        <v>18368</v>
      </c>
      <c r="F6491" s="95">
        <f t="shared" si="547"/>
        <v>848</v>
      </c>
    </row>
    <row r="6492" spans="1:7" ht="15.75" thickBot="1" x14ac:dyDescent="0.3">
      <c r="A6492" s="105" t="s">
        <v>34</v>
      </c>
      <c r="B6492" s="109">
        <v>44163</v>
      </c>
      <c r="C6492" s="4">
        <v>60</v>
      </c>
      <c r="D6492" s="21">
        <f t="shared" si="549"/>
        <v>5649</v>
      </c>
      <c r="F6492" s="95">
        <f t="shared" si="547"/>
        <v>75</v>
      </c>
    </row>
    <row r="6493" spans="1:7" ht="15.75" thickBot="1" x14ac:dyDescent="0.3">
      <c r="A6493" s="105" t="s">
        <v>22</v>
      </c>
      <c r="B6493" s="109">
        <v>44163</v>
      </c>
      <c r="C6493" s="4">
        <v>38</v>
      </c>
      <c r="D6493" s="21">
        <f t="shared" si="549"/>
        <v>8668</v>
      </c>
      <c r="F6493" s="95">
        <f t="shared" si="547"/>
        <v>316</v>
      </c>
    </row>
    <row r="6494" spans="1:7" ht="15.75" thickBot="1" x14ac:dyDescent="0.3">
      <c r="A6494" s="105" t="s">
        <v>18</v>
      </c>
      <c r="B6494" s="109">
        <v>44163</v>
      </c>
      <c r="C6494" s="4">
        <v>180</v>
      </c>
      <c r="D6494" s="21">
        <f t="shared" si="549"/>
        <v>56348</v>
      </c>
      <c r="E6494" s="4">
        <v>1</v>
      </c>
      <c r="F6494" s="95">
        <f t="shared" si="547"/>
        <v>1106</v>
      </c>
    </row>
    <row r="6495" spans="1:7" ht="15.75" thickBot="1" x14ac:dyDescent="0.3">
      <c r="A6495" s="105" t="s">
        <v>24</v>
      </c>
      <c r="B6495" s="109">
        <v>44163</v>
      </c>
      <c r="C6495" s="4">
        <v>7</v>
      </c>
      <c r="D6495" s="21">
        <f t="shared" si="549"/>
        <v>493</v>
      </c>
      <c r="F6495" s="95">
        <f t="shared" si="547"/>
        <v>9</v>
      </c>
    </row>
    <row r="6496" spans="1:7" ht="15.75" thickBot="1" x14ac:dyDescent="0.3">
      <c r="A6496" s="105" t="s">
        <v>20</v>
      </c>
      <c r="B6496" s="109">
        <v>44163</v>
      </c>
      <c r="C6496" s="4">
        <v>255</v>
      </c>
      <c r="D6496" s="21">
        <f t="shared" si="549"/>
        <v>31718</v>
      </c>
      <c r="E6496" s="4">
        <v>1</v>
      </c>
      <c r="F6496" s="95">
        <f t="shared" si="547"/>
        <v>614</v>
      </c>
    </row>
    <row r="6497" spans="1:6" ht="15.75" thickBot="1" x14ac:dyDescent="0.3">
      <c r="A6497" s="105" t="s">
        <v>19</v>
      </c>
      <c r="B6497" s="109">
        <v>44163</v>
      </c>
      <c r="C6497" s="4">
        <v>143</v>
      </c>
      <c r="D6497" s="21">
        <f t="shared" si="549"/>
        <v>31413</v>
      </c>
      <c r="E6497" s="4">
        <v>4</v>
      </c>
      <c r="F6497" s="95">
        <f t="shared" si="547"/>
        <v>773</v>
      </c>
    </row>
    <row r="6498" spans="1:6" ht="15.75" thickBot="1" x14ac:dyDescent="0.3">
      <c r="A6498" s="105" t="s">
        <v>35</v>
      </c>
      <c r="B6498" s="109">
        <v>44163</v>
      </c>
      <c r="C6498" s="4">
        <v>32</v>
      </c>
      <c r="D6498" s="21">
        <f t="shared" si="549"/>
        <v>21112</v>
      </c>
      <c r="E6498" s="4">
        <v>2</v>
      </c>
      <c r="F6498" s="95">
        <f t="shared" si="547"/>
        <v>976</v>
      </c>
    </row>
    <row r="6499" spans="1:6" ht="15.75" thickBot="1" x14ac:dyDescent="0.3">
      <c r="A6499" s="105" t="s">
        <v>36</v>
      </c>
      <c r="B6499" s="109">
        <v>44163</v>
      </c>
      <c r="C6499" s="4">
        <v>72</v>
      </c>
      <c r="D6499" s="21">
        <f t="shared" si="549"/>
        <v>7254</v>
      </c>
      <c r="F6499" s="95">
        <f t="shared" si="547"/>
        <v>171</v>
      </c>
    </row>
    <row r="6500" spans="1:6" ht="15.75" thickBot="1" x14ac:dyDescent="0.3">
      <c r="A6500" s="105" t="s">
        <v>37</v>
      </c>
      <c r="B6500" s="109">
        <v>44163</v>
      </c>
      <c r="C6500" s="4">
        <v>154</v>
      </c>
      <c r="D6500" s="21">
        <f t="shared" si="549"/>
        <v>14096</v>
      </c>
      <c r="E6500" s="4">
        <v>1</v>
      </c>
      <c r="F6500" s="95">
        <f t="shared" si="547"/>
        <v>208</v>
      </c>
    </row>
    <row r="6501" spans="1:6" ht="15.75" thickBot="1" x14ac:dyDescent="0.3">
      <c r="A6501" s="105" t="s">
        <v>38</v>
      </c>
      <c r="B6501" s="109">
        <v>44163</v>
      </c>
      <c r="C6501" s="4">
        <v>188</v>
      </c>
      <c r="D6501" s="21">
        <f t="shared" si="549"/>
        <v>15561</v>
      </c>
      <c r="E6501" s="4">
        <v>1</v>
      </c>
      <c r="F6501" s="95">
        <f t="shared" si="547"/>
        <v>268</v>
      </c>
    </row>
    <row r="6502" spans="1:6" ht="15.75" thickBot="1" x14ac:dyDescent="0.3">
      <c r="A6502" s="105" t="s">
        <v>23</v>
      </c>
      <c r="B6502" s="109">
        <v>44163</v>
      </c>
      <c r="C6502" s="4">
        <v>1070</v>
      </c>
      <c r="D6502" s="21">
        <f t="shared" si="549"/>
        <v>145501</v>
      </c>
      <c r="E6502" s="4">
        <v>10</v>
      </c>
      <c r="F6502" s="95">
        <f t="shared" si="547"/>
        <v>2217</v>
      </c>
    </row>
    <row r="6503" spans="1:6" ht="15.75" thickBot="1" x14ac:dyDescent="0.3">
      <c r="A6503" s="105" t="s">
        <v>39</v>
      </c>
      <c r="B6503" s="109">
        <v>44163</v>
      </c>
      <c r="C6503" s="4">
        <v>141</v>
      </c>
      <c r="D6503" s="21">
        <f t="shared" si="549"/>
        <v>15439</v>
      </c>
      <c r="F6503" s="95">
        <f t="shared" si="547"/>
        <v>188</v>
      </c>
    </row>
    <row r="6504" spans="1:6" ht="15.75" thickBot="1" x14ac:dyDescent="0.3">
      <c r="A6504" s="105" t="s">
        <v>40</v>
      </c>
      <c r="B6504" s="109">
        <v>44163</v>
      </c>
      <c r="C6504" s="4">
        <v>67</v>
      </c>
      <c r="D6504" s="21">
        <f t="shared" si="549"/>
        <v>16007</v>
      </c>
      <c r="F6504" s="95">
        <f t="shared" si="547"/>
        <v>230</v>
      </c>
    </row>
    <row r="6505" spans="1:6" ht="15.75" thickBot="1" x14ac:dyDescent="0.3">
      <c r="A6505" s="106" t="s">
        <v>41</v>
      </c>
      <c r="B6505" s="109">
        <v>44163</v>
      </c>
      <c r="C6505" s="4">
        <v>240</v>
      </c>
      <c r="D6505" s="98">
        <f>C6505+D6481</f>
        <v>65430</v>
      </c>
      <c r="F6505" s="96">
        <f t="shared" si="547"/>
        <v>1166</v>
      </c>
    </row>
    <row r="6506" spans="1:6" ht="15.75" thickBot="1" x14ac:dyDescent="0.3">
      <c r="A6506" s="42" t="s">
        <v>17</v>
      </c>
      <c r="B6506" s="109">
        <v>44164</v>
      </c>
      <c r="C6506" s="4">
        <v>868</v>
      </c>
      <c r="D6506" s="97">
        <f t="shared" si="549"/>
        <v>617271</v>
      </c>
      <c r="E6506" s="4">
        <f>34+36</f>
        <v>70</v>
      </c>
      <c r="F6506" s="94">
        <f t="shared" si="547"/>
        <v>20565</v>
      </c>
    </row>
    <row r="6507" spans="1:6" ht="15.75" thickBot="1" x14ac:dyDescent="0.3">
      <c r="A6507" s="42" t="s">
        <v>44</v>
      </c>
      <c r="B6507" s="109">
        <v>44164</v>
      </c>
      <c r="C6507" s="4">
        <v>217</v>
      </c>
      <c r="D6507" s="21">
        <f t="shared" si="549"/>
        <v>158484</v>
      </c>
      <c r="E6507" s="4">
        <f>2+4</f>
        <v>6</v>
      </c>
      <c r="F6507" s="95">
        <f t="shared" ref="F6507:F6570" si="550">E6507+F6483</f>
        <v>5222</v>
      </c>
    </row>
    <row r="6508" spans="1:6" ht="15.75" thickBot="1" x14ac:dyDescent="0.3">
      <c r="A6508" s="42" t="s">
        <v>29</v>
      </c>
      <c r="B6508" s="109">
        <v>44164</v>
      </c>
      <c r="C6508" s="4">
        <v>37</v>
      </c>
      <c r="D6508" s="21">
        <f t="shared" si="549"/>
        <v>1850</v>
      </c>
      <c r="F6508" s="95">
        <f t="shared" si="550"/>
        <v>15</v>
      </c>
    </row>
    <row r="6509" spans="1:6" ht="15.75" thickBot="1" x14ac:dyDescent="0.3">
      <c r="A6509" s="42" t="s">
        <v>16</v>
      </c>
      <c r="B6509" s="109">
        <v>44164</v>
      </c>
      <c r="C6509" s="4">
        <v>163</v>
      </c>
      <c r="D6509" s="21">
        <f t="shared" si="549"/>
        <v>19121</v>
      </c>
      <c r="E6509" s="4">
        <f>1+3</f>
        <v>4</v>
      </c>
      <c r="F6509" s="95">
        <f t="shared" si="550"/>
        <v>557</v>
      </c>
    </row>
    <row r="6510" spans="1:6" ht="15.75" thickBot="1" x14ac:dyDescent="0.3">
      <c r="A6510" s="42" t="s">
        <v>30</v>
      </c>
      <c r="B6510" s="109">
        <v>44164</v>
      </c>
      <c r="C6510" s="4">
        <v>114</v>
      </c>
      <c r="D6510" s="21">
        <f t="shared" si="549"/>
        <v>22631</v>
      </c>
      <c r="E6510" s="4">
        <f>1+2</f>
        <v>3</v>
      </c>
      <c r="F6510" s="95">
        <f t="shared" si="550"/>
        <v>376</v>
      </c>
    </row>
    <row r="6511" spans="1:6" ht="15.75" thickBot="1" x14ac:dyDescent="0.3">
      <c r="A6511" s="42" t="s">
        <v>21</v>
      </c>
      <c r="B6511" s="109">
        <v>44164</v>
      </c>
      <c r="C6511" s="4">
        <v>427</v>
      </c>
      <c r="D6511" s="21">
        <f t="shared" si="549"/>
        <v>113857</v>
      </c>
      <c r="E6511" s="4">
        <f>12+9</f>
        <v>21</v>
      </c>
      <c r="F6511" s="95">
        <f t="shared" si="550"/>
        <v>1950</v>
      </c>
    </row>
    <row r="6512" spans="1:6" ht="15.75" thickBot="1" x14ac:dyDescent="0.3">
      <c r="A6512" s="42" t="s">
        <v>31</v>
      </c>
      <c r="B6512" s="109">
        <v>44164</v>
      </c>
      <c r="C6512" s="4">
        <v>1130</v>
      </c>
      <c r="D6512" s="21">
        <f t="shared" si="549"/>
        <v>6803</v>
      </c>
      <c r="F6512" s="95">
        <f t="shared" si="550"/>
        <v>86</v>
      </c>
    </row>
    <row r="6513" spans="1:6" ht="15.75" thickBot="1" x14ac:dyDescent="0.3">
      <c r="A6513" s="42" t="s">
        <v>32</v>
      </c>
      <c r="B6513" s="109">
        <v>44164</v>
      </c>
      <c r="C6513" s="4">
        <v>174</v>
      </c>
      <c r="D6513" s="21">
        <f t="shared" si="549"/>
        <v>23249</v>
      </c>
      <c r="E6513" s="4">
        <f>1</f>
        <v>1</v>
      </c>
      <c r="F6513" s="95">
        <f t="shared" si="550"/>
        <v>465</v>
      </c>
    </row>
    <row r="6514" spans="1:6" ht="15.75" thickBot="1" x14ac:dyDescent="0.3">
      <c r="A6514" s="42" t="s">
        <v>42</v>
      </c>
      <c r="B6514" s="109">
        <v>44164</v>
      </c>
      <c r="C6514" s="4">
        <v>0</v>
      </c>
      <c r="D6514" s="21">
        <f t="shared" si="549"/>
        <v>182</v>
      </c>
      <c r="F6514" s="95">
        <f t="shared" si="550"/>
        <v>3</v>
      </c>
    </row>
    <row r="6515" spans="1:6" ht="15.75" thickBot="1" x14ac:dyDescent="0.3">
      <c r="A6515" s="42" t="s">
        <v>33</v>
      </c>
      <c r="B6515" s="109">
        <v>44164</v>
      </c>
      <c r="C6515" s="4">
        <v>2</v>
      </c>
      <c r="D6515" s="21">
        <f t="shared" si="549"/>
        <v>18370</v>
      </c>
      <c r="F6515" s="95">
        <f t="shared" si="550"/>
        <v>848</v>
      </c>
    </row>
    <row r="6516" spans="1:6" ht="15.75" thickBot="1" x14ac:dyDescent="0.3">
      <c r="A6516" s="42" t="s">
        <v>34</v>
      </c>
      <c r="B6516" s="109">
        <v>44164</v>
      </c>
      <c r="C6516" s="4">
        <v>61</v>
      </c>
      <c r="D6516" s="21">
        <f t="shared" si="549"/>
        <v>5710</v>
      </c>
      <c r="F6516" s="95">
        <f t="shared" si="550"/>
        <v>75</v>
      </c>
    </row>
    <row r="6517" spans="1:6" ht="15.75" thickBot="1" x14ac:dyDescent="0.3">
      <c r="A6517" s="42" t="s">
        <v>22</v>
      </c>
      <c r="B6517" s="109">
        <v>44164</v>
      </c>
      <c r="C6517" s="4">
        <v>26</v>
      </c>
      <c r="D6517" s="21">
        <f t="shared" si="549"/>
        <v>8694</v>
      </c>
      <c r="F6517" s="95">
        <f t="shared" si="550"/>
        <v>316</v>
      </c>
    </row>
    <row r="6518" spans="1:6" ht="15.75" thickBot="1" x14ac:dyDescent="0.3">
      <c r="A6518" s="42" t="s">
        <v>18</v>
      </c>
      <c r="B6518" s="109">
        <v>44164</v>
      </c>
      <c r="C6518" s="4">
        <v>47</v>
      </c>
      <c r="D6518" s="21">
        <f t="shared" si="549"/>
        <v>56395</v>
      </c>
      <c r="E6518" s="4">
        <f>1</f>
        <v>1</v>
      </c>
      <c r="F6518" s="95">
        <f t="shared" si="550"/>
        <v>1107</v>
      </c>
    </row>
    <row r="6519" spans="1:6" ht="15.75" thickBot="1" x14ac:dyDescent="0.3">
      <c r="A6519" s="42" t="s">
        <v>24</v>
      </c>
      <c r="B6519" s="109">
        <v>44164</v>
      </c>
      <c r="C6519" s="4">
        <v>2</v>
      </c>
      <c r="D6519" s="21">
        <f t="shared" si="549"/>
        <v>495</v>
      </c>
      <c r="F6519" s="95">
        <f t="shared" si="550"/>
        <v>9</v>
      </c>
    </row>
    <row r="6520" spans="1:6" ht="15.75" thickBot="1" x14ac:dyDescent="0.3">
      <c r="A6520" s="42" t="s">
        <v>20</v>
      </c>
      <c r="B6520" s="109">
        <v>44164</v>
      </c>
      <c r="C6520" s="4">
        <v>122</v>
      </c>
      <c r="D6520" s="21">
        <f t="shared" si="549"/>
        <v>31840</v>
      </c>
      <c r="E6520" s="4">
        <f>3+2</f>
        <v>5</v>
      </c>
      <c r="F6520" s="95">
        <f t="shared" si="550"/>
        <v>619</v>
      </c>
    </row>
    <row r="6521" spans="1:6" ht="15.75" thickBot="1" x14ac:dyDescent="0.3">
      <c r="A6521" s="42" t="s">
        <v>19</v>
      </c>
      <c r="B6521" s="109">
        <v>44164</v>
      </c>
      <c r="C6521" s="4">
        <v>108</v>
      </c>
      <c r="D6521" s="21">
        <f t="shared" si="549"/>
        <v>31521</v>
      </c>
      <c r="E6521" s="4">
        <f>2</f>
        <v>2</v>
      </c>
      <c r="F6521" s="95">
        <f t="shared" si="550"/>
        <v>775</v>
      </c>
    </row>
    <row r="6522" spans="1:6" ht="15.75" thickBot="1" x14ac:dyDescent="0.3">
      <c r="A6522" s="42" t="s">
        <v>35</v>
      </c>
      <c r="B6522" s="109">
        <v>44164</v>
      </c>
      <c r="C6522" s="4">
        <v>28</v>
      </c>
      <c r="D6522" s="21">
        <f t="shared" si="549"/>
        <v>21140</v>
      </c>
      <c r="E6522" s="4">
        <v>1</v>
      </c>
      <c r="F6522" s="95">
        <f t="shared" si="550"/>
        <v>977</v>
      </c>
    </row>
    <row r="6523" spans="1:6" ht="15.75" thickBot="1" x14ac:dyDescent="0.3">
      <c r="A6523" s="42" t="s">
        <v>36</v>
      </c>
      <c r="B6523" s="109">
        <v>44164</v>
      </c>
      <c r="C6523" s="4">
        <v>65</v>
      </c>
      <c r="D6523" s="21">
        <f t="shared" si="549"/>
        <v>7319</v>
      </c>
      <c r="F6523" s="95">
        <f t="shared" si="550"/>
        <v>171</v>
      </c>
    </row>
    <row r="6524" spans="1:6" ht="15.75" thickBot="1" x14ac:dyDescent="0.3">
      <c r="A6524" s="42" t="s">
        <v>37</v>
      </c>
      <c r="B6524" s="109">
        <v>44164</v>
      </c>
      <c r="C6524" s="4">
        <v>192</v>
      </c>
      <c r="D6524" s="21">
        <f t="shared" si="549"/>
        <v>14288</v>
      </c>
      <c r="E6524" s="4">
        <f>2+2</f>
        <v>4</v>
      </c>
      <c r="F6524" s="95">
        <f t="shared" si="550"/>
        <v>212</v>
      </c>
    </row>
    <row r="6525" spans="1:6" ht="15.75" thickBot="1" x14ac:dyDescent="0.3">
      <c r="A6525" s="42" t="s">
        <v>38</v>
      </c>
      <c r="B6525" s="109">
        <v>44164</v>
      </c>
      <c r="C6525" s="4">
        <v>211</v>
      </c>
      <c r="D6525" s="21">
        <f t="shared" si="549"/>
        <v>15772</v>
      </c>
      <c r="E6525" s="4">
        <f>4</f>
        <v>4</v>
      </c>
      <c r="F6525" s="95">
        <f t="shared" si="550"/>
        <v>272</v>
      </c>
    </row>
    <row r="6526" spans="1:6" ht="15.75" thickBot="1" x14ac:dyDescent="0.3">
      <c r="A6526" s="42" t="s">
        <v>23</v>
      </c>
      <c r="B6526" s="109">
        <v>44164</v>
      </c>
      <c r="C6526" s="4">
        <v>1004</v>
      </c>
      <c r="D6526" s="21">
        <f t="shared" si="549"/>
        <v>146505</v>
      </c>
      <c r="E6526" s="4">
        <f>11+7</f>
        <v>18</v>
      </c>
      <c r="F6526" s="95">
        <f t="shared" si="550"/>
        <v>2235</v>
      </c>
    </row>
    <row r="6527" spans="1:6" ht="15.75" thickBot="1" x14ac:dyDescent="0.3">
      <c r="A6527" s="42" t="s">
        <v>39</v>
      </c>
      <c r="B6527" s="109">
        <v>44164</v>
      </c>
      <c r="C6527" s="4">
        <v>151</v>
      </c>
      <c r="D6527" s="21">
        <f t="shared" si="549"/>
        <v>15590</v>
      </c>
      <c r="F6527" s="95">
        <f t="shared" si="550"/>
        <v>188</v>
      </c>
    </row>
    <row r="6528" spans="1:6" ht="15.75" thickBot="1" x14ac:dyDescent="0.3">
      <c r="A6528" s="42" t="s">
        <v>40</v>
      </c>
      <c r="B6528" s="109">
        <v>44164</v>
      </c>
      <c r="C6528" s="4">
        <v>83</v>
      </c>
      <c r="D6528" s="21">
        <f t="shared" si="549"/>
        <v>16090</v>
      </c>
      <c r="F6528" s="95">
        <f t="shared" si="550"/>
        <v>230</v>
      </c>
    </row>
    <row r="6529" spans="1:7" ht="15.75" thickBot="1" x14ac:dyDescent="0.3">
      <c r="A6529" s="42" t="s">
        <v>41</v>
      </c>
      <c r="B6529" s="109">
        <v>44164</v>
      </c>
      <c r="C6529" s="4">
        <v>200</v>
      </c>
      <c r="D6529" s="98">
        <f>C6529+D6505</f>
        <v>65630</v>
      </c>
      <c r="E6529" s="4">
        <f>5+6</f>
        <v>11</v>
      </c>
      <c r="F6529" s="96">
        <f t="shared" si="550"/>
        <v>1177</v>
      </c>
    </row>
    <row r="6530" spans="1:7" ht="15.75" thickBot="1" x14ac:dyDescent="0.3">
      <c r="A6530" s="42" t="s">
        <v>17</v>
      </c>
      <c r="B6530" s="109">
        <v>44165</v>
      </c>
      <c r="C6530" s="4">
        <v>1455</v>
      </c>
      <c r="D6530" s="97">
        <f t="shared" si="549"/>
        <v>618726</v>
      </c>
      <c r="E6530" s="4">
        <v>135</v>
      </c>
      <c r="F6530" s="94">
        <f t="shared" si="550"/>
        <v>20700</v>
      </c>
      <c r="G6530" s="62"/>
    </row>
    <row r="6531" spans="1:7" ht="15.75" thickBot="1" x14ac:dyDescent="0.3">
      <c r="A6531" s="42" t="s">
        <v>44</v>
      </c>
      <c r="B6531" s="109">
        <v>44165</v>
      </c>
      <c r="C6531" s="4">
        <v>321</v>
      </c>
      <c r="D6531" s="21">
        <f t="shared" si="549"/>
        <v>158805</v>
      </c>
      <c r="E6531" s="4">
        <v>15</v>
      </c>
      <c r="F6531" s="95">
        <f t="shared" si="550"/>
        <v>5237</v>
      </c>
      <c r="G6531" s="62"/>
    </row>
    <row r="6532" spans="1:7" ht="15.75" thickBot="1" x14ac:dyDescent="0.3">
      <c r="A6532" s="42" t="s">
        <v>29</v>
      </c>
      <c r="B6532" s="109">
        <v>44165</v>
      </c>
      <c r="C6532" s="4">
        <v>17</v>
      </c>
      <c r="D6532" s="21">
        <f t="shared" si="549"/>
        <v>1867</v>
      </c>
      <c r="E6532" s="4">
        <v>0</v>
      </c>
      <c r="F6532" s="95">
        <f t="shared" si="550"/>
        <v>15</v>
      </c>
      <c r="G6532" s="62"/>
    </row>
    <row r="6533" spans="1:7" ht="15.75" thickBot="1" x14ac:dyDescent="0.3">
      <c r="A6533" s="42" t="s">
        <v>16</v>
      </c>
      <c r="B6533" s="109">
        <v>44165</v>
      </c>
      <c r="C6533" s="4">
        <v>236</v>
      </c>
      <c r="D6533" s="21">
        <f t="shared" si="549"/>
        <v>19357</v>
      </c>
      <c r="E6533" s="4">
        <v>5</v>
      </c>
      <c r="F6533" s="95">
        <f t="shared" si="550"/>
        <v>562</v>
      </c>
      <c r="G6533" s="62"/>
    </row>
    <row r="6534" spans="1:7" ht="15.75" thickBot="1" x14ac:dyDescent="0.3">
      <c r="A6534" s="42" t="s">
        <v>30</v>
      </c>
      <c r="B6534" s="109">
        <v>44165</v>
      </c>
      <c r="C6534" s="4">
        <v>220</v>
      </c>
      <c r="D6534" s="21">
        <f t="shared" si="549"/>
        <v>22851</v>
      </c>
      <c r="E6534" s="4">
        <v>1</v>
      </c>
      <c r="F6534" s="95">
        <f t="shared" si="550"/>
        <v>377</v>
      </c>
      <c r="G6534" s="62"/>
    </row>
    <row r="6535" spans="1:7" ht="15.75" thickBot="1" x14ac:dyDescent="0.3">
      <c r="A6535" s="42" t="s">
        <v>21</v>
      </c>
      <c r="B6535" s="109">
        <v>44165</v>
      </c>
      <c r="C6535" s="4">
        <v>350</v>
      </c>
      <c r="D6535" s="21">
        <f t="shared" si="549"/>
        <v>114207</v>
      </c>
      <c r="E6535" s="4">
        <v>22</v>
      </c>
      <c r="F6535" s="95">
        <f t="shared" si="550"/>
        <v>1972</v>
      </c>
      <c r="G6535" s="62"/>
    </row>
    <row r="6536" spans="1:7" ht="15.75" thickBot="1" x14ac:dyDescent="0.3">
      <c r="A6536" s="42" t="s">
        <v>31</v>
      </c>
      <c r="B6536" s="109">
        <v>44165</v>
      </c>
      <c r="C6536" s="4">
        <v>295</v>
      </c>
      <c r="D6536" s="21">
        <f t="shared" si="549"/>
        <v>7098</v>
      </c>
      <c r="E6536" s="4">
        <v>0</v>
      </c>
      <c r="F6536" s="95">
        <f t="shared" si="550"/>
        <v>86</v>
      </c>
      <c r="G6536" s="62"/>
    </row>
    <row r="6537" spans="1:7" ht="15.75" thickBot="1" x14ac:dyDescent="0.3">
      <c r="A6537" s="42" t="s">
        <v>32</v>
      </c>
      <c r="B6537" s="109">
        <v>44165</v>
      </c>
      <c r="C6537" s="4">
        <v>116</v>
      </c>
      <c r="D6537" s="21">
        <f t="shared" si="549"/>
        <v>23365</v>
      </c>
      <c r="E6537" s="4">
        <v>4</v>
      </c>
      <c r="F6537" s="95">
        <f t="shared" si="550"/>
        <v>469</v>
      </c>
      <c r="G6537" s="62"/>
    </row>
    <row r="6538" spans="1:7" ht="15.75" thickBot="1" x14ac:dyDescent="0.3">
      <c r="A6538" s="42" t="s">
        <v>42</v>
      </c>
      <c r="B6538" s="109">
        <v>44165</v>
      </c>
      <c r="C6538" s="4">
        <v>0</v>
      </c>
      <c r="D6538" s="21">
        <f t="shared" si="549"/>
        <v>182</v>
      </c>
      <c r="E6538" s="4">
        <v>0</v>
      </c>
      <c r="F6538" s="95">
        <f t="shared" si="550"/>
        <v>3</v>
      </c>
      <c r="G6538" s="62"/>
    </row>
    <row r="6539" spans="1:7" ht="15.75" thickBot="1" x14ac:dyDescent="0.3">
      <c r="A6539" s="42" t="s">
        <v>33</v>
      </c>
      <c r="B6539" s="109">
        <v>44165</v>
      </c>
      <c r="C6539" s="4">
        <v>11</v>
      </c>
      <c r="D6539" s="21">
        <f t="shared" si="549"/>
        <v>18381</v>
      </c>
      <c r="E6539" s="4">
        <v>0</v>
      </c>
      <c r="F6539" s="95">
        <f t="shared" si="550"/>
        <v>848</v>
      </c>
      <c r="G6539" s="62"/>
    </row>
    <row r="6540" spans="1:7" ht="15.75" thickBot="1" x14ac:dyDescent="0.3">
      <c r="A6540" s="42" t="s">
        <v>34</v>
      </c>
      <c r="B6540" s="109">
        <v>44165</v>
      </c>
      <c r="C6540" s="4">
        <v>60</v>
      </c>
      <c r="D6540" s="21">
        <f t="shared" si="549"/>
        <v>5770</v>
      </c>
      <c r="E6540" s="4">
        <v>8</v>
      </c>
      <c r="F6540" s="95">
        <f t="shared" si="550"/>
        <v>83</v>
      </c>
      <c r="G6540" s="62"/>
    </row>
    <row r="6541" spans="1:7" ht="15.75" thickBot="1" x14ac:dyDescent="0.3">
      <c r="A6541" s="42" t="s">
        <v>22</v>
      </c>
      <c r="B6541" s="109">
        <v>44165</v>
      </c>
      <c r="C6541" s="4">
        <v>28</v>
      </c>
      <c r="D6541" s="21">
        <f t="shared" si="549"/>
        <v>8722</v>
      </c>
      <c r="E6541" s="4">
        <v>0</v>
      </c>
      <c r="F6541" s="95">
        <f t="shared" si="550"/>
        <v>316</v>
      </c>
      <c r="G6541" s="62"/>
    </row>
    <row r="6542" spans="1:7" ht="15.75" thickBot="1" x14ac:dyDescent="0.3">
      <c r="A6542" s="42" t="s">
        <v>18</v>
      </c>
      <c r="B6542" s="109">
        <v>44165</v>
      </c>
      <c r="C6542" s="4">
        <v>151</v>
      </c>
      <c r="D6542" s="21">
        <f t="shared" si="549"/>
        <v>56546</v>
      </c>
      <c r="E6542" s="4">
        <v>1</v>
      </c>
      <c r="F6542" s="95">
        <f t="shared" si="550"/>
        <v>1108</v>
      </c>
      <c r="G6542" s="62"/>
    </row>
    <row r="6543" spans="1:7" ht="15.75" thickBot="1" x14ac:dyDescent="0.3">
      <c r="A6543" s="42" t="s">
        <v>24</v>
      </c>
      <c r="B6543" s="109">
        <v>44165</v>
      </c>
      <c r="C6543" s="4">
        <v>5</v>
      </c>
      <c r="D6543" s="21">
        <f t="shared" si="549"/>
        <v>500</v>
      </c>
      <c r="E6543" s="4">
        <v>0</v>
      </c>
      <c r="F6543" s="95">
        <f t="shared" si="550"/>
        <v>9</v>
      </c>
      <c r="G6543" s="62"/>
    </row>
    <row r="6544" spans="1:7" ht="15.75" thickBot="1" x14ac:dyDescent="0.3">
      <c r="A6544" s="42" t="s">
        <v>20</v>
      </c>
      <c r="B6544" s="109">
        <v>44165</v>
      </c>
      <c r="C6544" s="4">
        <v>228</v>
      </c>
      <c r="D6544" s="21">
        <f t="shared" si="549"/>
        <v>32068</v>
      </c>
      <c r="E6544" s="4">
        <v>0</v>
      </c>
      <c r="F6544" s="95">
        <f t="shared" si="550"/>
        <v>619</v>
      </c>
      <c r="G6544" s="62"/>
    </row>
    <row r="6545" spans="1:8" ht="15.75" thickBot="1" x14ac:dyDescent="0.3">
      <c r="A6545" s="42" t="s">
        <v>19</v>
      </c>
      <c r="B6545" s="109">
        <v>44165</v>
      </c>
      <c r="C6545" s="4">
        <v>184</v>
      </c>
      <c r="D6545" s="21">
        <f t="shared" si="549"/>
        <v>31705</v>
      </c>
      <c r="E6545" s="4">
        <v>5</v>
      </c>
      <c r="F6545" s="95">
        <f t="shared" si="550"/>
        <v>780</v>
      </c>
      <c r="G6545" s="62"/>
    </row>
    <row r="6546" spans="1:8" ht="15.75" thickBot="1" x14ac:dyDescent="0.3">
      <c r="A6546" s="42" t="s">
        <v>35</v>
      </c>
      <c r="B6546" s="109">
        <v>44165</v>
      </c>
      <c r="C6546" s="4">
        <v>19</v>
      </c>
      <c r="D6546" s="21">
        <f t="shared" ref="D6546:D6552" si="551">C6546+D6522</f>
        <v>21159</v>
      </c>
      <c r="E6546" s="4">
        <v>3</v>
      </c>
      <c r="F6546" s="95">
        <f t="shared" si="550"/>
        <v>980</v>
      </c>
      <c r="G6546" s="62"/>
    </row>
    <row r="6547" spans="1:8" ht="15.75" thickBot="1" x14ac:dyDescent="0.3">
      <c r="A6547" s="42" t="s">
        <v>36</v>
      </c>
      <c r="B6547" s="109">
        <v>44165</v>
      </c>
      <c r="C6547" s="4">
        <v>147</v>
      </c>
      <c r="D6547" s="21">
        <f t="shared" si="551"/>
        <v>7466</v>
      </c>
      <c r="E6547" s="4">
        <v>0</v>
      </c>
      <c r="F6547" s="95">
        <f t="shared" si="550"/>
        <v>171</v>
      </c>
      <c r="G6547" s="62"/>
    </row>
    <row r="6548" spans="1:8" ht="15.75" thickBot="1" x14ac:dyDescent="0.3">
      <c r="A6548" s="42" t="s">
        <v>37</v>
      </c>
      <c r="B6548" s="109">
        <v>44165</v>
      </c>
      <c r="C6548" s="4">
        <v>167</v>
      </c>
      <c r="D6548" s="21">
        <f t="shared" si="551"/>
        <v>14455</v>
      </c>
      <c r="E6548" s="4">
        <v>0</v>
      </c>
      <c r="F6548" s="95">
        <f t="shared" si="550"/>
        <v>212</v>
      </c>
      <c r="G6548" s="62"/>
    </row>
    <row r="6549" spans="1:8" ht="15.75" thickBot="1" x14ac:dyDescent="0.3">
      <c r="A6549" s="42" t="s">
        <v>38</v>
      </c>
      <c r="B6549" s="109">
        <v>44165</v>
      </c>
      <c r="C6549" s="4">
        <v>154</v>
      </c>
      <c r="D6549" s="21">
        <f t="shared" si="551"/>
        <v>15926</v>
      </c>
      <c r="E6549" s="4">
        <v>2</v>
      </c>
      <c r="F6549" s="95">
        <f t="shared" si="550"/>
        <v>274</v>
      </c>
      <c r="G6549" s="62"/>
    </row>
    <row r="6550" spans="1:8" ht="15.75" thickBot="1" x14ac:dyDescent="0.3">
      <c r="A6550" s="42" t="s">
        <v>23</v>
      </c>
      <c r="B6550" s="109">
        <v>44165</v>
      </c>
      <c r="C6550" s="4">
        <v>1115</v>
      </c>
      <c r="D6550" s="21">
        <f t="shared" si="551"/>
        <v>147620</v>
      </c>
      <c r="E6550" s="4">
        <v>44</v>
      </c>
      <c r="F6550" s="95">
        <f t="shared" si="550"/>
        <v>2279</v>
      </c>
      <c r="G6550" s="62"/>
    </row>
    <row r="6551" spans="1:8" ht="15.75" thickBot="1" x14ac:dyDescent="0.3">
      <c r="A6551" s="42" t="s">
        <v>39</v>
      </c>
      <c r="B6551" s="109">
        <v>44165</v>
      </c>
      <c r="C6551" s="4">
        <v>53</v>
      </c>
      <c r="D6551" s="21">
        <f t="shared" si="551"/>
        <v>15643</v>
      </c>
      <c r="E6551" s="4">
        <v>1</v>
      </c>
      <c r="F6551" s="95">
        <f t="shared" si="550"/>
        <v>189</v>
      </c>
      <c r="G6551" s="62"/>
    </row>
    <row r="6552" spans="1:8" ht="15.75" thickBot="1" x14ac:dyDescent="0.3">
      <c r="A6552" s="42" t="s">
        <v>40</v>
      </c>
      <c r="B6552" s="109">
        <v>44165</v>
      </c>
      <c r="C6552" s="4">
        <v>91</v>
      </c>
      <c r="D6552" s="21">
        <f t="shared" si="551"/>
        <v>16181</v>
      </c>
      <c r="E6552" s="4">
        <v>3</v>
      </c>
      <c r="F6552" s="95">
        <f t="shared" si="550"/>
        <v>233</v>
      </c>
      <c r="G6552" s="62"/>
    </row>
    <row r="6553" spans="1:8" ht="15.75" thickBot="1" x14ac:dyDescent="0.3">
      <c r="A6553" s="42" t="s">
        <v>41</v>
      </c>
      <c r="B6553" s="109">
        <v>44165</v>
      </c>
      <c r="C6553" s="4">
        <v>303</v>
      </c>
      <c r="D6553" s="98">
        <f>C6553+D6529</f>
        <v>65933</v>
      </c>
      <c r="E6553" s="4">
        <v>7</v>
      </c>
      <c r="F6553" s="96">
        <f t="shared" si="550"/>
        <v>1184</v>
      </c>
    </row>
    <row r="6554" spans="1:8" ht="15.75" thickBot="1" x14ac:dyDescent="0.3">
      <c r="A6554" s="42" t="s">
        <v>17</v>
      </c>
      <c r="B6554" s="109">
        <v>44166</v>
      </c>
      <c r="C6554" s="4">
        <v>2128</v>
      </c>
      <c r="D6554" s="97">
        <f t="shared" ref="D6554:D6617" si="552">C6554+D6530</f>
        <v>620854</v>
      </c>
      <c r="E6554" s="4">
        <v>59</v>
      </c>
      <c r="F6554" s="94">
        <f t="shared" si="550"/>
        <v>20759</v>
      </c>
      <c r="G6554" s="62"/>
      <c r="H6554" s="62"/>
    </row>
    <row r="6555" spans="1:8" ht="15.75" thickBot="1" x14ac:dyDescent="0.3">
      <c r="A6555" s="42" t="s">
        <v>44</v>
      </c>
      <c r="B6555" s="109">
        <v>44166</v>
      </c>
      <c r="C6555" s="4">
        <v>398</v>
      </c>
      <c r="D6555" s="21">
        <f t="shared" si="552"/>
        <v>159203</v>
      </c>
      <c r="E6555" s="4">
        <v>23</v>
      </c>
      <c r="F6555" s="95">
        <f t="shared" si="550"/>
        <v>5260</v>
      </c>
      <c r="G6555" s="62"/>
      <c r="H6555" s="62"/>
    </row>
    <row r="6556" spans="1:8" ht="15.75" thickBot="1" x14ac:dyDescent="0.3">
      <c r="A6556" s="42" t="s">
        <v>29</v>
      </c>
      <c r="B6556" s="109">
        <v>44166</v>
      </c>
      <c r="C6556" s="4">
        <v>16</v>
      </c>
      <c r="D6556" s="21">
        <f t="shared" si="552"/>
        <v>1883</v>
      </c>
      <c r="E6556" s="4">
        <v>0</v>
      </c>
      <c r="F6556" s="95">
        <f t="shared" si="550"/>
        <v>15</v>
      </c>
      <c r="G6556" s="62"/>
    </row>
    <row r="6557" spans="1:8" ht="15.75" thickBot="1" x14ac:dyDescent="0.3">
      <c r="A6557" s="42" t="s">
        <v>16</v>
      </c>
      <c r="B6557" s="109">
        <v>44166</v>
      </c>
      <c r="C6557" s="4">
        <v>238</v>
      </c>
      <c r="D6557" s="21">
        <f t="shared" si="552"/>
        <v>19595</v>
      </c>
      <c r="E6557" s="4">
        <v>4</v>
      </c>
      <c r="F6557" s="95">
        <f t="shared" si="550"/>
        <v>566</v>
      </c>
      <c r="G6557" s="62"/>
      <c r="H6557" s="62"/>
    </row>
    <row r="6558" spans="1:8" ht="15.75" thickBot="1" x14ac:dyDescent="0.3">
      <c r="A6558" s="42" t="s">
        <v>30</v>
      </c>
      <c r="B6558" s="109">
        <v>44166</v>
      </c>
      <c r="C6558" s="4">
        <v>438</v>
      </c>
      <c r="D6558" s="21">
        <f t="shared" si="552"/>
        <v>23289</v>
      </c>
      <c r="E6558" s="4">
        <v>4</v>
      </c>
      <c r="F6558" s="95">
        <f t="shared" si="550"/>
        <v>381</v>
      </c>
      <c r="G6558" s="62"/>
      <c r="H6558" s="62"/>
    </row>
    <row r="6559" spans="1:8" ht="15.75" thickBot="1" x14ac:dyDescent="0.3">
      <c r="A6559" s="42" t="s">
        <v>21</v>
      </c>
      <c r="B6559" s="109">
        <v>44166</v>
      </c>
      <c r="C6559" s="4">
        <v>715</v>
      </c>
      <c r="D6559" s="21">
        <f t="shared" si="552"/>
        <v>114922</v>
      </c>
      <c r="E6559" s="4">
        <v>36</v>
      </c>
      <c r="F6559" s="95">
        <f t="shared" si="550"/>
        <v>2008</v>
      </c>
      <c r="G6559" s="62"/>
      <c r="H6559" s="62"/>
    </row>
    <row r="6560" spans="1:8" ht="15.75" thickBot="1" x14ac:dyDescent="0.3">
      <c r="A6560" s="42" t="s">
        <v>31</v>
      </c>
      <c r="B6560" s="109">
        <v>44166</v>
      </c>
      <c r="C6560" s="4">
        <v>193</v>
      </c>
      <c r="D6560" s="21">
        <f t="shared" si="552"/>
        <v>7291</v>
      </c>
      <c r="E6560" s="4">
        <v>2</v>
      </c>
      <c r="F6560" s="95">
        <f t="shared" si="550"/>
        <v>88</v>
      </c>
      <c r="G6560" s="62"/>
    </row>
    <row r="6561" spans="1:8" ht="15.75" thickBot="1" x14ac:dyDescent="0.3">
      <c r="A6561" s="42" t="s">
        <v>32</v>
      </c>
      <c r="B6561" s="109">
        <v>44166</v>
      </c>
      <c r="C6561" s="4">
        <v>139</v>
      </c>
      <c r="D6561" s="21">
        <f t="shared" si="552"/>
        <v>23504</v>
      </c>
      <c r="E6561" s="4">
        <v>2</v>
      </c>
      <c r="F6561" s="95">
        <f t="shared" si="550"/>
        <v>471</v>
      </c>
      <c r="G6561" s="62"/>
      <c r="H6561" s="62"/>
    </row>
    <row r="6562" spans="1:8" ht="15.75" thickBot="1" x14ac:dyDescent="0.3">
      <c r="A6562" s="42" t="s">
        <v>42</v>
      </c>
      <c r="B6562" s="109">
        <v>44166</v>
      </c>
      <c r="C6562" s="4">
        <v>1</v>
      </c>
      <c r="D6562" s="21">
        <f t="shared" si="552"/>
        <v>183</v>
      </c>
      <c r="E6562" s="4">
        <v>0</v>
      </c>
      <c r="F6562" s="95">
        <f t="shared" si="550"/>
        <v>3</v>
      </c>
      <c r="G6562" s="62"/>
    </row>
    <row r="6563" spans="1:8" ht="15.75" thickBot="1" x14ac:dyDescent="0.3">
      <c r="A6563" s="42" t="s">
        <v>33</v>
      </c>
      <c r="B6563" s="109">
        <v>44166</v>
      </c>
      <c r="C6563" s="4">
        <v>16</v>
      </c>
      <c r="D6563" s="21">
        <f t="shared" si="552"/>
        <v>18397</v>
      </c>
      <c r="E6563" s="4">
        <v>2</v>
      </c>
      <c r="F6563" s="95">
        <f t="shared" si="550"/>
        <v>850</v>
      </c>
      <c r="G6563" s="62"/>
      <c r="H6563" s="62"/>
    </row>
    <row r="6564" spans="1:8" ht="15.75" thickBot="1" x14ac:dyDescent="0.3">
      <c r="A6564" s="42" t="s">
        <v>34</v>
      </c>
      <c r="B6564" s="109">
        <v>44166</v>
      </c>
      <c r="C6564" s="4">
        <v>103</v>
      </c>
      <c r="D6564" s="21">
        <f t="shared" si="552"/>
        <v>5873</v>
      </c>
      <c r="E6564" s="4">
        <v>2</v>
      </c>
      <c r="F6564" s="95">
        <f t="shared" si="550"/>
        <v>85</v>
      </c>
      <c r="G6564" s="62"/>
      <c r="H6564" s="62"/>
    </row>
    <row r="6565" spans="1:8" ht="15.75" thickBot="1" x14ac:dyDescent="0.3">
      <c r="A6565" s="42" t="s">
        <v>22</v>
      </c>
      <c r="B6565" s="109">
        <v>44166</v>
      </c>
      <c r="C6565" s="4">
        <v>13</v>
      </c>
      <c r="D6565" s="21">
        <f t="shared" si="552"/>
        <v>8735</v>
      </c>
      <c r="E6565" s="4">
        <v>0</v>
      </c>
      <c r="F6565" s="95">
        <f t="shared" si="550"/>
        <v>316</v>
      </c>
      <c r="G6565" s="62"/>
    </row>
    <row r="6566" spans="1:8" ht="15.75" thickBot="1" x14ac:dyDescent="0.3">
      <c r="A6566" s="42" t="s">
        <v>18</v>
      </c>
      <c r="B6566" s="109">
        <v>44166</v>
      </c>
      <c r="C6566" s="4">
        <v>263</v>
      </c>
      <c r="D6566" s="21">
        <f t="shared" si="552"/>
        <v>56809</v>
      </c>
      <c r="E6566" s="4">
        <v>2</v>
      </c>
      <c r="F6566" s="95">
        <f t="shared" si="550"/>
        <v>1110</v>
      </c>
      <c r="G6566" s="62"/>
      <c r="H6566" s="62"/>
    </row>
    <row r="6567" spans="1:8" ht="15.75" thickBot="1" x14ac:dyDescent="0.3">
      <c r="A6567" s="42" t="s">
        <v>24</v>
      </c>
      <c r="B6567" s="109">
        <v>44166</v>
      </c>
      <c r="C6567" s="4">
        <v>19</v>
      </c>
      <c r="D6567" s="21">
        <f t="shared" si="552"/>
        <v>519</v>
      </c>
      <c r="E6567" s="4">
        <v>0</v>
      </c>
      <c r="F6567" s="95">
        <f t="shared" si="550"/>
        <v>9</v>
      </c>
      <c r="G6567" s="62"/>
    </row>
    <row r="6568" spans="1:8" ht="15.75" thickBot="1" x14ac:dyDescent="0.3">
      <c r="A6568" s="42" t="s">
        <v>20</v>
      </c>
      <c r="B6568" s="109">
        <v>44166</v>
      </c>
      <c r="C6568" s="4">
        <v>344</v>
      </c>
      <c r="D6568" s="21">
        <f t="shared" si="552"/>
        <v>32412</v>
      </c>
      <c r="E6568" s="4">
        <v>0</v>
      </c>
      <c r="F6568" s="95">
        <f t="shared" si="550"/>
        <v>619</v>
      </c>
      <c r="G6568" s="62"/>
    </row>
    <row r="6569" spans="1:8" ht="15.75" thickBot="1" x14ac:dyDescent="0.3">
      <c r="A6569" s="42" t="s">
        <v>19</v>
      </c>
      <c r="B6569" s="109">
        <v>44166</v>
      </c>
      <c r="C6569" s="4">
        <v>244</v>
      </c>
      <c r="D6569" s="21">
        <f t="shared" si="552"/>
        <v>31949</v>
      </c>
      <c r="E6569" s="4">
        <v>11</v>
      </c>
      <c r="F6569" s="95">
        <f t="shared" si="550"/>
        <v>791</v>
      </c>
      <c r="G6569" s="62"/>
      <c r="H6569" s="62"/>
    </row>
    <row r="6570" spans="1:8" ht="15.75" thickBot="1" x14ac:dyDescent="0.3">
      <c r="A6570" s="42" t="s">
        <v>35</v>
      </c>
      <c r="B6570" s="109">
        <v>44166</v>
      </c>
      <c r="C6570" s="4">
        <v>43</v>
      </c>
      <c r="D6570" s="21">
        <f t="shared" si="552"/>
        <v>21202</v>
      </c>
      <c r="E6570" s="4">
        <v>3</v>
      </c>
      <c r="F6570" s="95">
        <f t="shared" si="550"/>
        <v>983</v>
      </c>
      <c r="G6570" s="62"/>
      <c r="H6570" s="62"/>
    </row>
    <row r="6571" spans="1:8" ht="15.75" thickBot="1" x14ac:dyDescent="0.3">
      <c r="A6571" s="42" t="s">
        <v>36</v>
      </c>
      <c r="B6571" s="109">
        <v>44166</v>
      </c>
      <c r="C6571" s="4">
        <v>351</v>
      </c>
      <c r="D6571" s="21">
        <f t="shared" si="552"/>
        <v>7817</v>
      </c>
      <c r="E6571" s="4">
        <v>2</v>
      </c>
      <c r="F6571" s="95">
        <f t="shared" ref="F6571:F6625" si="553">E6571+F6547</f>
        <v>173</v>
      </c>
      <c r="G6571" s="62"/>
      <c r="H6571" s="62"/>
    </row>
    <row r="6572" spans="1:8" ht="15.75" thickBot="1" x14ac:dyDescent="0.3">
      <c r="A6572" s="42" t="s">
        <v>37</v>
      </c>
      <c r="B6572" s="109">
        <v>44166</v>
      </c>
      <c r="C6572" s="4">
        <v>253</v>
      </c>
      <c r="D6572" s="21">
        <f t="shared" si="552"/>
        <v>14708</v>
      </c>
      <c r="E6572" s="4">
        <v>3</v>
      </c>
      <c r="F6572" s="95">
        <f t="shared" si="553"/>
        <v>215</v>
      </c>
      <c r="G6572" s="62"/>
      <c r="H6572" s="62"/>
    </row>
    <row r="6573" spans="1:8" ht="15.75" thickBot="1" x14ac:dyDescent="0.3">
      <c r="A6573" s="42" t="s">
        <v>38</v>
      </c>
      <c r="B6573" s="109">
        <v>44166</v>
      </c>
      <c r="C6573" s="4">
        <v>315</v>
      </c>
      <c r="D6573" s="21">
        <f t="shared" si="552"/>
        <v>16241</v>
      </c>
      <c r="E6573" s="4">
        <v>6</v>
      </c>
      <c r="F6573" s="95">
        <f t="shared" si="553"/>
        <v>280</v>
      </c>
      <c r="G6573" s="62"/>
      <c r="H6573" s="62"/>
    </row>
    <row r="6574" spans="1:8" ht="15.75" thickBot="1" x14ac:dyDescent="0.3">
      <c r="A6574" s="42" t="s">
        <v>23</v>
      </c>
      <c r="B6574" s="109">
        <v>44166</v>
      </c>
      <c r="C6574" s="4">
        <v>1355</v>
      </c>
      <c r="D6574" s="21">
        <f t="shared" si="552"/>
        <v>148975</v>
      </c>
      <c r="E6574" s="4">
        <v>9</v>
      </c>
      <c r="F6574" s="95">
        <f t="shared" si="553"/>
        <v>2288</v>
      </c>
      <c r="G6574" s="62"/>
      <c r="H6574" s="62"/>
    </row>
    <row r="6575" spans="1:8" ht="15.75" thickBot="1" x14ac:dyDescent="0.3">
      <c r="A6575" s="42" t="s">
        <v>39</v>
      </c>
      <c r="B6575" s="109">
        <v>44166</v>
      </c>
      <c r="C6575" s="4">
        <v>71</v>
      </c>
      <c r="D6575" s="21">
        <f t="shared" si="552"/>
        <v>15714</v>
      </c>
      <c r="E6575" s="4">
        <v>1</v>
      </c>
      <c r="F6575" s="95">
        <f t="shared" si="553"/>
        <v>190</v>
      </c>
      <c r="G6575" s="62"/>
    </row>
    <row r="6576" spans="1:8" ht="15.75" thickBot="1" x14ac:dyDescent="0.3">
      <c r="A6576" s="42" t="s">
        <v>40</v>
      </c>
      <c r="B6576" s="109">
        <v>44166</v>
      </c>
      <c r="C6576" s="4">
        <v>79</v>
      </c>
      <c r="D6576" s="21">
        <f t="shared" si="552"/>
        <v>16260</v>
      </c>
      <c r="E6576" s="4">
        <v>2</v>
      </c>
      <c r="F6576" s="95">
        <f t="shared" si="553"/>
        <v>235</v>
      </c>
      <c r="G6576" s="62"/>
      <c r="H6576" s="62"/>
    </row>
    <row r="6577" spans="1:8" ht="15.75" thickBot="1" x14ac:dyDescent="0.3">
      <c r="A6577" s="42" t="s">
        <v>41</v>
      </c>
      <c r="B6577" s="109">
        <v>44166</v>
      </c>
      <c r="C6577" s="4">
        <v>302</v>
      </c>
      <c r="D6577" s="98">
        <f>C6577+D6553</f>
        <v>66235</v>
      </c>
      <c r="E6577" s="4">
        <v>26</v>
      </c>
      <c r="F6577" s="96">
        <f t="shared" si="553"/>
        <v>1210</v>
      </c>
      <c r="H6577" s="62"/>
    </row>
    <row r="6578" spans="1:8" ht="15.75" thickBot="1" x14ac:dyDescent="0.3">
      <c r="A6578" s="42" t="s">
        <v>17</v>
      </c>
      <c r="B6578" s="109">
        <v>44167</v>
      </c>
      <c r="C6578" s="4">
        <v>1924</v>
      </c>
      <c r="D6578" s="97">
        <f t="shared" si="552"/>
        <v>622778</v>
      </c>
      <c r="E6578" s="4">
        <v>82</v>
      </c>
      <c r="F6578" s="94">
        <f t="shared" si="553"/>
        <v>20841</v>
      </c>
    </row>
    <row r="6579" spans="1:8" ht="15.75" thickBot="1" x14ac:dyDescent="0.3">
      <c r="A6579" s="42" t="s">
        <v>44</v>
      </c>
      <c r="B6579" s="109">
        <v>44167</v>
      </c>
      <c r="C6579" s="4">
        <v>306</v>
      </c>
      <c r="D6579" s="21">
        <f t="shared" si="552"/>
        <v>159509</v>
      </c>
      <c r="E6579" s="4">
        <v>12</v>
      </c>
      <c r="F6579" s="95">
        <f t="shared" si="553"/>
        <v>5272</v>
      </c>
    </row>
    <row r="6580" spans="1:8" ht="15.75" thickBot="1" x14ac:dyDescent="0.3">
      <c r="A6580" s="42" t="s">
        <v>29</v>
      </c>
      <c r="B6580" s="109">
        <v>44167</v>
      </c>
      <c r="C6580" s="4">
        <v>8</v>
      </c>
      <c r="D6580" s="21">
        <f t="shared" si="552"/>
        <v>1891</v>
      </c>
      <c r="E6580" s="4">
        <v>1</v>
      </c>
      <c r="F6580" s="95">
        <f t="shared" si="553"/>
        <v>16</v>
      </c>
    </row>
    <row r="6581" spans="1:8" ht="15.75" thickBot="1" x14ac:dyDescent="0.3">
      <c r="A6581" s="42" t="s">
        <v>16</v>
      </c>
      <c r="B6581" s="109">
        <v>44167</v>
      </c>
      <c r="C6581" s="4">
        <v>198</v>
      </c>
      <c r="D6581" s="21">
        <f t="shared" si="552"/>
        <v>19793</v>
      </c>
      <c r="E6581" s="4">
        <v>6</v>
      </c>
      <c r="F6581" s="95">
        <f t="shared" si="553"/>
        <v>572</v>
      </c>
    </row>
    <row r="6582" spans="1:8" ht="15.75" thickBot="1" x14ac:dyDescent="0.3">
      <c r="A6582" s="42" t="s">
        <v>30</v>
      </c>
      <c r="B6582" s="109">
        <v>44167</v>
      </c>
      <c r="C6582" s="4">
        <v>256</v>
      </c>
      <c r="D6582" s="21">
        <f t="shared" si="552"/>
        <v>23545</v>
      </c>
      <c r="E6582" s="4">
        <v>8</v>
      </c>
      <c r="F6582" s="95">
        <f t="shared" si="553"/>
        <v>389</v>
      </c>
    </row>
    <row r="6583" spans="1:8" ht="15.75" thickBot="1" x14ac:dyDescent="0.3">
      <c r="A6583" s="42" t="s">
        <v>21</v>
      </c>
      <c r="B6583" s="109">
        <v>44167</v>
      </c>
      <c r="C6583" s="4">
        <v>790</v>
      </c>
      <c r="D6583" s="21">
        <f t="shared" si="552"/>
        <v>115712</v>
      </c>
      <c r="E6583" s="4">
        <v>22</v>
      </c>
      <c r="F6583" s="95">
        <f t="shared" si="553"/>
        <v>2030</v>
      </c>
    </row>
    <row r="6584" spans="1:8" ht="15.75" thickBot="1" x14ac:dyDescent="0.3">
      <c r="A6584" s="42" t="s">
        <v>31</v>
      </c>
      <c r="B6584" s="109">
        <v>44167</v>
      </c>
      <c r="C6584" s="4">
        <v>211</v>
      </c>
      <c r="D6584" s="21">
        <f t="shared" si="552"/>
        <v>7502</v>
      </c>
      <c r="F6584" s="95">
        <f t="shared" si="553"/>
        <v>88</v>
      </c>
    </row>
    <row r="6585" spans="1:8" ht="15.75" thickBot="1" x14ac:dyDescent="0.3">
      <c r="A6585" s="42" t="s">
        <v>32</v>
      </c>
      <c r="B6585" s="109">
        <v>44167</v>
      </c>
      <c r="C6585" s="4">
        <v>296</v>
      </c>
      <c r="D6585" s="21">
        <f t="shared" si="552"/>
        <v>23800</v>
      </c>
      <c r="E6585" s="4">
        <v>4</v>
      </c>
      <c r="F6585" s="95">
        <f t="shared" si="553"/>
        <v>475</v>
      </c>
    </row>
    <row r="6586" spans="1:8" ht="15.75" thickBot="1" x14ac:dyDescent="0.3">
      <c r="A6586" s="42" t="s">
        <v>42</v>
      </c>
      <c r="B6586" s="109">
        <v>44167</v>
      </c>
      <c r="C6586" s="4">
        <v>4</v>
      </c>
      <c r="D6586" s="21">
        <f t="shared" si="552"/>
        <v>187</v>
      </c>
      <c r="F6586" s="95">
        <f t="shared" si="553"/>
        <v>3</v>
      </c>
    </row>
    <row r="6587" spans="1:8" ht="15.75" thickBot="1" x14ac:dyDescent="0.3">
      <c r="A6587" s="42" t="s">
        <v>33</v>
      </c>
      <c r="B6587" s="109">
        <v>44167</v>
      </c>
      <c r="C6587" s="4">
        <v>6</v>
      </c>
      <c r="D6587" s="21">
        <f t="shared" si="552"/>
        <v>18403</v>
      </c>
      <c r="F6587" s="95">
        <f t="shared" si="553"/>
        <v>850</v>
      </c>
    </row>
    <row r="6588" spans="1:8" ht="15.75" thickBot="1" x14ac:dyDescent="0.3">
      <c r="A6588" s="42" t="s">
        <v>34</v>
      </c>
      <c r="B6588" s="109">
        <v>44167</v>
      </c>
      <c r="C6588" s="4">
        <v>104</v>
      </c>
      <c r="D6588" s="21">
        <f t="shared" si="552"/>
        <v>5977</v>
      </c>
      <c r="F6588" s="95">
        <f t="shared" si="553"/>
        <v>85</v>
      </c>
    </row>
    <row r="6589" spans="1:8" ht="15.75" thickBot="1" x14ac:dyDescent="0.3">
      <c r="A6589" s="42" t="s">
        <v>22</v>
      </c>
      <c r="B6589" s="109">
        <v>44167</v>
      </c>
      <c r="C6589" s="4">
        <v>33</v>
      </c>
      <c r="D6589" s="21">
        <f t="shared" si="552"/>
        <v>8768</v>
      </c>
      <c r="E6589" s="4">
        <v>1</v>
      </c>
      <c r="F6589" s="95">
        <f t="shared" si="553"/>
        <v>317</v>
      </c>
    </row>
    <row r="6590" spans="1:8" ht="15.75" thickBot="1" x14ac:dyDescent="0.3">
      <c r="A6590" s="42" t="s">
        <v>18</v>
      </c>
      <c r="B6590" s="109">
        <v>44167</v>
      </c>
      <c r="C6590" s="4">
        <v>214</v>
      </c>
      <c r="D6590" s="21">
        <f t="shared" si="552"/>
        <v>57023</v>
      </c>
      <c r="E6590" s="4">
        <v>2</v>
      </c>
      <c r="F6590" s="95">
        <f t="shared" si="553"/>
        <v>1112</v>
      </c>
    </row>
    <row r="6591" spans="1:8" ht="15.75" thickBot="1" x14ac:dyDescent="0.3">
      <c r="A6591" s="42" t="s">
        <v>24</v>
      </c>
      <c r="B6591" s="109">
        <v>44167</v>
      </c>
      <c r="C6591" s="4">
        <v>14</v>
      </c>
      <c r="D6591" s="21">
        <f t="shared" si="552"/>
        <v>533</v>
      </c>
      <c r="F6591" s="95">
        <f t="shared" si="553"/>
        <v>9</v>
      </c>
    </row>
    <row r="6592" spans="1:8" ht="15.75" thickBot="1" x14ac:dyDescent="0.3">
      <c r="A6592" s="42" t="s">
        <v>20</v>
      </c>
      <c r="B6592" s="109">
        <v>44167</v>
      </c>
      <c r="C6592" s="4">
        <v>389</v>
      </c>
      <c r="D6592" s="21">
        <f t="shared" si="552"/>
        <v>32801</v>
      </c>
      <c r="E6592" s="4">
        <v>23</v>
      </c>
      <c r="F6592" s="95">
        <f t="shared" si="553"/>
        <v>642</v>
      </c>
    </row>
    <row r="6593" spans="1:8" ht="15.75" thickBot="1" x14ac:dyDescent="0.3">
      <c r="A6593" s="42" t="s">
        <v>19</v>
      </c>
      <c r="B6593" s="109">
        <v>44167</v>
      </c>
      <c r="C6593" s="4">
        <v>258</v>
      </c>
      <c r="D6593" s="21">
        <f t="shared" si="552"/>
        <v>32207</v>
      </c>
      <c r="E6593" s="4">
        <v>3</v>
      </c>
      <c r="F6593" s="95">
        <f t="shared" si="553"/>
        <v>794</v>
      </c>
    </row>
    <row r="6594" spans="1:8" ht="15.75" thickBot="1" x14ac:dyDescent="0.3">
      <c r="A6594" s="42" t="s">
        <v>35</v>
      </c>
      <c r="B6594" s="109">
        <v>44167</v>
      </c>
      <c r="C6594" s="4">
        <v>49</v>
      </c>
      <c r="D6594" s="21">
        <f t="shared" si="552"/>
        <v>21251</v>
      </c>
      <c r="E6594" s="4">
        <v>1</v>
      </c>
      <c r="F6594" s="95">
        <f t="shared" si="553"/>
        <v>984</v>
      </c>
    </row>
    <row r="6595" spans="1:8" ht="15.75" thickBot="1" x14ac:dyDescent="0.3">
      <c r="A6595" s="42" t="s">
        <v>36</v>
      </c>
      <c r="B6595" s="109">
        <v>44167</v>
      </c>
      <c r="C6595" s="4">
        <v>250</v>
      </c>
      <c r="D6595" s="21">
        <f t="shared" si="552"/>
        <v>8067</v>
      </c>
      <c r="F6595" s="95">
        <f t="shared" si="553"/>
        <v>173</v>
      </c>
    </row>
    <row r="6596" spans="1:8" ht="15.75" thickBot="1" x14ac:dyDescent="0.3">
      <c r="A6596" s="42" t="s">
        <v>37</v>
      </c>
      <c r="B6596" s="109">
        <v>44167</v>
      </c>
      <c r="C6596" s="4">
        <v>101</v>
      </c>
      <c r="D6596" s="21">
        <f t="shared" si="552"/>
        <v>14809</v>
      </c>
      <c r="E6596" s="4">
        <v>5</v>
      </c>
      <c r="F6596" s="95">
        <f t="shared" si="553"/>
        <v>220</v>
      </c>
    </row>
    <row r="6597" spans="1:8" ht="15.75" thickBot="1" x14ac:dyDescent="0.3">
      <c r="A6597" s="42" t="s">
        <v>38</v>
      </c>
      <c r="B6597" s="109">
        <v>44167</v>
      </c>
      <c r="C6597" s="4">
        <v>237</v>
      </c>
      <c r="D6597" s="21">
        <f t="shared" si="552"/>
        <v>16478</v>
      </c>
      <c r="E6597" s="4">
        <v>4</v>
      </c>
      <c r="F6597" s="95">
        <f t="shared" si="553"/>
        <v>284</v>
      </c>
    </row>
    <row r="6598" spans="1:8" ht="15.75" thickBot="1" x14ac:dyDescent="0.3">
      <c r="A6598" s="42" t="s">
        <v>23</v>
      </c>
      <c r="B6598" s="109">
        <v>44167</v>
      </c>
      <c r="C6598" s="4">
        <v>1377</v>
      </c>
      <c r="D6598" s="21">
        <f t="shared" si="552"/>
        <v>150352</v>
      </c>
      <c r="E6598" s="4">
        <v>41</v>
      </c>
      <c r="F6598" s="95">
        <f t="shared" si="553"/>
        <v>2329</v>
      </c>
    </row>
    <row r="6599" spans="1:8" ht="15.75" thickBot="1" x14ac:dyDescent="0.3">
      <c r="A6599" s="42" t="s">
        <v>39</v>
      </c>
      <c r="B6599" s="109">
        <v>44167</v>
      </c>
      <c r="C6599" s="4">
        <v>129</v>
      </c>
      <c r="D6599" s="21">
        <f t="shared" si="552"/>
        <v>15843</v>
      </c>
      <c r="E6599" s="4">
        <v>1</v>
      </c>
      <c r="F6599" s="95">
        <f t="shared" si="553"/>
        <v>191</v>
      </c>
    </row>
    <row r="6600" spans="1:8" ht="15.75" thickBot="1" x14ac:dyDescent="0.3">
      <c r="A6600" s="42" t="s">
        <v>40</v>
      </c>
      <c r="B6600" s="109">
        <v>44167</v>
      </c>
      <c r="C6600" s="4">
        <v>128</v>
      </c>
      <c r="D6600" s="21">
        <f t="shared" si="552"/>
        <v>16388</v>
      </c>
      <c r="F6600" s="95">
        <f t="shared" si="553"/>
        <v>235</v>
      </c>
    </row>
    <row r="6601" spans="1:8" ht="15.75" thickBot="1" x14ac:dyDescent="0.3">
      <c r="A6601" s="60" t="s">
        <v>41</v>
      </c>
      <c r="B6601" s="103">
        <v>44167</v>
      </c>
      <c r="C6601" s="30">
        <v>251</v>
      </c>
      <c r="D6601" s="59">
        <f>C6601+D6577</f>
        <v>66486</v>
      </c>
      <c r="E6601" s="30">
        <v>12</v>
      </c>
      <c r="F6601" s="104">
        <f t="shared" si="553"/>
        <v>1222</v>
      </c>
    </row>
    <row r="6602" spans="1:8" x14ac:dyDescent="0.25">
      <c r="A6602" s="45" t="s">
        <v>17</v>
      </c>
      <c r="B6602" s="32">
        <v>44168</v>
      </c>
      <c r="C6602" s="33">
        <v>1816</v>
      </c>
      <c r="D6602" s="97">
        <f t="shared" si="552"/>
        <v>624594</v>
      </c>
      <c r="E6602" s="33">
        <v>39</v>
      </c>
      <c r="F6602" s="94">
        <f t="shared" si="553"/>
        <v>20880</v>
      </c>
    </row>
    <row r="6603" spans="1:8" x14ac:dyDescent="0.25">
      <c r="A6603" s="105" t="s">
        <v>44</v>
      </c>
      <c r="B6603" s="19">
        <v>44168</v>
      </c>
      <c r="C6603" s="4">
        <v>372</v>
      </c>
      <c r="D6603" s="21">
        <f t="shared" si="552"/>
        <v>159881</v>
      </c>
      <c r="E6603" s="4">
        <v>5</v>
      </c>
      <c r="F6603" s="95">
        <f t="shared" si="553"/>
        <v>5277</v>
      </c>
      <c r="H6603" s="62"/>
    </row>
    <row r="6604" spans="1:8" x14ac:dyDescent="0.25">
      <c r="A6604" s="105" t="s">
        <v>29</v>
      </c>
      <c r="B6604" s="19">
        <v>44168</v>
      </c>
      <c r="C6604" s="4">
        <v>17</v>
      </c>
      <c r="D6604" s="21">
        <f t="shared" si="552"/>
        <v>1908</v>
      </c>
      <c r="E6604" s="4">
        <v>1</v>
      </c>
      <c r="F6604" s="95">
        <f t="shared" si="553"/>
        <v>17</v>
      </c>
      <c r="H6604" s="62"/>
    </row>
    <row r="6605" spans="1:8" x14ac:dyDescent="0.25">
      <c r="A6605" s="105" t="s">
        <v>16</v>
      </c>
      <c r="B6605" s="19">
        <v>44168</v>
      </c>
      <c r="C6605" s="4">
        <v>335</v>
      </c>
      <c r="D6605" s="21">
        <f t="shared" si="552"/>
        <v>20128</v>
      </c>
      <c r="E6605" s="4">
        <v>4</v>
      </c>
      <c r="F6605" s="95">
        <f t="shared" si="553"/>
        <v>576</v>
      </c>
      <c r="H6605" s="62"/>
    </row>
    <row r="6606" spans="1:8" x14ac:dyDescent="0.25">
      <c r="A6606" s="105" t="s">
        <v>30</v>
      </c>
      <c r="B6606" s="19">
        <v>44168</v>
      </c>
      <c r="C6606" s="4">
        <v>316</v>
      </c>
      <c r="D6606" s="21">
        <f t="shared" si="552"/>
        <v>23861</v>
      </c>
      <c r="E6606" s="4">
        <v>9</v>
      </c>
      <c r="F6606" s="95">
        <f t="shared" si="553"/>
        <v>398</v>
      </c>
      <c r="H6606" s="62"/>
    </row>
    <row r="6607" spans="1:8" x14ac:dyDescent="0.25">
      <c r="A6607" s="105" t="s">
        <v>21</v>
      </c>
      <c r="B6607" s="19">
        <v>44168</v>
      </c>
      <c r="C6607" s="4">
        <v>532</v>
      </c>
      <c r="D6607" s="21">
        <f t="shared" si="552"/>
        <v>116244</v>
      </c>
      <c r="E6607" s="4">
        <v>8</v>
      </c>
      <c r="F6607" s="95">
        <f t="shared" si="553"/>
        <v>2038</v>
      </c>
      <c r="H6607" s="62"/>
    </row>
    <row r="6608" spans="1:8" x14ac:dyDescent="0.25">
      <c r="A6608" s="105" t="s">
        <v>31</v>
      </c>
      <c r="B6608" s="19">
        <v>44168</v>
      </c>
      <c r="C6608" s="4">
        <v>374</v>
      </c>
      <c r="D6608" s="21">
        <f t="shared" si="552"/>
        <v>7876</v>
      </c>
      <c r="E6608" s="4">
        <v>0</v>
      </c>
      <c r="F6608" s="95">
        <f t="shared" si="553"/>
        <v>88</v>
      </c>
      <c r="H6608" s="62"/>
    </row>
    <row r="6609" spans="1:8" x14ac:dyDescent="0.25">
      <c r="A6609" s="105" t="s">
        <v>32</v>
      </c>
      <c r="B6609" s="19">
        <v>44168</v>
      </c>
      <c r="C6609" s="4">
        <v>184</v>
      </c>
      <c r="D6609" s="21">
        <f t="shared" si="552"/>
        <v>23984</v>
      </c>
      <c r="E6609" s="4">
        <v>3</v>
      </c>
      <c r="F6609" s="95">
        <f t="shared" si="553"/>
        <v>478</v>
      </c>
      <c r="H6609" s="62"/>
    </row>
    <row r="6610" spans="1:8" x14ac:dyDescent="0.25">
      <c r="A6610" s="105" t="s">
        <v>42</v>
      </c>
      <c r="B6610" s="19">
        <v>44168</v>
      </c>
      <c r="C6610" s="4">
        <v>2</v>
      </c>
      <c r="D6610" s="21">
        <f t="shared" si="552"/>
        <v>189</v>
      </c>
      <c r="E6610" s="4">
        <v>0</v>
      </c>
      <c r="F6610" s="95">
        <f t="shared" si="553"/>
        <v>3</v>
      </c>
      <c r="H6610" s="62"/>
    </row>
    <row r="6611" spans="1:8" x14ac:dyDescent="0.25">
      <c r="A6611" s="105" t="s">
        <v>33</v>
      </c>
      <c r="B6611" s="19">
        <v>44168</v>
      </c>
      <c r="C6611" s="4">
        <v>7</v>
      </c>
      <c r="D6611" s="21">
        <f t="shared" si="552"/>
        <v>18410</v>
      </c>
      <c r="E6611" s="4">
        <v>0</v>
      </c>
      <c r="F6611" s="95">
        <f t="shared" si="553"/>
        <v>850</v>
      </c>
      <c r="H6611" s="62"/>
    </row>
    <row r="6612" spans="1:8" x14ac:dyDescent="0.25">
      <c r="A6612" s="105" t="s">
        <v>34</v>
      </c>
      <c r="B6612" s="19">
        <v>44168</v>
      </c>
      <c r="C6612" s="4">
        <v>97</v>
      </c>
      <c r="D6612" s="21">
        <f t="shared" si="552"/>
        <v>6074</v>
      </c>
      <c r="E6612" s="4">
        <v>2</v>
      </c>
      <c r="F6612" s="95">
        <f t="shared" si="553"/>
        <v>87</v>
      </c>
      <c r="H6612" s="62"/>
    </row>
    <row r="6613" spans="1:8" x14ac:dyDescent="0.25">
      <c r="A6613" s="105" t="s">
        <v>22</v>
      </c>
      <c r="B6613" s="19">
        <v>44168</v>
      </c>
      <c r="C6613" s="4">
        <v>32</v>
      </c>
      <c r="D6613" s="21">
        <f t="shared" si="552"/>
        <v>8800</v>
      </c>
      <c r="E6613" s="4">
        <v>3</v>
      </c>
      <c r="F6613" s="95">
        <f t="shared" si="553"/>
        <v>320</v>
      </c>
      <c r="H6613" s="62"/>
    </row>
    <row r="6614" spans="1:8" x14ac:dyDescent="0.25">
      <c r="A6614" s="105" t="s">
        <v>18</v>
      </c>
      <c r="B6614" s="19">
        <v>44168</v>
      </c>
      <c r="C6614" s="4">
        <v>242</v>
      </c>
      <c r="D6614" s="21">
        <f t="shared" si="552"/>
        <v>57265</v>
      </c>
      <c r="E6614" s="4">
        <v>8</v>
      </c>
      <c r="F6614" s="95">
        <f t="shared" si="553"/>
        <v>1120</v>
      </c>
      <c r="H6614" s="62"/>
    </row>
    <row r="6615" spans="1:8" x14ac:dyDescent="0.25">
      <c r="A6615" s="105" t="s">
        <v>24</v>
      </c>
      <c r="B6615" s="19">
        <v>44168</v>
      </c>
      <c r="C6615" s="4">
        <v>9</v>
      </c>
      <c r="D6615" s="21">
        <f t="shared" si="552"/>
        <v>542</v>
      </c>
      <c r="E6615" s="4">
        <v>0</v>
      </c>
      <c r="F6615" s="95">
        <f t="shared" si="553"/>
        <v>9</v>
      </c>
      <c r="H6615" s="62"/>
    </row>
    <row r="6616" spans="1:8" x14ac:dyDescent="0.25">
      <c r="A6616" s="105" t="s">
        <v>20</v>
      </c>
      <c r="B6616" s="19">
        <v>44168</v>
      </c>
      <c r="C6616" s="4">
        <v>554</v>
      </c>
      <c r="D6616" s="21">
        <f t="shared" si="552"/>
        <v>33355</v>
      </c>
      <c r="E6616" s="4">
        <v>0</v>
      </c>
      <c r="F6616" s="95">
        <f t="shared" si="553"/>
        <v>642</v>
      </c>
      <c r="H6616" s="62"/>
    </row>
    <row r="6617" spans="1:8" x14ac:dyDescent="0.25">
      <c r="A6617" s="105" t="s">
        <v>19</v>
      </c>
      <c r="B6617" s="19">
        <v>44168</v>
      </c>
      <c r="C6617" s="4">
        <v>209</v>
      </c>
      <c r="D6617" s="21">
        <f t="shared" si="552"/>
        <v>32416</v>
      </c>
      <c r="E6617" s="4">
        <v>2</v>
      </c>
      <c r="F6617" s="95">
        <f t="shared" si="553"/>
        <v>796</v>
      </c>
      <c r="H6617" s="62"/>
    </row>
    <row r="6618" spans="1:8" x14ac:dyDescent="0.25">
      <c r="A6618" s="105" t="s">
        <v>35</v>
      </c>
      <c r="B6618" s="19">
        <v>44168</v>
      </c>
      <c r="C6618" s="4">
        <v>81</v>
      </c>
      <c r="D6618" s="21">
        <f t="shared" ref="D6618:D6624" si="554">C6618+D6594</f>
        <v>21332</v>
      </c>
      <c r="E6618" s="4">
        <v>2</v>
      </c>
      <c r="F6618" s="95">
        <f t="shared" si="553"/>
        <v>986</v>
      </c>
      <c r="H6618" s="62"/>
    </row>
    <row r="6619" spans="1:8" x14ac:dyDescent="0.25">
      <c r="A6619" s="105" t="s">
        <v>36</v>
      </c>
      <c r="B6619" s="19">
        <v>44168</v>
      </c>
      <c r="C6619" s="4">
        <v>168</v>
      </c>
      <c r="D6619" s="21">
        <f t="shared" si="554"/>
        <v>8235</v>
      </c>
      <c r="E6619" s="4">
        <v>0</v>
      </c>
      <c r="F6619" s="95">
        <f t="shared" si="553"/>
        <v>173</v>
      </c>
      <c r="H6619" s="62"/>
    </row>
    <row r="6620" spans="1:8" x14ac:dyDescent="0.25">
      <c r="A6620" s="105" t="s">
        <v>37</v>
      </c>
      <c r="B6620" s="19">
        <v>44168</v>
      </c>
      <c r="C6620" s="4">
        <v>149</v>
      </c>
      <c r="D6620" s="21">
        <f t="shared" si="554"/>
        <v>14958</v>
      </c>
      <c r="E6620" s="4">
        <v>8</v>
      </c>
      <c r="F6620" s="95">
        <f t="shared" si="553"/>
        <v>228</v>
      </c>
      <c r="H6620" s="62"/>
    </row>
    <row r="6621" spans="1:8" x14ac:dyDescent="0.25">
      <c r="A6621" s="105" t="s">
        <v>38</v>
      </c>
      <c r="B6621" s="19">
        <v>44168</v>
      </c>
      <c r="C6621" s="4">
        <v>218</v>
      </c>
      <c r="D6621" s="21">
        <f t="shared" si="554"/>
        <v>16696</v>
      </c>
      <c r="E6621" s="4">
        <v>6</v>
      </c>
      <c r="F6621" s="95">
        <f t="shared" si="553"/>
        <v>290</v>
      </c>
      <c r="H6621" s="62"/>
    </row>
    <row r="6622" spans="1:8" x14ac:dyDescent="0.25">
      <c r="A6622" s="105" t="s">
        <v>23</v>
      </c>
      <c r="B6622" s="19">
        <v>44168</v>
      </c>
      <c r="C6622" s="4">
        <v>1332</v>
      </c>
      <c r="D6622" s="21">
        <f t="shared" si="554"/>
        <v>151684</v>
      </c>
      <c r="E6622" s="4">
        <v>38</v>
      </c>
      <c r="F6622" s="95">
        <f t="shared" si="553"/>
        <v>2367</v>
      </c>
      <c r="H6622" s="62"/>
    </row>
    <row r="6623" spans="1:8" x14ac:dyDescent="0.25">
      <c r="A6623" s="105" t="s">
        <v>39</v>
      </c>
      <c r="B6623" s="19">
        <v>44168</v>
      </c>
      <c r="C6623" s="4">
        <v>99</v>
      </c>
      <c r="D6623" s="21">
        <f t="shared" si="554"/>
        <v>15942</v>
      </c>
      <c r="E6623" s="4">
        <v>4</v>
      </c>
      <c r="F6623" s="95">
        <f t="shared" si="553"/>
        <v>195</v>
      </c>
      <c r="H6623" s="62"/>
    </row>
    <row r="6624" spans="1:8" x14ac:dyDescent="0.25">
      <c r="A6624" s="105" t="s">
        <v>40</v>
      </c>
      <c r="B6624" s="19">
        <v>44168</v>
      </c>
      <c r="C6624" s="4">
        <v>93</v>
      </c>
      <c r="D6624" s="21">
        <f t="shared" si="554"/>
        <v>16481</v>
      </c>
      <c r="E6624" s="4">
        <v>1</v>
      </c>
      <c r="F6624" s="95">
        <f t="shared" si="553"/>
        <v>236</v>
      </c>
      <c r="H6624" s="62"/>
    </row>
    <row r="6625" spans="1:8" ht="15.75" thickBot="1" x14ac:dyDescent="0.3">
      <c r="A6625" s="106" t="s">
        <v>41</v>
      </c>
      <c r="B6625" s="36">
        <v>44168</v>
      </c>
      <c r="C6625" s="37">
        <v>391</v>
      </c>
      <c r="D6625" s="98">
        <f t="shared" ref="D6625:D6656" si="555">C6625+D6601</f>
        <v>66877</v>
      </c>
      <c r="E6625" s="37">
        <v>6</v>
      </c>
      <c r="F6625" s="96">
        <f t="shared" si="553"/>
        <v>1228</v>
      </c>
      <c r="H6625" s="62"/>
    </row>
    <row r="6626" spans="1:8" ht="15.75" thickBot="1" x14ac:dyDescent="0.3">
      <c r="A6626" s="45" t="s">
        <v>17</v>
      </c>
      <c r="B6626" s="36">
        <v>44169</v>
      </c>
      <c r="C6626" s="31">
        <v>1790</v>
      </c>
      <c r="D6626" s="97">
        <f t="shared" si="555"/>
        <v>626384</v>
      </c>
      <c r="E6626" s="31">
        <v>84</v>
      </c>
      <c r="F6626" s="94">
        <f t="shared" ref="F6626:F6657" si="556">E6626+F6602</f>
        <v>20964</v>
      </c>
    </row>
    <row r="6627" spans="1:8" ht="15.75" thickBot="1" x14ac:dyDescent="0.3">
      <c r="A6627" s="105" t="s">
        <v>44</v>
      </c>
      <c r="B6627" s="36">
        <v>44169</v>
      </c>
      <c r="C6627" s="4">
        <v>313</v>
      </c>
      <c r="D6627" s="21">
        <f t="shared" si="555"/>
        <v>160194</v>
      </c>
      <c r="E6627" s="31">
        <v>6</v>
      </c>
      <c r="F6627" s="95">
        <f t="shared" si="556"/>
        <v>5283</v>
      </c>
    </row>
    <row r="6628" spans="1:8" ht="15.75" thickBot="1" x14ac:dyDescent="0.3">
      <c r="A6628" s="105" t="s">
        <v>29</v>
      </c>
      <c r="B6628" s="36">
        <v>44169</v>
      </c>
      <c r="C6628" s="4">
        <v>33</v>
      </c>
      <c r="D6628" s="21">
        <f t="shared" si="555"/>
        <v>1941</v>
      </c>
      <c r="E6628" s="31">
        <v>0</v>
      </c>
      <c r="F6628" s="95">
        <f t="shared" si="556"/>
        <v>17</v>
      </c>
    </row>
    <row r="6629" spans="1:8" ht="15.75" thickBot="1" x14ac:dyDescent="0.3">
      <c r="A6629" s="105" t="s">
        <v>16</v>
      </c>
      <c r="B6629" s="36">
        <v>44169</v>
      </c>
      <c r="C6629" s="4">
        <v>205</v>
      </c>
      <c r="D6629" s="21">
        <f t="shared" si="555"/>
        <v>20333</v>
      </c>
      <c r="E6629" s="31">
        <v>5</v>
      </c>
      <c r="F6629" s="95">
        <f t="shared" si="556"/>
        <v>581</v>
      </c>
    </row>
    <row r="6630" spans="1:8" ht="15.75" thickBot="1" x14ac:dyDescent="0.3">
      <c r="A6630" s="105" t="s">
        <v>30</v>
      </c>
      <c r="B6630" s="36">
        <v>44169</v>
      </c>
      <c r="C6630" s="4">
        <v>336</v>
      </c>
      <c r="D6630" s="21">
        <f t="shared" si="555"/>
        <v>24197</v>
      </c>
      <c r="E6630" s="31">
        <v>2</v>
      </c>
      <c r="F6630" s="95">
        <f t="shared" si="556"/>
        <v>400</v>
      </c>
    </row>
    <row r="6631" spans="1:8" ht="15.75" thickBot="1" x14ac:dyDescent="0.3">
      <c r="A6631" s="105" t="s">
        <v>21</v>
      </c>
      <c r="B6631" s="36">
        <v>44169</v>
      </c>
      <c r="C6631" s="4">
        <v>555</v>
      </c>
      <c r="D6631" s="21">
        <f t="shared" si="555"/>
        <v>116799</v>
      </c>
      <c r="E6631" s="31">
        <v>10</v>
      </c>
      <c r="F6631" s="95">
        <f t="shared" si="556"/>
        <v>2048</v>
      </c>
    </row>
    <row r="6632" spans="1:8" ht="15.75" thickBot="1" x14ac:dyDescent="0.3">
      <c r="A6632" s="105" t="s">
        <v>31</v>
      </c>
      <c r="B6632" s="36">
        <v>44169</v>
      </c>
      <c r="C6632" s="4">
        <v>522</v>
      </c>
      <c r="D6632" s="21">
        <f t="shared" si="555"/>
        <v>8398</v>
      </c>
      <c r="E6632" s="31">
        <v>0</v>
      </c>
      <c r="F6632" s="95">
        <f t="shared" si="556"/>
        <v>88</v>
      </c>
    </row>
    <row r="6633" spans="1:8" ht="15.75" thickBot="1" x14ac:dyDescent="0.3">
      <c r="A6633" s="105" t="s">
        <v>32</v>
      </c>
      <c r="B6633" s="36">
        <v>44169</v>
      </c>
      <c r="C6633" s="4">
        <v>197</v>
      </c>
      <c r="D6633" s="21">
        <f t="shared" si="555"/>
        <v>24181</v>
      </c>
      <c r="E6633" s="31">
        <v>7</v>
      </c>
      <c r="F6633" s="95">
        <f t="shared" si="556"/>
        <v>485</v>
      </c>
    </row>
    <row r="6634" spans="1:8" ht="15.75" thickBot="1" x14ac:dyDescent="0.3">
      <c r="A6634" s="105" t="s">
        <v>42</v>
      </c>
      <c r="B6634" s="36">
        <v>44169</v>
      </c>
      <c r="C6634" s="4">
        <v>0</v>
      </c>
      <c r="D6634" s="21">
        <f t="shared" si="555"/>
        <v>189</v>
      </c>
      <c r="E6634" s="31">
        <v>0</v>
      </c>
      <c r="F6634" s="95">
        <f t="shared" si="556"/>
        <v>3</v>
      </c>
    </row>
    <row r="6635" spans="1:8" ht="15.75" thickBot="1" x14ac:dyDescent="0.3">
      <c r="A6635" s="105" t="s">
        <v>33</v>
      </c>
      <c r="B6635" s="36">
        <v>44169</v>
      </c>
      <c r="C6635" s="4">
        <v>2</v>
      </c>
      <c r="D6635" s="21">
        <f t="shared" si="555"/>
        <v>18412</v>
      </c>
      <c r="E6635" s="31">
        <v>0</v>
      </c>
      <c r="F6635" s="95">
        <f t="shared" si="556"/>
        <v>850</v>
      </c>
    </row>
    <row r="6636" spans="1:8" ht="15.75" thickBot="1" x14ac:dyDescent="0.3">
      <c r="A6636" s="105" t="s">
        <v>34</v>
      </c>
      <c r="B6636" s="36">
        <v>44169</v>
      </c>
      <c r="C6636" s="4">
        <v>77</v>
      </c>
      <c r="D6636" s="21">
        <f t="shared" si="555"/>
        <v>6151</v>
      </c>
      <c r="E6636" s="31">
        <v>1</v>
      </c>
      <c r="F6636" s="95">
        <f t="shared" si="556"/>
        <v>88</v>
      </c>
    </row>
    <row r="6637" spans="1:8" ht="15.75" thickBot="1" x14ac:dyDescent="0.3">
      <c r="A6637" s="105" t="s">
        <v>22</v>
      </c>
      <c r="B6637" s="36">
        <v>44169</v>
      </c>
      <c r="C6637" s="4">
        <v>12</v>
      </c>
      <c r="D6637" s="21">
        <f t="shared" si="555"/>
        <v>8812</v>
      </c>
      <c r="E6637" s="31">
        <v>0</v>
      </c>
      <c r="F6637" s="95">
        <f t="shared" si="556"/>
        <v>320</v>
      </c>
    </row>
    <row r="6638" spans="1:8" ht="15.75" thickBot="1" x14ac:dyDescent="0.3">
      <c r="A6638" s="105" t="s">
        <v>18</v>
      </c>
      <c r="B6638" s="36">
        <v>44169</v>
      </c>
      <c r="C6638" s="4">
        <v>162</v>
      </c>
      <c r="D6638" s="21">
        <f t="shared" si="555"/>
        <v>57427</v>
      </c>
      <c r="E6638" s="31">
        <v>19</v>
      </c>
      <c r="F6638" s="95">
        <f t="shared" si="556"/>
        <v>1139</v>
      </c>
    </row>
    <row r="6639" spans="1:8" ht="15.75" thickBot="1" x14ac:dyDescent="0.3">
      <c r="A6639" s="105" t="s">
        <v>24</v>
      </c>
      <c r="B6639" s="36">
        <v>44169</v>
      </c>
      <c r="C6639" s="4">
        <v>21</v>
      </c>
      <c r="D6639" s="21">
        <f t="shared" si="555"/>
        <v>563</v>
      </c>
      <c r="E6639" s="31">
        <v>0</v>
      </c>
      <c r="F6639" s="95">
        <f t="shared" si="556"/>
        <v>9</v>
      </c>
    </row>
    <row r="6640" spans="1:8" ht="15.75" thickBot="1" x14ac:dyDescent="0.3">
      <c r="A6640" s="105" t="s">
        <v>20</v>
      </c>
      <c r="B6640" s="36">
        <v>44169</v>
      </c>
      <c r="C6640" s="4">
        <v>600</v>
      </c>
      <c r="D6640" s="21">
        <f t="shared" si="555"/>
        <v>33955</v>
      </c>
      <c r="E6640" s="31">
        <v>6</v>
      </c>
      <c r="F6640" s="95">
        <f t="shared" si="556"/>
        <v>648</v>
      </c>
    </row>
    <row r="6641" spans="1:6" ht="15.75" thickBot="1" x14ac:dyDescent="0.3">
      <c r="A6641" s="105" t="s">
        <v>19</v>
      </c>
      <c r="B6641" s="36">
        <v>44169</v>
      </c>
      <c r="C6641" s="4">
        <v>201</v>
      </c>
      <c r="D6641" s="21">
        <f t="shared" si="555"/>
        <v>32617</v>
      </c>
      <c r="E6641" s="31">
        <v>0</v>
      </c>
      <c r="F6641" s="95">
        <f t="shared" si="556"/>
        <v>796</v>
      </c>
    </row>
    <row r="6642" spans="1:6" ht="15.75" thickBot="1" x14ac:dyDescent="0.3">
      <c r="A6642" s="105" t="s">
        <v>35</v>
      </c>
      <c r="B6642" s="36">
        <v>44169</v>
      </c>
      <c r="C6642" s="4">
        <v>48</v>
      </c>
      <c r="D6642" s="21">
        <f t="shared" si="555"/>
        <v>21380</v>
      </c>
      <c r="E6642" s="31">
        <v>4</v>
      </c>
      <c r="F6642" s="95">
        <f t="shared" si="556"/>
        <v>990</v>
      </c>
    </row>
    <row r="6643" spans="1:6" ht="15.75" thickBot="1" x14ac:dyDescent="0.3">
      <c r="A6643" s="105" t="s">
        <v>36</v>
      </c>
      <c r="B6643" s="36">
        <v>44169</v>
      </c>
      <c r="C6643" s="4">
        <v>159</v>
      </c>
      <c r="D6643" s="21">
        <f t="shared" si="555"/>
        <v>8394</v>
      </c>
      <c r="E6643" s="31">
        <v>0</v>
      </c>
      <c r="F6643" s="95">
        <f t="shared" si="556"/>
        <v>173</v>
      </c>
    </row>
    <row r="6644" spans="1:6" ht="15.75" thickBot="1" x14ac:dyDescent="0.3">
      <c r="A6644" s="105" t="s">
        <v>37</v>
      </c>
      <c r="B6644" s="36">
        <v>44169</v>
      </c>
      <c r="C6644" s="4">
        <v>72</v>
      </c>
      <c r="D6644" s="21">
        <f t="shared" si="555"/>
        <v>15030</v>
      </c>
      <c r="E6644" s="31">
        <v>7</v>
      </c>
      <c r="F6644" s="95">
        <f t="shared" si="556"/>
        <v>235</v>
      </c>
    </row>
    <row r="6645" spans="1:6" ht="15.75" thickBot="1" x14ac:dyDescent="0.3">
      <c r="A6645" s="105" t="s">
        <v>38</v>
      </c>
      <c r="B6645" s="36">
        <v>44169</v>
      </c>
      <c r="C6645" s="4">
        <v>242</v>
      </c>
      <c r="D6645" s="21">
        <f t="shared" si="555"/>
        <v>16938</v>
      </c>
      <c r="E6645" s="31">
        <v>6</v>
      </c>
      <c r="F6645" s="95">
        <f t="shared" si="556"/>
        <v>296</v>
      </c>
    </row>
    <row r="6646" spans="1:6" ht="15.75" thickBot="1" x14ac:dyDescent="0.3">
      <c r="A6646" s="105" t="s">
        <v>23</v>
      </c>
      <c r="B6646" s="36">
        <v>44169</v>
      </c>
      <c r="C6646" s="4">
        <v>991</v>
      </c>
      <c r="D6646" s="21">
        <f t="shared" si="555"/>
        <v>152675</v>
      </c>
      <c r="E6646" s="31">
        <v>14</v>
      </c>
      <c r="F6646" s="95">
        <f t="shared" si="556"/>
        <v>2381</v>
      </c>
    </row>
    <row r="6647" spans="1:6" ht="15.75" thickBot="1" x14ac:dyDescent="0.3">
      <c r="A6647" s="105" t="s">
        <v>39</v>
      </c>
      <c r="B6647" s="36">
        <v>44169</v>
      </c>
      <c r="C6647" s="4">
        <v>82</v>
      </c>
      <c r="D6647" s="21">
        <f t="shared" si="555"/>
        <v>16024</v>
      </c>
      <c r="E6647" s="31">
        <v>3</v>
      </c>
      <c r="F6647" s="95">
        <f t="shared" si="556"/>
        <v>198</v>
      </c>
    </row>
    <row r="6648" spans="1:6" ht="15.75" thickBot="1" x14ac:dyDescent="0.3">
      <c r="A6648" s="105" t="s">
        <v>40</v>
      </c>
      <c r="B6648" s="36">
        <v>44169</v>
      </c>
      <c r="C6648" s="4">
        <v>107</v>
      </c>
      <c r="D6648" s="21">
        <f t="shared" si="555"/>
        <v>16588</v>
      </c>
      <c r="E6648" s="31">
        <v>1</v>
      </c>
      <c r="F6648" s="95">
        <f t="shared" si="556"/>
        <v>237</v>
      </c>
    </row>
    <row r="6649" spans="1:6" ht="15.75" thickBot="1" x14ac:dyDescent="0.3">
      <c r="A6649" s="106" t="s">
        <v>41</v>
      </c>
      <c r="B6649" s="36">
        <v>44169</v>
      </c>
      <c r="C6649" s="4">
        <v>172</v>
      </c>
      <c r="D6649" s="98">
        <f t="shared" si="555"/>
        <v>67049</v>
      </c>
      <c r="E6649" s="31">
        <v>12</v>
      </c>
      <c r="F6649" s="96">
        <f t="shared" si="556"/>
        <v>1240</v>
      </c>
    </row>
    <row r="6650" spans="1:6" ht="15.75" thickBot="1" x14ac:dyDescent="0.3">
      <c r="A6650" s="45" t="s">
        <v>17</v>
      </c>
      <c r="B6650" s="36">
        <v>44170</v>
      </c>
      <c r="C6650" s="4">
        <v>1374</v>
      </c>
      <c r="D6650" s="97">
        <f t="shared" si="555"/>
        <v>627758</v>
      </c>
      <c r="E6650" s="4">
        <v>25</v>
      </c>
      <c r="F6650" s="94">
        <f t="shared" si="556"/>
        <v>20989</v>
      </c>
    </row>
    <row r="6651" spans="1:6" ht="15.75" thickBot="1" x14ac:dyDescent="0.3">
      <c r="A6651" s="105" t="s">
        <v>44</v>
      </c>
      <c r="B6651" s="36">
        <v>44170</v>
      </c>
      <c r="C6651" s="4">
        <v>253</v>
      </c>
      <c r="D6651" s="21">
        <f t="shared" si="555"/>
        <v>160447</v>
      </c>
      <c r="E6651" s="4">
        <v>9</v>
      </c>
      <c r="F6651" s="95">
        <f t="shared" si="556"/>
        <v>5292</v>
      </c>
    </row>
    <row r="6652" spans="1:6" ht="15.75" thickBot="1" x14ac:dyDescent="0.3">
      <c r="A6652" s="105" t="s">
        <v>29</v>
      </c>
      <c r="B6652" s="36">
        <v>44170</v>
      </c>
      <c r="C6652" s="4">
        <v>3</v>
      </c>
      <c r="D6652" s="21">
        <f t="shared" si="555"/>
        <v>1944</v>
      </c>
      <c r="E6652" s="4">
        <v>0</v>
      </c>
      <c r="F6652" s="95">
        <f t="shared" si="556"/>
        <v>17</v>
      </c>
    </row>
    <row r="6653" spans="1:6" ht="15.75" thickBot="1" x14ac:dyDescent="0.3">
      <c r="A6653" s="105" t="s">
        <v>16</v>
      </c>
      <c r="B6653" s="36">
        <v>44170</v>
      </c>
      <c r="C6653" s="4">
        <v>263</v>
      </c>
      <c r="D6653" s="21">
        <f t="shared" si="555"/>
        <v>20596</v>
      </c>
      <c r="E6653" s="4">
        <v>6</v>
      </c>
      <c r="F6653" s="95">
        <f t="shared" si="556"/>
        <v>587</v>
      </c>
    </row>
    <row r="6654" spans="1:6" ht="15.75" thickBot="1" x14ac:dyDescent="0.3">
      <c r="A6654" s="105" t="s">
        <v>30</v>
      </c>
      <c r="B6654" s="36">
        <v>44170</v>
      </c>
      <c r="C6654" s="4">
        <v>214</v>
      </c>
      <c r="D6654" s="21">
        <f t="shared" si="555"/>
        <v>24411</v>
      </c>
      <c r="E6654" s="4">
        <v>0</v>
      </c>
      <c r="F6654" s="95">
        <f t="shared" si="556"/>
        <v>400</v>
      </c>
    </row>
    <row r="6655" spans="1:6" ht="15.75" thickBot="1" x14ac:dyDescent="0.3">
      <c r="A6655" s="105" t="s">
        <v>21</v>
      </c>
      <c r="B6655" s="36">
        <v>44170</v>
      </c>
      <c r="C6655" s="4">
        <v>451</v>
      </c>
      <c r="D6655" s="21">
        <f t="shared" si="555"/>
        <v>117250</v>
      </c>
      <c r="E6655" s="4">
        <v>25</v>
      </c>
      <c r="F6655" s="95">
        <f t="shared" si="556"/>
        <v>2073</v>
      </c>
    </row>
    <row r="6656" spans="1:6" ht="15.75" thickBot="1" x14ac:dyDescent="0.3">
      <c r="A6656" s="105" t="s">
        <v>31</v>
      </c>
      <c r="B6656" s="36">
        <v>44170</v>
      </c>
      <c r="C6656" s="4">
        <v>192</v>
      </c>
      <c r="D6656" s="21">
        <f t="shared" si="555"/>
        <v>8590</v>
      </c>
      <c r="E6656" s="4">
        <v>7</v>
      </c>
      <c r="F6656" s="95">
        <f t="shared" si="556"/>
        <v>95</v>
      </c>
    </row>
    <row r="6657" spans="1:6" ht="15.75" thickBot="1" x14ac:dyDescent="0.3">
      <c r="A6657" s="105" t="s">
        <v>32</v>
      </c>
      <c r="B6657" s="36">
        <v>44170</v>
      </c>
      <c r="C6657" s="4">
        <v>212</v>
      </c>
      <c r="D6657" s="21">
        <f t="shared" ref="D6657:D6688" si="557">C6657+D6633</f>
        <v>24393</v>
      </c>
      <c r="E6657" s="4">
        <v>1</v>
      </c>
      <c r="F6657" s="95">
        <f t="shared" si="556"/>
        <v>486</v>
      </c>
    </row>
    <row r="6658" spans="1:6" ht="15.75" thickBot="1" x14ac:dyDescent="0.3">
      <c r="A6658" s="105" t="s">
        <v>42</v>
      </c>
      <c r="B6658" s="36">
        <v>44170</v>
      </c>
      <c r="C6658" s="4">
        <v>1</v>
      </c>
      <c r="D6658" s="21">
        <f t="shared" si="557"/>
        <v>190</v>
      </c>
      <c r="E6658" s="4">
        <v>0</v>
      </c>
      <c r="F6658" s="95">
        <f t="shared" ref="F6658:F6689" si="558">E6658+F6634</f>
        <v>3</v>
      </c>
    </row>
    <row r="6659" spans="1:6" ht="15.75" thickBot="1" x14ac:dyDescent="0.3">
      <c r="A6659" s="105" t="s">
        <v>33</v>
      </c>
      <c r="B6659" s="36">
        <v>44170</v>
      </c>
      <c r="C6659" s="4">
        <v>3</v>
      </c>
      <c r="D6659" s="21">
        <f t="shared" si="557"/>
        <v>18415</v>
      </c>
      <c r="E6659" s="4">
        <v>0</v>
      </c>
      <c r="F6659" s="95">
        <f t="shared" si="558"/>
        <v>850</v>
      </c>
    </row>
    <row r="6660" spans="1:6" ht="15.75" thickBot="1" x14ac:dyDescent="0.3">
      <c r="A6660" s="105" t="s">
        <v>34</v>
      </c>
      <c r="B6660" s="36">
        <v>44170</v>
      </c>
      <c r="C6660" s="4">
        <v>68</v>
      </c>
      <c r="D6660" s="21">
        <f t="shared" si="557"/>
        <v>6219</v>
      </c>
      <c r="E6660" s="4">
        <v>0</v>
      </c>
      <c r="F6660" s="95">
        <f t="shared" si="558"/>
        <v>88</v>
      </c>
    </row>
    <row r="6661" spans="1:6" ht="15.75" thickBot="1" x14ac:dyDescent="0.3">
      <c r="A6661" s="105" t="s">
        <v>22</v>
      </c>
      <c r="B6661" s="36">
        <v>44170</v>
      </c>
      <c r="C6661" s="4">
        <v>22</v>
      </c>
      <c r="D6661" s="21">
        <f t="shared" si="557"/>
        <v>8834</v>
      </c>
      <c r="E6661" s="4">
        <v>0</v>
      </c>
      <c r="F6661" s="95">
        <f t="shared" si="558"/>
        <v>320</v>
      </c>
    </row>
    <row r="6662" spans="1:6" ht="15.75" thickBot="1" x14ac:dyDescent="0.3">
      <c r="A6662" s="105" t="s">
        <v>18</v>
      </c>
      <c r="B6662" s="36">
        <v>44170</v>
      </c>
      <c r="C6662" s="4">
        <v>100</v>
      </c>
      <c r="D6662" s="21">
        <f t="shared" si="557"/>
        <v>57527</v>
      </c>
      <c r="E6662" s="4">
        <v>4</v>
      </c>
      <c r="F6662" s="95">
        <f t="shared" si="558"/>
        <v>1143</v>
      </c>
    </row>
    <row r="6663" spans="1:6" ht="15.75" thickBot="1" x14ac:dyDescent="0.3">
      <c r="A6663" s="105" t="s">
        <v>24</v>
      </c>
      <c r="B6663" s="36">
        <v>44170</v>
      </c>
      <c r="C6663" s="4">
        <v>5</v>
      </c>
      <c r="D6663" s="21">
        <f t="shared" si="557"/>
        <v>568</v>
      </c>
      <c r="E6663" s="4">
        <v>0</v>
      </c>
      <c r="F6663" s="95">
        <f t="shared" si="558"/>
        <v>9</v>
      </c>
    </row>
    <row r="6664" spans="1:6" ht="15.75" thickBot="1" x14ac:dyDescent="0.3">
      <c r="A6664" s="105" t="s">
        <v>20</v>
      </c>
      <c r="B6664" s="36">
        <v>44170</v>
      </c>
      <c r="C6664" s="4">
        <v>289</v>
      </c>
      <c r="D6664" s="21">
        <f t="shared" si="557"/>
        <v>34244</v>
      </c>
      <c r="E6664" s="4">
        <v>0</v>
      </c>
      <c r="F6664" s="95">
        <f t="shared" si="558"/>
        <v>648</v>
      </c>
    </row>
    <row r="6665" spans="1:6" ht="15.75" thickBot="1" x14ac:dyDescent="0.3">
      <c r="A6665" s="105" t="s">
        <v>19</v>
      </c>
      <c r="B6665" s="36">
        <v>44170</v>
      </c>
      <c r="C6665" s="4">
        <v>146</v>
      </c>
      <c r="D6665" s="21">
        <f t="shared" si="557"/>
        <v>32763</v>
      </c>
      <c r="E6665" s="4">
        <v>5</v>
      </c>
      <c r="F6665" s="95">
        <f t="shared" si="558"/>
        <v>801</v>
      </c>
    </row>
    <row r="6666" spans="1:6" ht="15.75" thickBot="1" x14ac:dyDescent="0.3">
      <c r="A6666" s="105" t="s">
        <v>35</v>
      </c>
      <c r="B6666" s="36">
        <v>44170</v>
      </c>
      <c r="C6666" s="4">
        <v>24</v>
      </c>
      <c r="D6666" s="21">
        <f t="shared" si="557"/>
        <v>21404</v>
      </c>
      <c r="E6666" s="4">
        <v>1</v>
      </c>
      <c r="F6666" s="95">
        <f t="shared" si="558"/>
        <v>991</v>
      </c>
    </row>
    <row r="6667" spans="1:6" ht="15.75" thickBot="1" x14ac:dyDescent="0.3">
      <c r="A6667" s="105" t="s">
        <v>36</v>
      </c>
      <c r="B6667" s="36">
        <v>44170</v>
      </c>
      <c r="C6667" s="4">
        <v>51</v>
      </c>
      <c r="D6667" s="21">
        <f t="shared" si="557"/>
        <v>8445</v>
      </c>
      <c r="E6667" s="4">
        <v>0</v>
      </c>
      <c r="F6667" s="95">
        <f t="shared" si="558"/>
        <v>173</v>
      </c>
    </row>
    <row r="6668" spans="1:6" ht="15.75" thickBot="1" x14ac:dyDescent="0.3">
      <c r="A6668" s="105" t="s">
        <v>37</v>
      </c>
      <c r="B6668" s="36">
        <v>44170</v>
      </c>
      <c r="C6668" s="4">
        <v>54</v>
      </c>
      <c r="D6668" s="21">
        <f t="shared" si="557"/>
        <v>15084</v>
      </c>
      <c r="E6668" s="4">
        <v>1</v>
      </c>
      <c r="F6668" s="95">
        <f t="shared" si="558"/>
        <v>236</v>
      </c>
    </row>
    <row r="6669" spans="1:6" ht="15.75" thickBot="1" x14ac:dyDescent="0.3">
      <c r="A6669" s="105" t="s">
        <v>38</v>
      </c>
      <c r="B6669" s="36">
        <v>44170</v>
      </c>
      <c r="C6669" s="4">
        <v>187</v>
      </c>
      <c r="D6669" s="21">
        <f t="shared" si="557"/>
        <v>17125</v>
      </c>
      <c r="E6669" s="4">
        <v>4</v>
      </c>
      <c r="F6669" s="95">
        <f t="shared" si="558"/>
        <v>300</v>
      </c>
    </row>
    <row r="6670" spans="1:6" ht="15.75" thickBot="1" x14ac:dyDescent="0.3">
      <c r="A6670" s="105" t="s">
        <v>23</v>
      </c>
      <c r="B6670" s="36">
        <v>44170</v>
      </c>
      <c r="C6670" s="4">
        <v>976</v>
      </c>
      <c r="D6670" s="21">
        <f t="shared" si="557"/>
        <v>153651</v>
      </c>
      <c r="E6670" s="4">
        <v>25</v>
      </c>
      <c r="F6670" s="95">
        <f t="shared" si="558"/>
        <v>2406</v>
      </c>
    </row>
    <row r="6671" spans="1:6" ht="15.75" thickBot="1" x14ac:dyDescent="0.3">
      <c r="A6671" s="105" t="s">
        <v>39</v>
      </c>
      <c r="B6671" s="36">
        <v>44170</v>
      </c>
      <c r="C6671" s="4">
        <v>83</v>
      </c>
      <c r="D6671" s="21">
        <f t="shared" si="557"/>
        <v>16107</v>
      </c>
      <c r="E6671" s="4">
        <v>1</v>
      </c>
      <c r="F6671" s="95">
        <f t="shared" si="558"/>
        <v>199</v>
      </c>
    </row>
    <row r="6672" spans="1:6" ht="15.75" thickBot="1" x14ac:dyDescent="0.3">
      <c r="A6672" s="105" t="s">
        <v>40</v>
      </c>
      <c r="B6672" s="36">
        <v>44170</v>
      </c>
      <c r="C6672" s="4">
        <v>96</v>
      </c>
      <c r="D6672" s="21">
        <f t="shared" si="557"/>
        <v>16684</v>
      </c>
      <c r="E6672" s="4">
        <v>0</v>
      </c>
      <c r="F6672" s="95">
        <f t="shared" si="558"/>
        <v>237</v>
      </c>
    </row>
    <row r="6673" spans="1:6" ht="15.75" thickBot="1" x14ac:dyDescent="0.3">
      <c r="A6673" s="106" t="s">
        <v>41</v>
      </c>
      <c r="B6673" s="36">
        <v>44170</v>
      </c>
      <c r="C6673" s="4">
        <v>134</v>
      </c>
      <c r="D6673" s="98">
        <f t="shared" si="557"/>
        <v>67183</v>
      </c>
      <c r="E6673" s="4">
        <v>7</v>
      </c>
      <c r="F6673" s="96">
        <f t="shared" si="558"/>
        <v>1247</v>
      </c>
    </row>
    <row r="6674" spans="1:6" ht="15.75" thickBot="1" x14ac:dyDescent="0.3">
      <c r="A6674" s="45" t="s">
        <v>17</v>
      </c>
      <c r="B6674" s="36">
        <v>44171</v>
      </c>
      <c r="C6674" s="4">
        <v>719</v>
      </c>
      <c r="D6674" s="97">
        <f t="shared" si="557"/>
        <v>628477</v>
      </c>
      <c r="E6674" s="4">
        <v>87</v>
      </c>
      <c r="F6674" s="94">
        <f t="shared" si="558"/>
        <v>21076</v>
      </c>
    </row>
    <row r="6675" spans="1:6" ht="15.75" thickBot="1" x14ac:dyDescent="0.3">
      <c r="A6675" s="105" t="s">
        <v>44</v>
      </c>
      <c r="B6675" s="36">
        <v>44171</v>
      </c>
      <c r="C6675" s="4">
        <v>226</v>
      </c>
      <c r="D6675" s="21">
        <f t="shared" si="557"/>
        <v>160673</v>
      </c>
      <c r="E6675" s="4">
        <v>3</v>
      </c>
      <c r="F6675" s="95">
        <f t="shared" si="558"/>
        <v>5295</v>
      </c>
    </row>
    <row r="6676" spans="1:6" ht="15.75" thickBot="1" x14ac:dyDescent="0.3">
      <c r="A6676" s="105" t="s">
        <v>29</v>
      </c>
      <c r="B6676" s="36">
        <v>44171</v>
      </c>
      <c r="C6676" s="4">
        <v>41</v>
      </c>
      <c r="D6676" s="21">
        <f t="shared" si="557"/>
        <v>1985</v>
      </c>
      <c r="E6676" s="4">
        <v>0</v>
      </c>
      <c r="F6676" s="95">
        <f t="shared" si="558"/>
        <v>17</v>
      </c>
    </row>
    <row r="6677" spans="1:6" ht="15.75" thickBot="1" x14ac:dyDescent="0.3">
      <c r="A6677" s="105" t="s">
        <v>16</v>
      </c>
      <c r="B6677" s="36">
        <v>44171</v>
      </c>
      <c r="C6677" s="4">
        <v>134</v>
      </c>
      <c r="D6677" s="21">
        <f t="shared" si="557"/>
        <v>20730</v>
      </c>
      <c r="E6677" s="4">
        <v>6</v>
      </c>
      <c r="F6677" s="95">
        <f t="shared" si="558"/>
        <v>593</v>
      </c>
    </row>
    <row r="6678" spans="1:6" ht="15.75" thickBot="1" x14ac:dyDescent="0.3">
      <c r="A6678" s="105" t="s">
        <v>30</v>
      </c>
      <c r="B6678" s="36">
        <v>44171</v>
      </c>
      <c r="C6678" s="4">
        <v>77</v>
      </c>
      <c r="D6678" s="21">
        <f t="shared" si="557"/>
        <v>24488</v>
      </c>
      <c r="E6678" s="4">
        <v>0</v>
      </c>
      <c r="F6678" s="95">
        <f t="shared" si="558"/>
        <v>400</v>
      </c>
    </row>
    <row r="6679" spans="1:6" ht="15.75" thickBot="1" x14ac:dyDescent="0.3">
      <c r="A6679" s="105" t="s">
        <v>21</v>
      </c>
      <c r="B6679" s="36">
        <v>44171</v>
      </c>
      <c r="C6679" s="4">
        <v>262</v>
      </c>
      <c r="D6679" s="21">
        <f t="shared" si="557"/>
        <v>117512</v>
      </c>
      <c r="E6679" s="4">
        <v>16</v>
      </c>
      <c r="F6679" s="95">
        <f t="shared" si="558"/>
        <v>2089</v>
      </c>
    </row>
    <row r="6680" spans="1:6" ht="15.75" thickBot="1" x14ac:dyDescent="0.3">
      <c r="A6680" s="105" t="s">
        <v>31</v>
      </c>
      <c r="B6680" s="36">
        <v>44171</v>
      </c>
      <c r="C6680" s="4">
        <v>87</v>
      </c>
      <c r="D6680" s="21">
        <f t="shared" si="557"/>
        <v>8677</v>
      </c>
      <c r="E6680" s="4">
        <v>9</v>
      </c>
      <c r="F6680" s="95">
        <f t="shared" si="558"/>
        <v>104</v>
      </c>
    </row>
    <row r="6681" spans="1:6" ht="15.75" thickBot="1" x14ac:dyDescent="0.3">
      <c r="A6681" s="105" t="s">
        <v>32</v>
      </c>
      <c r="B6681" s="36">
        <v>44171</v>
      </c>
      <c r="C6681" s="4">
        <v>127</v>
      </c>
      <c r="D6681" s="21">
        <f t="shared" si="557"/>
        <v>24520</v>
      </c>
      <c r="E6681" s="4">
        <v>1</v>
      </c>
      <c r="F6681" s="95">
        <f t="shared" si="558"/>
        <v>487</v>
      </c>
    </row>
    <row r="6682" spans="1:6" ht="15.75" thickBot="1" x14ac:dyDescent="0.3">
      <c r="A6682" s="105" t="s">
        <v>42</v>
      </c>
      <c r="B6682" s="36">
        <v>44171</v>
      </c>
      <c r="C6682" s="4">
        <v>-1</v>
      </c>
      <c r="D6682" s="21">
        <f t="shared" si="557"/>
        <v>189</v>
      </c>
      <c r="E6682" s="4">
        <v>0</v>
      </c>
      <c r="F6682" s="95">
        <f t="shared" si="558"/>
        <v>3</v>
      </c>
    </row>
    <row r="6683" spans="1:6" ht="15.75" thickBot="1" x14ac:dyDescent="0.3">
      <c r="A6683" s="105" t="s">
        <v>33</v>
      </c>
      <c r="B6683" s="36">
        <v>44171</v>
      </c>
      <c r="C6683" s="4">
        <v>0</v>
      </c>
      <c r="D6683" s="21">
        <f t="shared" si="557"/>
        <v>18415</v>
      </c>
      <c r="E6683" s="4">
        <v>1</v>
      </c>
      <c r="F6683" s="95">
        <f t="shared" si="558"/>
        <v>851</v>
      </c>
    </row>
    <row r="6684" spans="1:6" ht="15.75" thickBot="1" x14ac:dyDescent="0.3">
      <c r="A6684" s="105" t="s">
        <v>34</v>
      </c>
      <c r="B6684" s="36">
        <v>44171</v>
      </c>
      <c r="C6684" s="4">
        <v>61</v>
      </c>
      <c r="D6684" s="21">
        <f t="shared" si="557"/>
        <v>6280</v>
      </c>
      <c r="E6684" s="4">
        <v>0</v>
      </c>
      <c r="F6684" s="95">
        <f t="shared" si="558"/>
        <v>88</v>
      </c>
    </row>
    <row r="6685" spans="1:6" ht="15.75" thickBot="1" x14ac:dyDescent="0.3">
      <c r="A6685" s="105" t="s">
        <v>22</v>
      </c>
      <c r="B6685" s="36">
        <v>44171</v>
      </c>
      <c r="C6685" s="4">
        <v>5</v>
      </c>
      <c r="D6685" s="21">
        <f t="shared" si="557"/>
        <v>8839</v>
      </c>
      <c r="E6685" s="4">
        <v>1</v>
      </c>
      <c r="F6685" s="95">
        <f t="shared" si="558"/>
        <v>321</v>
      </c>
    </row>
    <row r="6686" spans="1:6" ht="15.75" thickBot="1" x14ac:dyDescent="0.3">
      <c r="A6686" s="105" t="s">
        <v>18</v>
      </c>
      <c r="B6686" s="36">
        <v>44171</v>
      </c>
      <c r="C6686" s="4">
        <v>41</v>
      </c>
      <c r="D6686" s="21">
        <f t="shared" si="557"/>
        <v>57568</v>
      </c>
      <c r="E6686" s="4">
        <v>0</v>
      </c>
      <c r="F6686" s="95">
        <f t="shared" si="558"/>
        <v>1143</v>
      </c>
    </row>
    <row r="6687" spans="1:6" ht="15.75" thickBot="1" x14ac:dyDescent="0.3">
      <c r="A6687" s="105" t="s">
        <v>24</v>
      </c>
      <c r="B6687" s="36">
        <v>44171</v>
      </c>
      <c r="C6687" s="4">
        <v>5</v>
      </c>
      <c r="D6687" s="21">
        <f t="shared" si="557"/>
        <v>573</v>
      </c>
      <c r="E6687" s="4">
        <v>0</v>
      </c>
      <c r="F6687" s="95">
        <f t="shared" si="558"/>
        <v>9</v>
      </c>
    </row>
    <row r="6688" spans="1:6" ht="15.75" thickBot="1" x14ac:dyDescent="0.3">
      <c r="A6688" s="105" t="s">
        <v>20</v>
      </c>
      <c r="B6688" s="36">
        <v>44171</v>
      </c>
      <c r="C6688" s="4">
        <v>395</v>
      </c>
      <c r="D6688" s="21">
        <f t="shared" si="557"/>
        <v>34639</v>
      </c>
      <c r="E6688" s="4">
        <v>7</v>
      </c>
      <c r="F6688" s="95">
        <f t="shared" si="558"/>
        <v>655</v>
      </c>
    </row>
    <row r="6689" spans="1:6" ht="15.75" thickBot="1" x14ac:dyDescent="0.3">
      <c r="A6689" s="105" t="s">
        <v>19</v>
      </c>
      <c r="B6689" s="36">
        <v>44171</v>
      </c>
      <c r="C6689" s="4">
        <v>115</v>
      </c>
      <c r="D6689" s="21">
        <f t="shared" ref="D6689:D6752" si="559">C6689+D6665</f>
        <v>32878</v>
      </c>
      <c r="E6689" s="4">
        <v>0</v>
      </c>
      <c r="F6689" s="95">
        <f t="shared" si="558"/>
        <v>801</v>
      </c>
    </row>
    <row r="6690" spans="1:6" ht="15.75" thickBot="1" x14ac:dyDescent="0.3">
      <c r="A6690" s="105" t="s">
        <v>35</v>
      </c>
      <c r="B6690" s="36">
        <v>44171</v>
      </c>
      <c r="C6690" s="4">
        <v>14</v>
      </c>
      <c r="D6690" s="21">
        <f t="shared" si="559"/>
        <v>21418</v>
      </c>
      <c r="E6690" s="4">
        <v>0</v>
      </c>
      <c r="F6690" s="95">
        <f t="shared" ref="F6690:F6753" si="560">E6690+F6666</f>
        <v>991</v>
      </c>
    </row>
    <row r="6691" spans="1:6" ht="15.75" thickBot="1" x14ac:dyDescent="0.3">
      <c r="A6691" s="105" t="s">
        <v>36</v>
      </c>
      <c r="B6691" s="36">
        <v>44171</v>
      </c>
      <c r="C6691" s="4">
        <v>19</v>
      </c>
      <c r="D6691" s="21">
        <f t="shared" si="559"/>
        <v>8464</v>
      </c>
      <c r="E6691" s="4">
        <v>0</v>
      </c>
      <c r="F6691" s="95">
        <f t="shared" si="560"/>
        <v>173</v>
      </c>
    </row>
    <row r="6692" spans="1:6" ht="15.75" thickBot="1" x14ac:dyDescent="0.3">
      <c r="A6692" s="105" t="s">
        <v>37</v>
      </c>
      <c r="B6692" s="36">
        <v>44171</v>
      </c>
      <c r="C6692" s="4">
        <v>17</v>
      </c>
      <c r="D6692" s="21">
        <f t="shared" si="559"/>
        <v>15101</v>
      </c>
      <c r="E6692" s="4">
        <v>0</v>
      </c>
      <c r="F6692" s="95">
        <f t="shared" si="560"/>
        <v>236</v>
      </c>
    </row>
    <row r="6693" spans="1:6" ht="15.75" thickBot="1" x14ac:dyDescent="0.3">
      <c r="A6693" s="105" t="s">
        <v>38</v>
      </c>
      <c r="B6693" s="36">
        <v>44171</v>
      </c>
      <c r="C6693" s="4">
        <v>172</v>
      </c>
      <c r="D6693" s="21">
        <f t="shared" si="559"/>
        <v>17297</v>
      </c>
      <c r="E6693" s="4">
        <v>1</v>
      </c>
      <c r="F6693" s="95">
        <f t="shared" si="560"/>
        <v>301</v>
      </c>
    </row>
    <row r="6694" spans="1:6" ht="15.75" thickBot="1" x14ac:dyDescent="0.3">
      <c r="A6694" s="105" t="s">
        <v>23</v>
      </c>
      <c r="B6694" s="36">
        <v>44171</v>
      </c>
      <c r="C6694" s="4">
        <v>568</v>
      </c>
      <c r="D6694" s="21">
        <f t="shared" si="559"/>
        <v>154219</v>
      </c>
      <c r="E6694" s="4">
        <v>4</v>
      </c>
      <c r="F6694" s="95">
        <f t="shared" si="560"/>
        <v>2410</v>
      </c>
    </row>
    <row r="6695" spans="1:6" ht="15.75" thickBot="1" x14ac:dyDescent="0.3">
      <c r="A6695" s="105" t="s">
        <v>39</v>
      </c>
      <c r="B6695" s="36">
        <v>44171</v>
      </c>
      <c r="C6695" s="4">
        <v>52</v>
      </c>
      <c r="D6695" s="21">
        <f t="shared" si="559"/>
        <v>16159</v>
      </c>
      <c r="E6695" s="4">
        <v>1</v>
      </c>
      <c r="F6695" s="95">
        <f t="shared" si="560"/>
        <v>200</v>
      </c>
    </row>
    <row r="6696" spans="1:6" ht="15.75" thickBot="1" x14ac:dyDescent="0.3">
      <c r="A6696" s="105" t="s">
        <v>40</v>
      </c>
      <c r="B6696" s="36">
        <v>44171</v>
      </c>
      <c r="C6696" s="4">
        <v>61</v>
      </c>
      <c r="D6696" s="21">
        <f t="shared" si="559"/>
        <v>16745</v>
      </c>
      <c r="E6696" s="4">
        <v>1</v>
      </c>
      <c r="F6696" s="95">
        <f t="shared" si="560"/>
        <v>238</v>
      </c>
    </row>
    <row r="6697" spans="1:6" ht="15.75" thickBot="1" x14ac:dyDescent="0.3">
      <c r="A6697" s="106" t="s">
        <v>41</v>
      </c>
      <c r="B6697" s="36">
        <v>44171</v>
      </c>
      <c r="C6697" s="4">
        <v>81</v>
      </c>
      <c r="D6697" s="98">
        <f t="shared" si="559"/>
        <v>67264</v>
      </c>
      <c r="E6697" s="4">
        <v>0</v>
      </c>
      <c r="F6697" s="96">
        <f t="shared" si="560"/>
        <v>1247</v>
      </c>
    </row>
    <row r="6698" spans="1:6" ht="15.75" thickBot="1" x14ac:dyDescent="0.3">
      <c r="A6698" s="45" t="s">
        <v>17</v>
      </c>
      <c r="B6698" s="36">
        <v>44172</v>
      </c>
      <c r="C6698" s="4">
        <v>693</v>
      </c>
      <c r="D6698" s="97">
        <f t="shared" si="559"/>
        <v>629170</v>
      </c>
      <c r="E6698" s="4">
        <v>53</v>
      </c>
      <c r="F6698" s="94">
        <f t="shared" si="560"/>
        <v>21129</v>
      </c>
    </row>
    <row r="6699" spans="1:6" ht="15.75" thickBot="1" x14ac:dyDescent="0.3">
      <c r="A6699" s="105" t="s">
        <v>44</v>
      </c>
      <c r="B6699" s="36">
        <v>44172</v>
      </c>
      <c r="C6699" s="4">
        <v>164</v>
      </c>
      <c r="D6699" s="21">
        <f t="shared" si="559"/>
        <v>160837</v>
      </c>
      <c r="E6699" s="4">
        <v>8</v>
      </c>
      <c r="F6699" s="95">
        <f t="shared" si="560"/>
        <v>5303</v>
      </c>
    </row>
    <row r="6700" spans="1:6" ht="15.75" thickBot="1" x14ac:dyDescent="0.3">
      <c r="A6700" s="105" t="s">
        <v>29</v>
      </c>
      <c r="B6700" s="36">
        <v>44172</v>
      </c>
      <c r="C6700" s="4">
        <v>30</v>
      </c>
      <c r="D6700" s="21">
        <f t="shared" si="559"/>
        <v>2015</v>
      </c>
      <c r="E6700" s="4">
        <v>0</v>
      </c>
      <c r="F6700" s="95">
        <f t="shared" si="560"/>
        <v>17</v>
      </c>
    </row>
    <row r="6701" spans="1:6" ht="15.75" thickBot="1" x14ac:dyDescent="0.3">
      <c r="A6701" s="105" t="s">
        <v>16</v>
      </c>
      <c r="B6701" s="36">
        <v>44172</v>
      </c>
      <c r="C6701" s="4">
        <v>96</v>
      </c>
      <c r="D6701" s="21">
        <f t="shared" si="559"/>
        <v>20826</v>
      </c>
      <c r="E6701" s="4">
        <v>0</v>
      </c>
      <c r="F6701" s="95">
        <f t="shared" si="560"/>
        <v>593</v>
      </c>
    </row>
    <row r="6702" spans="1:6" ht="15.75" thickBot="1" x14ac:dyDescent="0.3">
      <c r="A6702" s="105" t="s">
        <v>30</v>
      </c>
      <c r="B6702" s="36">
        <v>44172</v>
      </c>
      <c r="C6702" s="4">
        <v>161</v>
      </c>
      <c r="D6702" s="21">
        <f t="shared" si="559"/>
        <v>24649</v>
      </c>
      <c r="E6702" s="4">
        <v>7</v>
      </c>
      <c r="F6702" s="95">
        <f t="shared" si="560"/>
        <v>407</v>
      </c>
    </row>
    <row r="6703" spans="1:6" ht="15.75" thickBot="1" x14ac:dyDescent="0.3">
      <c r="A6703" s="105" t="s">
        <v>21</v>
      </c>
      <c r="B6703" s="36">
        <v>44172</v>
      </c>
      <c r="C6703" s="4">
        <v>95</v>
      </c>
      <c r="D6703" s="21">
        <f t="shared" si="559"/>
        <v>117607</v>
      </c>
      <c r="E6703" s="4">
        <v>9</v>
      </c>
      <c r="F6703" s="95">
        <f t="shared" si="560"/>
        <v>2098</v>
      </c>
    </row>
    <row r="6704" spans="1:6" ht="15.75" thickBot="1" x14ac:dyDescent="0.3">
      <c r="A6704" s="105" t="s">
        <v>31</v>
      </c>
      <c r="B6704" s="36">
        <v>44172</v>
      </c>
      <c r="C6704" s="4">
        <v>185</v>
      </c>
      <c r="D6704" s="21">
        <f t="shared" si="559"/>
        <v>8862</v>
      </c>
      <c r="E6704" s="4">
        <v>7</v>
      </c>
      <c r="F6704" s="95">
        <f t="shared" si="560"/>
        <v>111</v>
      </c>
    </row>
    <row r="6705" spans="1:6" ht="15.75" thickBot="1" x14ac:dyDescent="0.3">
      <c r="A6705" s="105" t="s">
        <v>32</v>
      </c>
      <c r="B6705" s="36">
        <v>44172</v>
      </c>
      <c r="C6705" s="4">
        <v>55</v>
      </c>
      <c r="D6705" s="21">
        <f t="shared" si="559"/>
        <v>24575</v>
      </c>
      <c r="E6705" s="4">
        <v>5</v>
      </c>
      <c r="F6705" s="95">
        <f t="shared" si="560"/>
        <v>492</v>
      </c>
    </row>
    <row r="6706" spans="1:6" ht="15.75" thickBot="1" x14ac:dyDescent="0.3">
      <c r="A6706" s="105" t="s">
        <v>42</v>
      </c>
      <c r="B6706" s="36">
        <v>44172</v>
      </c>
      <c r="C6706" s="4">
        <v>0</v>
      </c>
      <c r="D6706" s="21">
        <f t="shared" si="559"/>
        <v>189</v>
      </c>
      <c r="E6706" s="4">
        <v>0</v>
      </c>
      <c r="F6706" s="95">
        <f t="shared" si="560"/>
        <v>3</v>
      </c>
    </row>
    <row r="6707" spans="1:6" ht="15.75" thickBot="1" x14ac:dyDescent="0.3">
      <c r="A6707" s="105" t="s">
        <v>33</v>
      </c>
      <c r="B6707" s="36">
        <v>44172</v>
      </c>
      <c r="C6707" s="4">
        <v>1</v>
      </c>
      <c r="D6707" s="21">
        <f t="shared" si="559"/>
        <v>18416</v>
      </c>
      <c r="E6707" s="4">
        <v>1</v>
      </c>
      <c r="F6707" s="95">
        <f t="shared" si="560"/>
        <v>852</v>
      </c>
    </row>
    <row r="6708" spans="1:6" ht="15.75" thickBot="1" x14ac:dyDescent="0.3">
      <c r="A6708" s="105" t="s">
        <v>34</v>
      </c>
      <c r="B6708" s="36">
        <v>44172</v>
      </c>
      <c r="C6708" s="4">
        <v>58</v>
      </c>
      <c r="D6708" s="21">
        <f t="shared" si="559"/>
        <v>6338</v>
      </c>
      <c r="E6708" s="4">
        <v>7</v>
      </c>
      <c r="F6708" s="95">
        <f t="shared" si="560"/>
        <v>95</v>
      </c>
    </row>
    <row r="6709" spans="1:6" ht="15.75" thickBot="1" x14ac:dyDescent="0.3">
      <c r="A6709" s="105" t="s">
        <v>22</v>
      </c>
      <c r="B6709" s="36">
        <v>44172</v>
      </c>
      <c r="C6709" s="4">
        <v>19</v>
      </c>
      <c r="D6709" s="21">
        <f t="shared" si="559"/>
        <v>8858</v>
      </c>
      <c r="E6709" s="4">
        <v>0</v>
      </c>
      <c r="F6709" s="95">
        <f t="shared" si="560"/>
        <v>321</v>
      </c>
    </row>
    <row r="6710" spans="1:6" ht="15.75" thickBot="1" x14ac:dyDescent="0.3">
      <c r="A6710" s="105" t="s">
        <v>18</v>
      </c>
      <c r="B6710" s="36">
        <v>44172</v>
      </c>
      <c r="C6710" s="4">
        <v>32</v>
      </c>
      <c r="D6710" s="21">
        <f t="shared" si="559"/>
        <v>57600</v>
      </c>
      <c r="E6710" s="4">
        <v>1</v>
      </c>
      <c r="F6710" s="95">
        <f t="shared" si="560"/>
        <v>1144</v>
      </c>
    </row>
    <row r="6711" spans="1:6" ht="15.75" thickBot="1" x14ac:dyDescent="0.3">
      <c r="A6711" s="105" t="s">
        <v>24</v>
      </c>
      <c r="B6711" s="36">
        <v>44172</v>
      </c>
      <c r="C6711" s="4">
        <v>6</v>
      </c>
      <c r="D6711" s="21">
        <f t="shared" si="559"/>
        <v>579</v>
      </c>
      <c r="E6711" s="4">
        <v>0</v>
      </c>
      <c r="F6711" s="95">
        <f t="shared" si="560"/>
        <v>9</v>
      </c>
    </row>
    <row r="6712" spans="1:6" ht="15.75" thickBot="1" x14ac:dyDescent="0.3">
      <c r="A6712" s="105" t="s">
        <v>20</v>
      </c>
      <c r="B6712" s="36">
        <v>44172</v>
      </c>
      <c r="C6712" s="4">
        <v>473</v>
      </c>
      <c r="D6712" s="21">
        <f t="shared" si="559"/>
        <v>35112</v>
      </c>
      <c r="E6712" s="4">
        <v>1</v>
      </c>
      <c r="F6712" s="95">
        <f t="shared" si="560"/>
        <v>656</v>
      </c>
    </row>
    <row r="6713" spans="1:6" ht="15.75" thickBot="1" x14ac:dyDescent="0.3">
      <c r="A6713" s="105" t="s">
        <v>19</v>
      </c>
      <c r="B6713" s="36">
        <v>44172</v>
      </c>
      <c r="C6713" s="4">
        <v>93</v>
      </c>
      <c r="D6713" s="21">
        <f t="shared" si="559"/>
        <v>32971</v>
      </c>
      <c r="E6713" s="4">
        <v>0</v>
      </c>
      <c r="F6713" s="95">
        <f t="shared" si="560"/>
        <v>801</v>
      </c>
    </row>
    <row r="6714" spans="1:6" ht="15.75" thickBot="1" x14ac:dyDescent="0.3">
      <c r="A6714" s="105" t="s">
        <v>35</v>
      </c>
      <c r="B6714" s="36">
        <v>44172</v>
      </c>
      <c r="C6714" s="4">
        <v>13</v>
      </c>
      <c r="D6714" s="21">
        <f t="shared" si="559"/>
        <v>21431</v>
      </c>
      <c r="E6714" s="4">
        <v>0</v>
      </c>
      <c r="F6714" s="95">
        <f t="shared" si="560"/>
        <v>991</v>
      </c>
    </row>
    <row r="6715" spans="1:6" ht="15.75" thickBot="1" x14ac:dyDescent="0.3">
      <c r="A6715" s="105" t="s">
        <v>36</v>
      </c>
      <c r="B6715" s="36">
        <v>44172</v>
      </c>
      <c r="C6715" s="4">
        <v>35</v>
      </c>
      <c r="D6715" s="21">
        <f t="shared" si="559"/>
        <v>8499</v>
      </c>
      <c r="E6715" s="4">
        <v>0</v>
      </c>
      <c r="F6715" s="95">
        <f t="shared" si="560"/>
        <v>173</v>
      </c>
    </row>
    <row r="6716" spans="1:6" ht="15.75" thickBot="1" x14ac:dyDescent="0.3">
      <c r="A6716" s="105" t="s">
        <v>37</v>
      </c>
      <c r="B6716" s="36">
        <v>44172</v>
      </c>
      <c r="C6716" s="4">
        <v>43</v>
      </c>
      <c r="D6716" s="21">
        <f t="shared" si="559"/>
        <v>15144</v>
      </c>
      <c r="E6716" s="4">
        <v>0</v>
      </c>
      <c r="F6716" s="95">
        <f t="shared" si="560"/>
        <v>236</v>
      </c>
    </row>
    <row r="6717" spans="1:6" ht="15.75" thickBot="1" x14ac:dyDescent="0.3">
      <c r="A6717" s="105" t="s">
        <v>38</v>
      </c>
      <c r="B6717" s="36">
        <v>44172</v>
      </c>
      <c r="C6717" s="4">
        <v>119</v>
      </c>
      <c r="D6717" s="21">
        <f t="shared" si="559"/>
        <v>17416</v>
      </c>
      <c r="E6717" s="4">
        <v>5</v>
      </c>
      <c r="F6717" s="95">
        <f t="shared" si="560"/>
        <v>306</v>
      </c>
    </row>
    <row r="6718" spans="1:6" ht="15.75" thickBot="1" x14ac:dyDescent="0.3">
      <c r="A6718" s="105" t="s">
        <v>23</v>
      </c>
      <c r="B6718" s="36">
        <v>44172</v>
      </c>
      <c r="C6718" s="4">
        <v>576</v>
      </c>
      <c r="D6718" s="21">
        <f t="shared" si="559"/>
        <v>154795</v>
      </c>
      <c r="E6718" s="4">
        <v>14</v>
      </c>
      <c r="F6718" s="95">
        <f t="shared" si="560"/>
        <v>2424</v>
      </c>
    </row>
    <row r="6719" spans="1:6" ht="15.75" thickBot="1" x14ac:dyDescent="0.3">
      <c r="A6719" s="105" t="s">
        <v>39</v>
      </c>
      <c r="B6719" s="36">
        <v>44172</v>
      </c>
      <c r="C6719" s="4">
        <v>57</v>
      </c>
      <c r="D6719" s="21">
        <f t="shared" si="559"/>
        <v>16216</v>
      </c>
      <c r="E6719" s="4">
        <v>0</v>
      </c>
      <c r="F6719" s="95">
        <f t="shared" si="560"/>
        <v>200</v>
      </c>
    </row>
    <row r="6720" spans="1:6" ht="15.75" thickBot="1" x14ac:dyDescent="0.3">
      <c r="A6720" s="105" t="s">
        <v>40</v>
      </c>
      <c r="B6720" s="36">
        <v>44172</v>
      </c>
      <c r="C6720" s="4">
        <v>109</v>
      </c>
      <c r="D6720" s="21">
        <f t="shared" si="559"/>
        <v>16854</v>
      </c>
      <c r="E6720" s="4">
        <v>0</v>
      </c>
      <c r="F6720" s="95">
        <f t="shared" si="560"/>
        <v>238</v>
      </c>
    </row>
    <row r="6721" spans="1:6" ht="15.75" thickBot="1" x14ac:dyDescent="0.3">
      <c r="A6721" s="107" t="s">
        <v>41</v>
      </c>
      <c r="B6721" s="29">
        <v>44172</v>
      </c>
      <c r="C6721" s="30">
        <v>86</v>
      </c>
      <c r="D6721" s="59">
        <f>C6721+D6697</f>
        <v>67350</v>
      </c>
      <c r="E6721" s="30">
        <v>0</v>
      </c>
      <c r="F6721" s="104">
        <f t="shared" si="560"/>
        <v>1247</v>
      </c>
    </row>
    <row r="6722" spans="1:6" x14ac:dyDescent="0.25">
      <c r="A6722" s="45" t="s">
        <v>17</v>
      </c>
      <c r="B6722" s="32">
        <v>44173</v>
      </c>
      <c r="C6722" s="33">
        <v>836</v>
      </c>
      <c r="D6722" s="97">
        <f t="shared" si="559"/>
        <v>630006</v>
      </c>
      <c r="E6722" s="33">
        <v>39</v>
      </c>
      <c r="F6722" s="94">
        <f t="shared" si="560"/>
        <v>21168</v>
      </c>
    </row>
    <row r="6723" spans="1:6" x14ac:dyDescent="0.25">
      <c r="A6723" s="105" t="s">
        <v>44</v>
      </c>
      <c r="B6723" s="19">
        <v>44173</v>
      </c>
      <c r="C6723" s="4">
        <v>159</v>
      </c>
      <c r="D6723" s="21">
        <f t="shared" si="559"/>
        <v>160996</v>
      </c>
      <c r="E6723" s="4">
        <v>3</v>
      </c>
      <c r="F6723" s="95">
        <f t="shared" si="560"/>
        <v>5306</v>
      </c>
    </row>
    <row r="6724" spans="1:6" x14ac:dyDescent="0.25">
      <c r="A6724" s="105" t="s">
        <v>29</v>
      </c>
      <c r="B6724" s="19">
        <v>44173</v>
      </c>
      <c r="C6724" s="4">
        <v>12</v>
      </c>
      <c r="D6724" s="21">
        <f t="shared" si="559"/>
        <v>2027</v>
      </c>
      <c r="E6724" s="4">
        <v>0</v>
      </c>
      <c r="F6724" s="95">
        <f t="shared" si="560"/>
        <v>17</v>
      </c>
    </row>
    <row r="6725" spans="1:6" x14ac:dyDescent="0.25">
      <c r="A6725" s="105" t="s">
        <v>16</v>
      </c>
      <c r="B6725" s="19">
        <v>44173</v>
      </c>
      <c r="C6725" s="4">
        <v>59</v>
      </c>
      <c r="D6725" s="21">
        <f t="shared" si="559"/>
        <v>20885</v>
      </c>
      <c r="E6725" s="4">
        <v>10</v>
      </c>
      <c r="F6725" s="95">
        <f t="shared" si="560"/>
        <v>603</v>
      </c>
    </row>
    <row r="6726" spans="1:6" x14ac:dyDescent="0.25">
      <c r="A6726" s="105" t="s">
        <v>30</v>
      </c>
      <c r="B6726" s="19">
        <v>44173</v>
      </c>
      <c r="C6726" s="4">
        <v>121</v>
      </c>
      <c r="D6726" s="21">
        <f t="shared" si="559"/>
        <v>24770</v>
      </c>
      <c r="E6726" s="4">
        <v>4</v>
      </c>
      <c r="F6726" s="95">
        <f t="shared" si="560"/>
        <v>411</v>
      </c>
    </row>
    <row r="6727" spans="1:6" x14ac:dyDescent="0.25">
      <c r="A6727" s="105" t="s">
        <v>21</v>
      </c>
      <c r="B6727" s="19">
        <v>44173</v>
      </c>
      <c r="C6727" s="4">
        <v>241</v>
      </c>
      <c r="D6727" s="21">
        <f t="shared" si="559"/>
        <v>117848</v>
      </c>
      <c r="E6727" s="4">
        <v>19</v>
      </c>
      <c r="F6727" s="95">
        <f t="shared" si="560"/>
        <v>2117</v>
      </c>
    </row>
    <row r="6728" spans="1:6" x14ac:dyDescent="0.25">
      <c r="A6728" s="105" t="s">
        <v>31</v>
      </c>
      <c r="B6728" s="19">
        <v>44173</v>
      </c>
      <c r="C6728" s="4">
        <v>127</v>
      </c>
      <c r="D6728" s="21">
        <f t="shared" si="559"/>
        <v>8989</v>
      </c>
      <c r="E6728" s="4">
        <v>9</v>
      </c>
      <c r="F6728" s="95">
        <f t="shared" si="560"/>
        <v>120</v>
      </c>
    </row>
    <row r="6729" spans="1:6" x14ac:dyDescent="0.25">
      <c r="A6729" s="105" t="s">
        <v>32</v>
      </c>
      <c r="B6729" s="19">
        <v>44173</v>
      </c>
      <c r="C6729" s="4">
        <v>137</v>
      </c>
      <c r="D6729" s="21">
        <f t="shared" si="559"/>
        <v>24712</v>
      </c>
      <c r="E6729" s="4">
        <v>6</v>
      </c>
      <c r="F6729" s="95">
        <f t="shared" si="560"/>
        <v>498</v>
      </c>
    </row>
    <row r="6730" spans="1:6" x14ac:dyDescent="0.25">
      <c r="A6730" s="105" t="s">
        <v>42</v>
      </c>
      <c r="B6730" s="19">
        <v>44173</v>
      </c>
      <c r="C6730" s="4">
        <v>4</v>
      </c>
      <c r="D6730" s="21">
        <f t="shared" si="559"/>
        <v>193</v>
      </c>
      <c r="E6730" s="4">
        <v>0</v>
      </c>
      <c r="F6730" s="95">
        <f t="shared" si="560"/>
        <v>3</v>
      </c>
    </row>
    <row r="6731" spans="1:6" x14ac:dyDescent="0.25">
      <c r="A6731" s="105" t="s">
        <v>33</v>
      </c>
      <c r="B6731" s="19">
        <v>44173</v>
      </c>
      <c r="C6731" s="4">
        <v>9</v>
      </c>
      <c r="D6731" s="21">
        <f t="shared" si="559"/>
        <v>18425</v>
      </c>
      <c r="E6731" s="4">
        <v>0</v>
      </c>
      <c r="F6731" s="95">
        <f t="shared" si="560"/>
        <v>852</v>
      </c>
    </row>
    <row r="6732" spans="1:6" x14ac:dyDescent="0.25">
      <c r="A6732" s="105" t="s">
        <v>34</v>
      </c>
      <c r="B6732" s="19">
        <v>44173</v>
      </c>
      <c r="C6732" s="4">
        <v>62</v>
      </c>
      <c r="D6732" s="21">
        <f t="shared" si="559"/>
        <v>6400</v>
      </c>
      <c r="E6732" s="4">
        <v>0</v>
      </c>
      <c r="F6732" s="95">
        <f t="shared" si="560"/>
        <v>95</v>
      </c>
    </row>
    <row r="6733" spans="1:6" x14ac:dyDescent="0.25">
      <c r="A6733" s="105" t="s">
        <v>22</v>
      </c>
      <c r="B6733" s="19">
        <v>44173</v>
      </c>
      <c r="C6733" s="4">
        <v>7</v>
      </c>
      <c r="D6733" s="21">
        <f t="shared" si="559"/>
        <v>8865</v>
      </c>
      <c r="E6733" s="4">
        <v>1</v>
      </c>
      <c r="F6733" s="95">
        <f t="shared" si="560"/>
        <v>322</v>
      </c>
    </row>
    <row r="6734" spans="1:6" x14ac:dyDescent="0.25">
      <c r="A6734" s="105" t="s">
        <v>18</v>
      </c>
      <c r="B6734" s="19">
        <v>44173</v>
      </c>
      <c r="C6734" s="4">
        <v>32</v>
      </c>
      <c r="D6734" s="21">
        <f t="shared" si="559"/>
        <v>57632</v>
      </c>
      <c r="E6734" s="4">
        <v>2</v>
      </c>
      <c r="F6734" s="95">
        <f t="shared" si="560"/>
        <v>1146</v>
      </c>
    </row>
    <row r="6735" spans="1:6" x14ac:dyDescent="0.25">
      <c r="A6735" s="105" t="s">
        <v>24</v>
      </c>
      <c r="B6735" s="19">
        <v>44173</v>
      </c>
      <c r="C6735" s="4">
        <v>11</v>
      </c>
      <c r="D6735" s="21">
        <f t="shared" si="559"/>
        <v>590</v>
      </c>
      <c r="E6735" s="4">
        <v>0</v>
      </c>
      <c r="F6735" s="95">
        <f t="shared" si="560"/>
        <v>9</v>
      </c>
    </row>
    <row r="6736" spans="1:6" x14ac:dyDescent="0.25">
      <c r="A6736" s="105" t="s">
        <v>20</v>
      </c>
      <c r="B6736" s="19">
        <v>44173</v>
      </c>
      <c r="C6736" s="4">
        <v>477</v>
      </c>
      <c r="D6736" s="21">
        <f t="shared" si="559"/>
        <v>35589</v>
      </c>
      <c r="E6736" s="4">
        <v>0</v>
      </c>
      <c r="F6736" s="95">
        <f t="shared" si="560"/>
        <v>656</v>
      </c>
    </row>
    <row r="6737" spans="1:6" x14ac:dyDescent="0.25">
      <c r="A6737" s="105" t="s">
        <v>19</v>
      </c>
      <c r="B6737" s="19">
        <v>44173</v>
      </c>
      <c r="C6737" s="4">
        <v>137</v>
      </c>
      <c r="D6737" s="21">
        <f t="shared" si="559"/>
        <v>33108</v>
      </c>
      <c r="E6737" s="4">
        <v>2</v>
      </c>
      <c r="F6737" s="95">
        <f t="shared" si="560"/>
        <v>803</v>
      </c>
    </row>
    <row r="6738" spans="1:6" x14ac:dyDescent="0.25">
      <c r="A6738" s="105" t="s">
        <v>35</v>
      </c>
      <c r="B6738" s="19">
        <v>44173</v>
      </c>
      <c r="C6738" s="4">
        <v>7</v>
      </c>
      <c r="D6738" s="21">
        <f t="shared" si="559"/>
        <v>21438</v>
      </c>
      <c r="E6738" s="4">
        <v>0</v>
      </c>
      <c r="F6738" s="95">
        <f t="shared" si="560"/>
        <v>991</v>
      </c>
    </row>
    <row r="6739" spans="1:6" x14ac:dyDescent="0.25">
      <c r="A6739" s="105" t="s">
        <v>36</v>
      </c>
      <c r="B6739" s="19">
        <v>44173</v>
      </c>
      <c r="C6739" s="4">
        <v>107</v>
      </c>
      <c r="D6739" s="21">
        <f t="shared" si="559"/>
        <v>8606</v>
      </c>
      <c r="E6739" s="4">
        <v>0</v>
      </c>
      <c r="F6739" s="95">
        <f t="shared" si="560"/>
        <v>173</v>
      </c>
    </row>
    <row r="6740" spans="1:6" x14ac:dyDescent="0.25">
      <c r="A6740" s="105" t="s">
        <v>37</v>
      </c>
      <c r="B6740" s="19">
        <v>44173</v>
      </c>
      <c r="C6740" s="4">
        <v>87</v>
      </c>
      <c r="D6740" s="21">
        <f t="shared" si="559"/>
        <v>15231</v>
      </c>
      <c r="E6740" s="4">
        <v>0</v>
      </c>
      <c r="F6740" s="95">
        <f t="shared" si="560"/>
        <v>236</v>
      </c>
    </row>
    <row r="6741" spans="1:6" x14ac:dyDescent="0.25">
      <c r="A6741" s="105" t="s">
        <v>38</v>
      </c>
      <c r="B6741" s="19">
        <v>44173</v>
      </c>
      <c r="C6741" s="4">
        <v>238</v>
      </c>
      <c r="D6741" s="21">
        <f t="shared" si="559"/>
        <v>17654</v>
      </c>
      <c r="E6741" s="4">
        <v>2</v>
      </c>
      <c r="F6741" s="95">
        <f t="shared" si="560"/>
        <v>308</v>
      </c>
    </row>
    <row r="6742" spans="1:6" x14ac:dyDescent="0.25">
      <c r="A6742" s="105" t="s">
        <v>23</v>
      </c>
      <c r="B6742" s="19">
        <v>44173</v>
      </c>
      <c r="C6742" s="4">
        <v>559</v>
      </c>
      <c r="D6742" s="21">
        <f t="shared" si="559"/>
        <v>155354</v>
      </c>
      <c r="E6742" s="4">
        <v>21</v>
      </c>
      <c r="F6742" s="95">
        <f t="shared" si="560"/>
        <v>2445</v>
      </c>
    </row>
    <row r="6743" spans="1:6" x14ac:dyDescent="0.25">
      <c r="A6743" s="105" t="s">
        <v>39</v>
      </c>
      <c r="B6743" s="19">
        <v>44173</v>
      </c>
      <c r="C6743" s="4">
        <v>23</v>
      </c>
      <c r="D6743" s="21">
        <f t="shared" si="559"/>
        <v>16239</v>
      </c>
      <c r="E6743" s="4">
        <v>1</v>
      </c>
      <c r="F6743" s="95">
        <f t="shared" si="560"/>
        <v>201</v>
      </c>
    </row>
    <row r="6744" spans="1:6" x14ac:dyDescent="0.25">
      <c r="A6744" s="105" t="s">
        <v>40</v>
      </c>
      <c r="B6744" s="19">
        <v>44173</v>
      </c>
      <c r="C6744" s="4">
        <v>65</v>
      </c>
      <c r="D6744" s="21">
        <f t="shared" si="559"/>
        <v>16919</v>
      </c>
      <c r="E6744" s="4">
        <v>1</v>
      </c>
      <c r="F6744" s="95">
        <f t="shared" si="560"/>
        <v>239</v>
      </c>
    </row>
    <row r="6745" spans="1:6" ht="15.75" thickBot="1" x14ac:dyDescent="0.3">
      <c r="A6745" s="106" t="s">
        <v>41</v>
      </c>
      <c r="B6745" s="36">
        <v>44173</v>
      </c>
      <c r="C6745" s="37">
        <v>93</v>
      </c>
      <c r="D6745" s="98">
        <f>C6745+D6721</f>
        <v>67443</v>
      </c>
      <c r="E6745" s="37">
        <v>0</v>
      </c>
      <c r="F6745" s="96">
        <f t="shared" si="560"/>
        <v>1247</v>
      </c>
    </row>
    <row r="6746" spans="1:6" x14ac:dyDescent="0.25">
      <c r="A6746" s="153" t="s">
        <v>17</v>
      </c>
      <c r="B6746" s="102">
        <v>44174</v>
      </c>
      <c r="C6746" s="31">
        <v>1460</v>
      </c>
      <c r="D6746" s="108">
        <f t="shared" si="559"/>
        <v>631466</v>
      </c>
      <c r="E6746" s="31">
        <v>67</v>
      </c>
      <c r="F6746" s="166">
        <f t="shared" si="560"/>
        <v>21235</v>
      </c>
    </row>
    <row r="6747" spans="1:6" x14ac:dyDescent="0.25">
      <c r="A6747" s="105" t="s">
        <v>44</v>
      </c>
      <c r="B6747" s="19">
        <v>44174</v>
      </c>
      <c r="C6747" s="4">
        <v>334</v>
      </c>
      <c r="D6747" s="21">
        <f t="shared" si="559"/>
        <v>161330</v>
      </c>
      <c r="E6747" s="4">
        <v>16</v>
      </c>
      <c r="F6747" s="95">
        <f t="shared" si="560"/>
        <v>5322</v>
      </c>
    </row>
    <row r="6748" spans="1:6" x14ac:dyDescent="0.25">
      <c r="A6748" s="105" t="s">
        <v>29</v>
      </c>
      <c r="B6748" s="19">
        <v>44174</v>
      </c>
      <c r="C6748" s="4">
        <v>3</v>
      </c>
      <c r="D6748" s="21">
        <f t="shared" si="559"/>
        <v>2030</v>
      </c>
      <c r="E6748" s="4">
        <v>0</v>
      </c>
      <c r="F6748" s="95">
        <f t="shared" si="560"/>
        <v>17</v>
      </c>
    </row>
    <row r="6749" spans="1:6" x14ac:dyDescent="0.25">
      <c r="A6749" s="105" t="s">
        <v>16</v>
      </c>
      <c r="B6749" s="19">
        <v>44174</v>
      </c>
      <c r="C6749" s="4">
        <v>151</v>
      </c>
      <c r="D6749" s="21">
        <f t="shared" si="559"/>
        <v>21036</v>
      </c>
      <c r="E6749" s="4">
        <v>4</v>
      </c>
      <c r="F6749" s="95">
        <f t="shared" si="560"/>
        <v>607</v>
      </c>
    </row>
    <row r="6750" spans="1:6" x14ac:dyDescent="0.25">
      <c r="A6750" s="105" t="s">
        <v>30</v>
      </c>
      <c r="B6750" s="19">
        <v>44174</v>
      </c>
      <c r="C6750" s="4">
        <v>266</v>
      </c>
      <c r="D6750" s="21">
        <f t="shared" si="559"/>
        <v>25036</v>
      </c>
      <c r="E6750" s="4">
        <v>0</v>
      </c>
      <c r="F6750" s="95">
        <f t="shared" si="560"/>
        <v>411</v>
      </c>
    </row>
    <row r="6751" spans="1:6" x14ac:dyDescent="0.25">
      <c r="A6751" s="105" t="s">
        <v>21</v>
      </c>
      <c r="B6751" s="19">
        <v>44174</v>
      </c>
      <c r="C6751" s="4">
        <v>251</v>
      </c>
      <c r="D6751" s="21">
        <f t="shared" si="559"/>
        <v>118099</v>
      </c>
      <c r="E6751" s="4">
        <v>24</v>
      </c>
      <c r="F6751" s="95">
        <f t="shared" si="560"/>
        <v>2141</v>
      </c>
    </row>
    <row r="6752" spans="1:6" x14ac:dyDescent="0.25">
      <c r="A6752" s="105" t="s">
        <v>31</v>
      </c>
      <c r="B6752" s="19">
        <v>44174</v>
      </c>
      <c r="C6752" s="4">
        <v>61</v>
      </c>
      <c r="D6752" s="21">
        <f t="shared" si="559"/>
        <v>9050</v>
      </c>
      <c r="E6752" s="4">
        <v>10</v>
      </c>
      <c r="F6752" s="95">
        <f t="shared" si="560"/>
        <v>130</v>
      </c>
    </row>
    <row r="6753" spans="1:6" x14ac:dyDescent="0.25">
      <c r="A6753" s="105" t="s">
        <v>32</v>
      </c>
      <c r="B6753" s="19">
        <v>44174</v>
      </c>
      <c r="C6753" s="4">
        <v>103</v>
      </c>
      <c r="D6753" s="21">
        <f t="shared" ref="D6753:D6818" si="561">C6753+D6729</f>
        <v>24815</v>
      </c>
      <c r="E6753" s="4">
        <v>7</v>
      </c>
      <c r="F6753" s="95">
        <f t="shared" si="560"/>
        <v>505</v>
      </c>
    </row>
    <row r="6754" spans="1:6" x14ac:dyDescent="0.25">
      <c r="A6754" s="105" t="s">
        <v>42</v>
      </c>
      <c r="B6754" s="19">
        <v>44174</v>
      </c>
      <c r="C6754" s="4">
        <v>4</v>
      </c>
      <c r="D6754" s="21">
        <f t="shared" si="561"/>
        <v>197</v>
      </c>
      <c r="E6754" s="4">
        <v>0</v>
      </c>
      <c r="F6754" s="95">
        <f t="shared" ref="F6754:F6818" si="562">E6754+F6730</f>
        <v>3</v>
      </c>
    </row>
    <row r="6755" spans="1:6" x14ac:dyDescent="0.25">
      <c r="A6755" s="105" t="s">
        <v>33</v>
      </c>
      <c r="B6755" s="19">
        <v>44174</v>
      </c>
      <c r="C6755" s="4">
        <v>4</v>
      </c>
      <c r="D6755" s="21">
        <f t="shared" si="561"/>
        <v>18429</v>
      </c>
      <c r="E6755" s="4">
        <v>0</v>
      </c>
      <c r="F6755" s="95">
        <f t="shared" si="562"/>
        <v>852</v>
      </c>
    </row>
    <row r="6756" spans="1:6" x14ac:dyDescent="0.25">
      <c r="A6756" s="105" t="s">
        <v>34</v>
      </c>
      <c r="B6756" s="19">
        <v>44174</v>
      </c>
      <c r="C6756" s="4">
        <v>123</v>
      </c>
      <c r="D6756" s="21">
        <f t="shared" si="561"/>
        <v>6523</v>
      </c>
      <c r="E6756" s="4">
        <v>0</v>
      </c>
      <c r="F6756" s="95">
        <f t="shared" si="562"/>
        <v>95</v>
      </c>
    </row>
    <row r="6757" spans="1:6" x14ac:dyDescent="0.25">
      <c r="A6757" s="105" t="s">
        <v>22</v>
      </c>
      <c r="B6757" s="19">
        <v>44174</v>
      </c>
      <c r="C6757" s="4">
        <v>28</v>
      </c>
      <c r="D6757" s="21">
        <f t="shared" si="561"/>
        <v>8893</v>
      </c>
      <c r="E6757" s="4">
        <v>0</v>
      </c>
      <c r="F6757" s="95">
        <f t="shared" si="562"/>
        <v>322</v>
      </c>
    </row>
    <row r="6758" spans="1:6" x14ac:dyDescent="0.25">
      <c r="A6758" s="105" t="s">
        <v>18</v>
      </c>
      <c r="B6758" s="19">
        <v>44174</v>
      </c>
      <c r="C6758" s="4">
        <v>108</v>
      </c>
      <c r="D6758" s="21">
        <f t="shared" si="561"/>
        <v>57740</v>
      </c>
      <c r="E6758" s="4">
        <v>18</v>
      </c>
      <c r="F6758" s="95">
        <f t="shared" si="562"/>
        <v>1164</v>
      </c>
    </row>
    <row r="6759" spans="1:6" x14ac:dyDescent="0.25">
      <c r="A6759" s="105" t="s">
        <v>24</v>
      </c>
      <c r="B6759" s="19">
        <v>44174</v>
      </c>
      <c r="C6759" s="4">
        <v>18</v>
      </c>
      <c r="D6759" s="21">
        <f t="shared" si="561"/>
        <v>608</v>
      </c>
      <c r="E6759" s="4">
        <v>0</v>
      </c>
      <c r="F6759" s="95">
        <f t="shared" si="562"/>
        <v>9</v>
      </c>
    </row>
    <row r="6760" spans="1:6" x14ac:dyDescent="0.25">
      <c r="A6760" s="105" t="s">
        <v>20</v>
      </c>
      <c r="B6760" s="19">
        <v>44174</v>
      </c>
      <c r="C6760" s="4">
        <v>550</v>
      </c>
      <c r="D6760" s="21">
        <f t="shared" si="561"/>
        <v>36139</v>
      </c>
      <c r="E6760" s="4">
        <v>1</v>
      </c>
      <c r="F6760" s="95">
        <f t="shared" si="562"/>
        <v>657</v>
      </c>
    </row>
    <row r="6761" spans="1:6" x14ac:dyDescent="0.25">
      <c r="A6761" s="105" t="s">
        <v>19</v>
      </c>
      <c r="B6761" s="19">
        <v>44174</v>
      </c>
      <c r="C6761" s="4">
        <v>128</v>
      </c>
      <c r="D6761" s="21">
        <f t="shared" si="561"/>
        <v>33236</v>
      </c>
      <c r="E6761" s="4">
        <v>5</v>
      </c>
      <c r="F6761" s="95">
        <f t="shared" si="562"/>
        <v>808</v>
      </c>
    </row>
    <row r="6762" spans="1:6" x14ac:dyDescent="0.25">
      <c r="A6762" s="105" t="s">
        <v>35</v>
      </c>
      <c r="B6762" s="19">
        <v>44174</v>
      </c>
      <c r="C6762" s="4">
        <v>15</v>
      </c>
      <c r="D6762" s="21">
        <f t="shared" si="561"/>
        <v>21453</v>
      </c>
      <c r="E6762" s="4">
        <v>1</v>
      </c>
      <c r="F6762" s="95">
        <f t="shared" si="562"/>
        <v>992</v>
      </c>
    </row>
    <row r="6763" spans="1:6" x14ac:dyDescent="0.25">
      <c r="A6763" s="105" t="s">
        <v>36</v>
      </c>
      <c r="B6763" s="19">
        <v>44174</v>
      </c>
      <c r="C6763" s="4">
        <v>197</v>
      </c>
      <c r="D6763" s="21">
        <f t="shared" si="561"/>
        <v>8803</v>
      </c>
      <c r="E6763" s="4">
        <v>1</v>
      </c>
      <c r="F6763" s="95">
        <f t="shared" si="562"/>
        <v>174</v>
      </c>
    </row>
    <row r="6764" spans="1:6" x14ac:dyDescent="0.25">
      <c r="A6764" s="105" t="s">
        <v>37</v>
      </c>
      <c r="B6764" s="19">
        <v>44174</v>
      </c>
      <c r="C6764" s="4">
        <v>56</v>
      </c>
      <c r="D6764" s="21">
        <f t="shared" si="561"/>
        <v>15287</v>
      </c>
      <c r="E6764" s="4">
        <v>3</v>
      </c>
      <c r="F6764" s="95">
        <f t="shared" si="562"/>
        <v>239</v>
      </c>
    </row>
    <row r="6765" spans="1:6" x14ac:dyDescent="0.25">
      <c r="A6765" s="105" t="s">
        <v>38</v>
      </c>
      <c r="B6765" s="19">
        <v>44174</v>
      </c>
      <c r="C6765" s="4">
        <v>135</v>
      </c>
      <c r="D6765" s="21">
        <f t="shared" si="561"/>
        <v>17789</v>
      </c>
      <c r="E6765" s="4">
        <v>4</v>
      </c>
      <c r="F6765" s="95">
        <f t="shared" si="562"/>
        <v>312</v>
      </c>
    </row>
    <row r="6766" spans="1:6" x14ac:dyDescent="0.25">
      <c r="A6766" s="105" t="s">
        <v>23</v>
      </c>
      <c r="B6766" s="19">
        <v>44174</v>
      </c>
      <c r="C6766" s="4">
        <v>996</v>
      </c>
      <c r="D6766" s="21">
        <f t="shared" si="561"/>
        <v>156350</v>
      </c>
      <c r="E6766" s="4">
        <v>37</v>
      </c>
      <c r="F6766" s="95">
        <f t="shared" si="562"/>
        <v>2482</v>
      </c>
    </row>
    <row r="6767" spans="1:6" x14ac:dyDescent="0.25">
      <c r="A6767" s="105" t="s">
        <v>39</v>
      </c>
      <c r="B6767" s="19">
        <v>44174</v>
      </c>
      <c r="C6767" s="4">
        <v>56</v>
      </c>
      <c r="D6767" s="21">
        <f t="shared" si="561"/>
        <v>16295</v>
      </c>
      <c r="E6767" s="4">
        <v>1</v>
      </c>
      <c r="F6767" s="95">
        <f t="shared" si="562"/>
        <v>202</v>
      </c>
    </row>
    <row r="6768" spans="1:6" x14ac:dyDescent="0.25">
      <c r="A6768" s="105" t="s">
        <v>40</v>
      </c>
      <c r="B6768" s="19">
        <v>44174</v>
      </c>
      <c r="C6768" s="4">
        <v>89</v>
      </c>
      <c r="D6768" s="21">
        <f t="shared" si="561"/>
        <v>17008</v>
      </c>
      <c r="E6768" s="4">
        <v>2</v>
      </c>
      <c r="F6768" s="95">
        <f t="shared" si="562"/>
        <v>241</v>
      </c>
    </row>
    <row r="6769" spans="1:6" ht="15.75" thickBot="1" x14ac:dyDescent="0.3">
      <c r="A6769" s="107" t="s">
        <v>41</v>
      </c>
      <c r="B6769" s="29">
        <v>44174</v>
      </c>
      <c r="C6769" s="30">
        <v>167</v>
      </c>
      <c r="D6769" s="59">
        <f t="shared" si="561"/>
        <v>67610</v>
      </c>
      <c r="E6769" s="30">
        <v>10</v>
      </c>
      <c r="F6769" s="104">
        <f t="shared" si="562"/>
        <v>1257</v>
      </c>
    </row>
    <row r="6770" spans="1:6" x14ac:dyDescent="0.25">
      <c r="A6770" s="45" t="s">
        <v>17</v>
      </c>
      <c r="B6770" s="32">
        <v>44175</v>
      </c>
      <c r="C6770" s="33">
        <v>1906</v>
      </c>
      <c r="D6770" s="97">
        <f t="shared" si="561"/>
        <v>633372</v>
      </c>
      <c r="E6770" s="33">
        <v>56</v>
      </c>
      <c r="F6770" s="94">
        <f t="shared" si="562"/>
        <v>21291</v>
      </c>
    </row>
    <row r="6771" spans="1:6" x14ac:dyDescent="0.25">
      <c r="A6771" s="105" t="s">
        <v>44</v>
      </c>
      <c r="B6771" s="19">
        <v>44175</v>
      </c>
      <c r="C6771" s="4">
        <v>402</v>
      </c>
      <c r="D6771" s="21">
        <f t="shared" si="561"/>
        <v>161732</v>
      </c>
      <c r="E6771" s="4">
        <v>3</v>
      </c>
      <c r="F6771" s="95">
        <f t="shared" si="562"/>
        <v>5325</v>
      </c>
    </row>
    <row r="6772" spans="1:6" x14ac:dyDescent="0.25">
      <c r="A6772" s="105" t="s">
        <v>29</v>
      </c>
      <c r="B6772" s="19">
        <v>44175</v>
      </c>
      <c r="C6772" s="4">
        <v>27</v>
      </c>
      <c r="D6772" s="21">
        <f t="shared" si="561"/>
        <v>2057</v>
      </c>
      <c r="E6772" s="4">
        <v>0</v>
      </c>
      <c r="F6772" s="95">
        <f t="shared" si="562"/>
        <v>17</v>
      </c>
    </row>
    <row r="6773" spans="1:6" x14ac:dyDescent="0.25">
      <c r="A6773" s="105" t="s">
        <v>16</v>
      </c>
      <c r="B6773" s="19">
        <v>44175</v>
      </c>
      <c r="C6773" s="4">
        <v>155</v>
      </c>
      <c r="D6773" s="21">
        <f t="shared" si="561"/>
        <v>21191</v>
      </c>
      <c r="E6773" s="4">
        <v>2</v>
      </c>
      <c r="F6773" s="95">
        <f t="shared" si="562"/>
        <v>609</v>
      </c>
    </row>
    <row r="6774" spans="1:6" x14ac:dyDescent="0.25">
      <c r="A6774" s="105" t="s">
        <v>30</v>
      </c>
      <c r="B6774" s="19">
        <v>44175</v>
      </c>
      <c r="C6774" s="4">
        <v>337</v>
      </c>
      <c r="D6774" s="21">
        <f t="shared" si="561"/>
        <v>25373</v>
      </c>
      <c r="E6774" s="4">
        <v>15</v>
      </c>
      <c r="F6774" s="95">
        <f t="shared" si="562"/>
        <v>426</v>
      </c>
    </row>
    <row r="6775" spans="1:6" x14ac:dyDescent="0.25">
      <c r="A6775" s="105" t="s">
        <v>21</v>
      </c>
      <c r="B6775" s="19">
        <v>44175</v>
      </c>
      <c r="C6775" s="4">
        <v>610</v>
      </c>
      <c r="D6775" s="21">
        <f t="shared" si="561"/>
        <v>118709</v>
      </c>
      <c r="E6775" s="4">
        <v>26</v>
      </c>
      <c r="F6775" s="95">
        <f t="shared" si="562"/>
        <v>2167</v>
      </c>
    </row>
    <row r="6776" spans="1:6" x14ac:dyDescent="0.25">
      <c r="A6776" s="105" t="s">
        <v>31</v>
      </c>
      <c r="B6776" s="19">
        <v>44175</v>
      </c>
      <c r="C6776" s="4">
        <v>221</v>
      </c>
      <c r="D6776" s="21">
        <f t="shared" si="561"/>
        <v>9271</v>
      </c>
      <c r="E6776" s="4">
        <v>0</v>
      </c>
      <c r="F6776" s="95">
        <f t="shared" si="562"/>
        <v>130</v>
      </c>
    </row>
    <row r="6777" spans="1:6" x14ac:dyDescent="0.25">
      <c r="A6777" s="105" t="s">
        <v>32</v>
      </c>
      <c r="B6777" s="19">
        <v>44175</v>
      </c>
      <c r="C6777" s="4">
        <v>174</v>
      </c>
      <c r="D6777" s="21">
        <f t="shared" si="561"/>
        <v>24989</v>
      </c>
      <c r="E6777" s="4">
        <v>3</v>
      </c>
      <c r="F6777" s="95">
        <f t="shared" si="562"/>
        <v>508</v>
      </c>
    </row>
    <row r="6778" spans="1:6" x14ac:dyDescent="0.25">
      <c r="A6778" s="105" t="s">
        <v>42</v>
      </c>
      <c r="B6778" s="19">
        <v>44175</v>
      </c>
      <c r="C6778" s="4">
        <v>-2</v>
      </c>
      <c r="D6778" s="21">
        <f t="shared" si="561"/>
        <v>195</v>
      </c>
      <c r="E6778" s="4">
        <v>0</v>
      </c>
      <c r="F6778" s="95">
        <f t="shared" si="562"/>
        <v>3</v>
      </c>
    </row>
    <row r="6779" spans="1:6" x14ac:dyDescent="0.25">
      <c r="A6779" s="105" t="s">
        <v>33</v>
      </c>
      <c r="B6779" s="19">
        <v>44175</v>
      </c>
      <c r="C6779" s="4">
        <v>2</v>
      </c>
      <c r="D6779" s="21">
        <f t="shared" si="561"/>
        <v>18431</v>
      </c>
      <c r="E6779" s="4">
        <v>1</v>
      </c>
      <c r="F6779" s="95">
        <f t="shared" si="562"/>
        <v>853</v>
      </c>
    </row>
    <row r="6780" spans="1:6" x14ac:dyDescent="0.25">
      <c r="A6780" s="105" t="s">
        <v>34</v>
      </c>
      <c r="B6780" s="19">
        <v>44175</v>
      </c>
      <c r="C6780" s="4">
        <v>102</v>
      </c>
      <c r="D6780" s="21">
        <f t="shared" si="561"/>
        <v>6625</v>
      </c>
      <c r="E6780" s="4">
        <v>1</v>
      </c>
      <c r="F6780" s="95">
        <f t="shared" si="562"/>
        <v>96</v>
      </c>
    </row>
    <row r="6781" spans="1:6" x14ac:dyDescent="0.25">
      <c r="A6781" s="105" t="s">
        <v>22</v>
      </c>
      <c r="B6781" s="19">
        <v>44175</v>
      </c>
      <c r="C6781" s="4">
        <v>9</v>
      </c>
      <c r="D6781" s="21">
        <f t="shared" si="561"/>
        <v>8902</v>
      </c>
      <c r="E6781" s="4">
        <v>0</v>
      </c>
      <c r="F6781" s="95">
        <f t="shared" si="562"/>
        <v>322</v>
      </c>
    </row>
    <row r="6782" spans="1:6" x14ac:dyDescent="0.25">
      <c r="A6782" s="105" t="s">
        <v>18</v>
      </c>
      <c r="B6782" s="19">
        <v>44175</v>
      </c>
      <c r="C6782" s="4">
        <v>163</v>
      </c>
      <c r="D6782" s="21">
        <f t="shared" si="561"/>
        <v>57903</v>
      </c>
      <c r="E6782" s="4">
        <v>8</v>
      </c>
      <c r="F6782" s="95">
        <f t="shared" si="562"/>
        <v>1172</v>
      </c>
    </row>
    <row r="6783" spans="1:6" x14ac:dyDescent="0.25">
      <c r="A6783" s="105" t="s">
        <v>24</v>
      </c>
      <c r="B6783" s="19">
        <v>44175</v>
      </c>
      <c r="C6783" s="4">
        <v>8</v>
      </c>
      <c r="D6783" s="21">
        <f t="shared" si="561"/>
        <v>616</v>
      </c>
      <c r="E6783" s="4">
        <v>0</v>
      </c>
      <c r="F6783" s="95">
        <f t="shared" si="562"/>
        <v>9</v>
      </c>
    </row>
    <row r="6784" spans="1:6" x14ac:dyDescent="0.25">
      <c r="A6784" s="105" t="s">
        <v>20</v>
      </c>
      <c r="B6784" s="19">
        <v>44175</v>
      </c>
      <c r="C6784" s="4">
        <v>368</v>
      </c>
      <c r="D6784" s="21">
        <f t="shared" si="561"/>
        <v>36507</v>
      </c>
      <c r="E6784" s="4">
        <v>4</v>
      </c>
      <c r="F6784" s="95">
        <f t="shared" si="562"/>
        <v>661</v>
      </c>
    </row>
    <row r="6785" spans="1:6" x14ac:dyDescent="0.25">
      <c r="A6785" s="105" t="s">
        <v>19</v>
      </c>
      <c r="B6785" s="19">
        <v>44175</v>
      </c>
      <c r="C6785" s="4">
        <v>406</v>
      </c>
      <c r="D6785" s="21">
        <f t="shared" si="561"/>
        <v>33642</v>
      </c>
      <c r="E6785" s="4">
        <v>11</v>
      </c>
      <c r="F6785" s="95">
        <f t="shared" si="562"/>
        <v>819</v>
      </c>
    </row>
    <row r="6786" spans="1:6" x14ac:dyDescent="0.25">
      <c r="A6786" s="105" t="s">
        <v>35</v>
      </c>
      <c r="B6786" s="19">
        <v>44175</v>
      </c>
      <c r="C6786" s="4">
        <v>40</v>
      </c>
      <c r="D6786" s="21">
        <f t="shared" si="561"/>
        <v>21493</v>
      </c>
      <c r="E6786" s="4">
        <v>2</v>
      </c>
      <c r="F6786" s="95">
        <f t="shared" si="562"/>
        <v>994</v>
      </c>
    </row>
    <row r="6787" spans="1:6" x14ac:dyDescent="0.25">
      <c r="A6787" s="105" t="s">
        <v>36</v>
      </c>
      <c r="B6787" s="19">
        <v>44175</v>
      </c>
      <c r="C6787" s="4">
        <v>239</v>
      </c>
      <c r="D6787" s="21">
        <f t="shared" si="561"/>
        <v>9042</v>
      </c>
      <c r="E6787" s="4">
        <v>0</v>
      </c>
      <c r="F6787" s="95">
        <f t="shared" si="562"/>
        <v>174</v>
      </c>
    </row>
    <row r="6788" spans="1:6" x14ac:dyDescent="0.25">
      <c r="A6788" s="105" t="s">
        <v>37</v>
      </c>
      <c r="B6788" s="19">
        <v>44175</v>
      </c>
      <c r="C6788" s="4">
        <v>76</v>
      </c>
      <c r="D6788" s="21">
        <f t="shared" si="561"/>
        <v>15363</v>
      </c>
      <c r="E6788" s="4">
        <v>9</v>
      </c>
      <c r="F6788" s="95">
        <f t="shared" si="562"/>
        <v>248</v>
      </c>
    </row>
    <row r="6789" spans="1:6" x14ac:dyDescent="0.25">
      <c r="A6789" s="105" t="s">
        <v>38</v>
      </c>
      <c r="B6789" s="19">
        <v>44175</v>
      </c>
      <c r="C6789" s="4">
        <v>320</v>
      </c>
      <c r="D6789" s="21">
        <f t="shared" si="561"/>
        <v>18109</v>
      </c>
      <c r="E6789" s="4">
        <v>5</v>
      </c>
      <c r="F6789" s="95">
        <f t="shared" si="562"/>
        <v>317</v>
      </c>
    </row>
    <row r="6790" spans="1:6" x14ac:dyDescent="0.25">
      <c r="A6790" s="105" t="s">
        <v>23</v>
      </c>
      <c r="B6790" s="19">
        <v>44175</v>
      </c>
      <c r="C6790" s="4">
        <v>1000</v>
      </c>
      <c r="D6790" s="21">
        <f t="shared" si="561"/>
        <v>157350</v>
      </c>
      <c r="E6790" s="4">
        <v>34</v>
      </c>
      <c r="F6790" s="95">
        <f t="shared" si="562"/>
        <v>2516</v>
      </c>
    </row>
    <row r="6791" spans="1:6" x14ac:dyDescent="0.25">
      <c r="A6791" s="105" t="s">
        <v>39</v>
      </c>
      <c r="B6791" s="19">
        <v>44175</v>
      </c>
      <c r="C6791" s="4">
        <v>44</v>
      </c>
      <c r="D6791" s="21">
        <f t="shared" si="561"/>
        <v>16339</v>
      </c>
      <c r="E6791" s="4">
        <v>3</v>
      </c>
      <c r="F6791" s="95">
        <f t="shared" si="562"/>
        <v>205</v>
      </c>
    </row>
    <row r="6792" spans="1:6" x14ac:dyDescent="0.25">
      <c r="A6792" s="105" t="s">
        <v>40</v>
      </c>
      <c r="B6792" s="19">
        <v>44175</v>
      </c>
      <c r="C6792" s="4">
        <v>152</v>
      </c>
      <c r="D6792" s="21">
        <f t="shared" si="561"/>
        <v>17160</v>
      </c>
      <c r="E6792" s="4">
        <v>1</v>
      </c>
      <c r="F6792" s="95">
        <f t="shared" si="562"/>
        <v>242</v>
      </c>
    </row>
    <row r="6793" spans="1:6" ht="15.75" thickBot="1" x14ac:dyDescent="0.3">
      <c r="A6793" s="106" t="s">
        <v>41</v>
      </c>
      <c r="B6793" s="19">
        <v>44175</v>
      </c>
      <c r="C6793" s="37">
        <v>235</v>
      </c>
      <c r="D6793" s="98">
        <f t="shared" si="561"/>
        <v>67845</v>
      </c>
      <c r="E6793" s="37">
        <v>25</v>
      </c>
      <c r="F6793" s="96">
        <f t="shared" si="562"/>
        <v>1282</v>
      </c>
    </row>
    <row r="6794" spans="1:6" x14ac:dyDescent="0.25">
      <c r="A6794" s="45" t="s">
        <v>17</v>
      </c>
      <c r="B6794" s="19">
        <v>44176</v>
      </c>
      <c r="C6794" s="31">
        <v>2101</v>
      </c>
      <c r="D6794" s="97">
        <f t="shared" si="561"/>
        <v>635473</v>
      </c>
      <c r="E6794" s="31">
        <v>31</v>
      </c>
      <c r="F6794" s="94">
        <f t="shared" si="562"/>
        <v>21322</v>
      </c>
    </row>
    <row r="6795" spans="1:6" x14ac:dyDescent="0.25">
      <c r="A6795" s="105" t="s">
        <v>44</v>
      </c>
      <c r="B6795" s="19">
        <v>44176</v>
      </c>
      <c r="C6795" s="4">
        <v>445</v>
      </c>
      <c r="D6795" s="21">
        <f t="shared" si="561"/>
        <v>162177</v>
      </c>
      <c r="E6795" s="4">
        <v>10</v>
      </c>
      <c r="F6795" s="95">
        <f t="shared" si="562"/>
        <v>5335</v>
      </c>
    </row>
    <row r="6796" spans="1:6" x14ac:dyDescent="0.25">
      <c r="A6796" s="105" t="s">
        <v>29</v>
      </c>
      <c r="B6796" s="19">
        <v>44176</v>
      </c>
      <c r="C6796" s="4">
        <v>3</v>
      </c>
      <c r="D6796" s="21">
        <f t="shared" si="561"/>
        <v>2060</v>
      </c>
      <c r="E6796" s="4">
        <v>0</v>
      </c>
      <c r="F6796" s="95">
        <f t="shared" si="562"/>
        <v>17</v>
      </c>
    </row>
    <row r="6797" spans="1:6" x14ac:dyDescent="0.25">
      <c r="A6797" s="105" t="s">
        <v>16</v>
      </c>
      <c r="B6797" s="19">
        <v>44176</v>
      </c>
      <c r="C6797" s="4">
        <v>202</v>
      </c>
      <c r="D6797" s="21">
        <f t="shared" si="561"/>
        <v>21393</v>
      </c>
      <c r="E6797" s="4">
        <v>6</v>
      </c>
      <c r="F6797" s="95">
        <f t="shared" si="562"/>
        <v>615</v>
      </c>
    </row>
    <row r="6798" spans="1:6" x14ac:dyDescent="0.25">
      <c r="A6798" s="105" t="s">
        <v>30</v>
      </c>
      <c r="B6798" s="19">
        <v>44176</v>
      </c>
      <c r="C6798" s="4">
        <v>342</v>
      </c>
      <c r="D6798" s="21">
        <f t="shared" si="561"/>
        <v>25715</v>
      </c>
      <c r="E6798" s="4">
        <v>10</v>
      </c>
      <c r="F6798" s="95">
        <f t="shared" si="562"/>
        <v>436</v>
      </c>
    </row>
    <row r="6799" spans="1:6" x14ac:dyDescent="0.25">
      <c r="A6799" s="105" t="s">
        <v>21</v>
      </c>
      <c r="B6799" s="19">
        <v>44176</v>
      </c>
      <c r="C6799" s="4">
        <v>532</v>
      </c>
      <c r="D6799" s="21">
        <f t="shared" si="561"/>
        <v>119241</v>
      </c>
      <c r="E6799" s="4">
        <v>36</v>
      </c>
      <c r="F6799" s="95">
        <f t="shared" si="562"/>
        <v>2203</v>
      </c>
    </row>
    <row r="6800" spans="1:6" x14ac:dyDescent="0.25">
      <c r="A6800" s="105" t="s">
        <v>31</v>
      </c>
      <c r="B6800" s="19">
        <v>44176</v>
      </c>
      <c r="C6800" s="4">
        <v>171</v>
      </c>
      <c r="D6800" s="21">
        <f t="shared" si="561"/>
        <v>9442</v>
      </c>
      <c r="E6800" s="4">
        <v>3</v>
      </c>
      <c r="F6800" s="95">
        <f t="shared" si="562"/>
        <v>133</v>
      </c>
    </row>
    <row r="6801" spans="1:6" x14ac:dyDescent="0.25">
      <c r="A6801" s="105" t="s">
        <v>32</v>
      </c>
      <c r="B6801" s="19">
        <v>44176</v>
      </c>
      <c r="C6801" s="4">
        <v>350</v>
      </c>
      <c r="D6801" s="21">
        <f t="shared" si="561"/>
        <v>25339</v>
      </c>
      <c r="E6801" s="4">
        <v>9</v>
      </c>
      <c r="F6801" s="95">
        <f t="shared" si="562"/>
        <v>517</v>
      </c>
    </row>
    <row r="6802" spans="1:6" x14ac:dyDescent="0.25">
      <c r="A6802" s="105" t="s">
        <v>42</v>
      </c>
      <c r="B6802" s="19">
        <v>44176</v>
      </c>
      <c r="C6802" s="4">
        <v>1</v>
      </c>
      <c r="D6802" s="21">
        <f t="shared" si="561"/>
        <v>196</v>
      </c>
      <c r="E6802" s="4">
        <v>0</v>
      </c>
      <c r="F6802" s="95">
        <f t="shared" si="562"/>
        <v>3</v>
      </c>
    </row>
    <row r="6803" spans="1:6" x14ac:dyDescent="0.25">
      <c r="A6803" s="105" t="s">
        <v>33</v>
      </c>
      <c r="B6803" s="19">
        <v>44176</v>
      </c>
      <c r="C6803" s="4">
        <v>8</v>
      </c>
      <c r="D6803" s="21">
        <f t="shared" si="561"/>
        <v>18439</v>
      </c>
      <c r="E6803" s="4">
        <v>0</v>
      </c>
      <c r="F6803" s="95">
        <f t="shared" si="562"/>
        <v>853</v>
      </c>
    </row>
    <row r="6804" spans="1:6" x14ac:dyDescent="0.25">
      <c r="A6804" s="105" t="s">
        <v>34</v>
      </c>
      <c r="B6804" s="19">
        <v>44176</v>
      </c>
      <c r="C6804" s="4">
        <v>134</v>
      </c>
      <c r="D6804" s="21">
        <f t="shared" si="561"/>
        <v>6759</v>
      </c>
      <c r="E6804" s="4">
        <v>3</v>
      </c>
      <c r="F6804" s="95">
        <f t="shared" si="562"/>
        <v>99</v>
      </c>
    </row>
    <row r="6805" spans="1:6" x14ac:dyDescent="0.25">
      <c r="A6805" s="105" t="s">
        <v>22</v>
      </c>
      <c r="B6805" s="19">
        <v>44176</v>
      </c>
      <c r="C6805" s="4">
        <v>3</v>
      </c>
      <c r="D6805" s="21">
        <f t="shared" si="561"/>
        <v>8905</v>
      </c>
      <c r="E6805" s="4">
        <v>1</v>
      </c>
      <c r="F6805" s="95">
        <f t="shared" si="562"/>
        <v>323</v>
      </c>
    </row>
    <row r="6806" spans="1:6" x14ac:dyDescent="0.25">
      <c r="A6806" s="105" t="s">
        <v>18</v>
      </c>
      <c r="B6806" s="19">
        <v>44176</v>
      </c>
      <c r="C6806" s="4">
        <v>124</v>
      </c>
      <c r="D6806" s="21">
        <f t="shared" si="561"/>
        <v>58027</v>
      </c>
      <c r="E6806" s="4">
        <v>1</v>
      </c>
      <c r="F6806" s="95">
        <f t="shared" si="562"/>
        <v>1173</v>
      </c>
    </row>
    <row r="6807" spans="1:6" x14ac:dyDescent="0.25">
      <c r="A6807" s="105" t="s">
        <v>24</v>
      </c>
      <c r="B6807" s="19">
        <v>44176</v>
      </c>
      <c r="C6807" s="4">
        <v>20</v>
      </c>
      <c r="D6807" s="21">
        <f t="shared" si="561"/>
        <v>636</v>
      </c>
      <c r="E6807" s="4">
        <v>0</v>
      </c>
      <c r="F6807" s="95">
        <f t="shared" si="562"/>
        <v>9</v>
      </c>
    </row>
    <row r="6808" spans="1:6" x14ac:dyDescent="0.25">
      <c r="A6808" s="105" t="s">
        <v>20</v>
      </c>
      <c r="B6808" s="19">
        <v>44176</v>
      </c>
      <c r="C6808" s="4">
        <v>183</v>
      </c>
      <c r="D6808" s="21">
        <f t="shared" si="561"/>
        <v>36690</v>
      </c>
      <c r="E6808" s="4">
        <v>12</v>
      </c>
      <c r="F6808" s="95">
        <f t="shared" si="562"/>
        <v>673</v>
      </c>
    </row>
    <row r="6809" spans="1:6" x14ac:dyDescent="0.25">
      <c r="A6809" s="105" t="s">
        <v>19</v>
      </c>
      <c r="B6809" s="19">
        <v>44176</v>
      </c>
      <c r="C6809" s="4">
        <v>218</v>
      </c>
      <c r="D6809" s="21">
        <f t="shared" si="561"/>
        <v>33860</v>
      </c>
      <c r="E6809" s="4">
        <v>16</v>
      </c>
      <c r="F6809" s="95">
        <f t="shared" si="562"/>
        <v>835</v>
      </c>
    </row>
    <row r="6810" spans="1:6" x14ac:dyDescent="0.25">
      <c r="A6810" s="105" t="s">
        <v>35</v>
      </c>
      <c r="B6810" s="19">
        <v>44176</v>
      </c>
      <c r="C6810" s="4">
        <v>28</v>
      </c>
      <c r="D6810" s="21">
        <f t="shared" si="561"/>
        <v>21521</v>
      </c>
      <c r="E6810" s="4">
        <v>2</v>
      </c>
      <c r="F6810" s="95">
        <f t="shared" si="562"/>
        <v>996</v>
      </c>
    </row>
    <row r="6811" spans="1:6" x14ac:dyDescent="0.25">
      <c r="A6811" s="105" t="s">
        <v>36</v>
      </c>
      <c r="B6811" s="19">
        <v>44176</v>
      </c>
      <c r="C6811" s="4">
        <v>132</v>
      </c>
      <c r="D6811" s="21">
        <f t="shared" si="561"/>
        <v>9174</v>
      </c>
      <c r="E6811" s="4">
        <v>0</v>
      </c>
      <c r="F6811" s="95">
        <f t="shared" si="562"/>
        <v>174</v>
      </c>
    </row>
    <row r="6812" spans="1:6" x14ac:dyDescent="0.25">
      <c r="A6812" s="105" t="s">
        <v>37</v>
      </c>
      <c r="B6812" s="19">
        <v>44176</v>
      </c>
      <c r="C6812" s="4">
        <v>76</v>
      </c>
      <c r="D6812" s="21">
        <f t="shared" si="561"/>
        <v>15439</v>
      </c>
      <c r="E6812" s="4">
        <v>1</v>
      </c>
      <c r="F6812" s="95">
        <f t="shared" si="562"/>
        <v>249</v>
      </c>
    </row>
    <row r="6813" spans="1:6" x14ac:dyDescent="0.25">
      <c r="A6813" s="105" t="s">
        <v>38</v>
      </c>
      <c r="B6813" s="19">
        <v>44176</v>
      </c>
      <c r="C6813" s="4">
        <v>296</v>
      </c>
      <c r="D6813" s="21">
        <f t="shared" si="561"/>
        <v>18405</v>
      </c>
      <c r="E6813" s="4">
        <v>5</v>
      </c>
      <c r="F6813" s="95">
        <f t="shared" si="562"/>
        <v>322</v>
      </c>
    </row>
    <row r="6814" spans="1:6" x14ac:dyDescent="0.25">
      <c r="A6814" s="105" t="s">
        <v>23</v>
      </c>
      <c r="B6814" s="19">
        <v>44176</v>
      </c>
      <c r="C6814" s="4">
        <v>1205</v>
      </c>
      <c r="D6814" s="21">
        <f t="shared" si="561"/>
        <v>158555</v>
      </c>
      <c r="E6814" s="4">
        <v>20</v>
      </c>
      <c r="F6814" s="95">
        <f t="shared" si="562"/>
        <v>2536</v>
      </c>
    </row>
    <row r="6815" spans="1:6" x14ac:dyDescent="0.25">
      <c r="A6815" s="105" t="s">
        <v>39</v>
      </c>
      <c r="B6815" s="19">
        <v>44176</v>
      </c>
      <c r="C6815" s="4">
        <v>62</v>
      </c>
      <c r="D6815" s="21">
        <f t="shared" si="561"/>
        <v>16401</v>
      </c>
      <c r="E6815" s="4">
        <v>1</v>
      </c>
      <c r="F6815" s="95">
        <f t="shared" si="562"/>
        <v>206</v>
      </c>
    </row>
    <row r="6816" spans="1:6" x14ac:dyDescent="0.25">
      <c r="A6816" s="105" t="s">
        <v>40</v>
      </c>
      <c r="B6816" s="19">
        <v>44176</v>
      </c>
      <c r="C6816" s="4">
        <v>177</v>
      </c>
      <c r="D6816" s="21">
        <f t="shared" si="561"/>
        <v>17337</v>
      </c>
      <c r="E6816" s="4">
        <v>0</v>
      </c>
      <c r="F6816" s="95">
        <f t="shared" si="562"/>
        <v>242</v>
      </c>
    </row>
    <row r="6817" spans="1:6" ht="15.75" thickBot="1" x14ac:dyDescent="0.3">
      <c r="A6817" s="106" t="s">
        <v>41</v>
      </c>
      <c r="B6817" s="19">
        <v>44176</v>
      </c>
      <c r="C6817" s="4">
        <v>299</v>
      </c>
      <c r="D6817" s="98">
        <f>C6817+D6793</f>
        <v>68144</v>
      </c>
      <c r="E6817" s="4">
        <v>10</v>
      </c>
      <c r="F6817" s="96">
        <f t="shared" si="562"/>
        <v>1292</v>
      </c>
    </row>
    <row r="6818" spans="1:6" x14ac:dyDescent="0.25">
      <c r="A6818" s="45" t="s">
        <v>17</v>
      </c>
      <c r="B6818" s="19">
        <v>44177</v>
      </c>
      <c r="C6818" s="4">
        <v>1686</v>
      </c>
      <c r="D6818" s="97">
        <f t="shared" si="561"/>
        <v>637159</v>
      </c>
      <c r="E6818" s="4">
        <v>14</v>
      </c>
      <c r="F6818" s="94">
        <f t="shared" si="562"/>
        <v>21336</v>
      </c>
    </row>
    <row r="6819" spans="1:6" x14ac:dyDescent="0.25">
      <c r="A6819" s="105" t="s">
        <v>44</v>
      </c>
      <c r="B6819" s="19">
        <v>44177</v>
      </c>
      <c r="C6819" s="4">
        <v>386</v>
      </c>
      <c r="D6819" s="21">
        <f t="shared" ref="D6819:D6882" si="563">C6819+D6795</f>
        <v>162563</v>
      </c>
      <c r="E6819" s="4">
        <v>4</v>
      </c>
      <c r="F6819" s="95">
        <f t="shared" ref="F6819:F6882" si="564">E6819+F6795</f>
        <v>5339</v>
      </c>
    </row>
    <row r="6820" spans="1:6" x14ac:dyDescent="0.25">
      <c r="A6820" s="105" t="s">
        <v>29</v>
      </c>
      <c r="B6820" s="19">
        <v>44177</v>
      </c>
      <c r="C6820" s="4">
        <v>55</v>
      </c>
      <c r="D6820" s="21">
        <f t="shared" si="563"/>
        <v>2115</v>
      </c>
      <c r="E6820" s="4">
        <v>0</v>
      </c>
      <c r="F6820" s="95">
        <f t="shared" si="564"/>
        <v>17</v>
      </c>
    </row>
    <row r="6821" spans="1:6" x14ac:dyDescent="0.25">
      <c r="A6821" s="105" t="s">
        <v>16</v>
      </c>
      <c r="B6821" s="19">
        <v>44177</v>
      </c>
      <c r="C6821" s="4">
        <v>200</v>
      </c>
      <c r="D6821" s="21">
        <f t="shared" si="563"/>
        <v>21593</v>
      </c>
      <c r="E6821" s="4">
        <v>0</v>
      </c>
      <c r="F6821" s="95">
        <f t="shared" si="564"/>
        <v>615</v>
      </c>
    </row>
    <row r="6822" spans="1:6" x14ac:dyDescent="0.25">
      <c r="A6822" s="105" t="s">
        <v>30</v>
      </c>
      <c r="B6822" s="19">
        <v>44177</v>
      </c>
      <c r="C6822" s="4">
        <v>229</v>
      </c>
      <c r="D6822" s="21">
        <f t="shared" si="563"/>
        <v>25944</v>
      </c>
      <c r="E6822" s="4">
        <v>0</v>
      </c>
      <c r="F6822" s="95">
        <f t="shared" si="564"/>
        <v>436</v>
      </c>
    </row>
    <row r="6823" spans="1:6" x14ac:dyDescent="0.25">
      <c r="A6823" s="105" t="s">
        <v>21</v>
      </c>
      <c r="B6823" s="19">
        <v>44177</v>
      </c>
      <c r="C6823" s="4">
        <v>291</v>
      </c>
      <c r="D6823" s="21">
        <f t="shared" si="563"/>
        <v>119532</v>
      </c>
      <c r="E6823" s="4">
        <v>23</v>
      </c>
      <c r="F6823" s="95">
        <f t="shared" si="564"/>
        <v>2226</v>
      </c>
    </row>
    <row r="6824" spans="1:6" x14ac:dyDescent="0.25">
      <c r="A6824" s="105" t="s">
        <v>31</v>
      </c>
      <c r="B6824" s="19">
        <v>44177</v>
      </c>
      <c r="C6824" s="4">
        <v>64</v>
      </c>
      <c r="D6824" s="21">
        <f t="shared" si="563"/>
        <v>9506</v>
      </c>
      <c r="E6824" s="4">
        <v>0</v>
      </c>
      <c r="F6824" s="95">
        <f t="shared" si="564"/>
        <v>133</v>
      </c>
    </row>
    <row r="6825" spans="1:6" x14ac:dyDescent="0.25">
      <c r="A6825" s="105" t="s">
        <v>32</v>
      </c>
      <c r="B6825" s="19">
        <v>44177</v>
      </c>
      <c r="C6825" s="4">
        <v>246</v>
      </c>
      <c r="D6825" s="21">
        <f t="shared" si="563"/>
        <v>25585</v>
      </c>
      <c r="E6825" s="4">
        <v>4</v>
      </c>
      <c r="F6825" s="95">
        <f t="shared" si="564"/>
        <v>521</v>
      </c>
    </row>
    <row r="6826" spans="1:6" x14ac:dyDescent="0.25">
      <c r="A6826" s="105" t="s">
        <v>42</v>
      </c>
      <c r="B6826" s="19">
        <v>44177</v>
      </c>
      <c r="C6826" s="4">
        <v>0</v>
      </c>
      <c r="D6826" s="21">
        <f t="shared" si="563"/>
        <v>196</v>
      </c>
      <c r="E6826" s="4">
        <v>0</v>
      </c>
      <c r="F6826" s="95">
        <f t="shared" si="564"/>
        <v>3</v>
      </c>
    </row>
    <row r="6827" spans="1:6" x14ac:dyDescent="0.25">
      <c r="A6827" s="105" t="s">
        <v>33</v>
      </c>
      <c r="B6827" s="19">
        <v>44177</v>
      </c>
      <c r="C6827" s="4">
        <v>9</v>
      </c>
      <c r="D6827" s="21">
        <f t="shared" si="563"/>
        <v>18448</v>
      </c>
      <c r="E6827" s="4">
        <v>1</v>
      </c>
      <c r="F6827" s="95">
        <f t="shared" si="564"/>
        <v>854</v>
      </c>
    </row>
    <row r="6828" spans="1:6" x14ac:dyDescent="0.25">
      <c r="A6828" s="105" t="s">
        <v>34</v>
      </c>
      <c r="B6828" s="19">
        <v>44177</v>
      </c>
      <c r="C6828" s="4">
        <v>91</v>
      </c>
      <c r="D6828" s="21">
        <f t="shared" si="563"/>
        <v>6850</v>
      </c>
      <c r="E6828" s="4">
        <v>0</v>
      </c>
      <c r="F6828" s="95">
        <f t="shared" si="564"/>
        <v>99</v>
      </c>
    </row>
    <row r="6829" spans="1:6" x14ac:dyDescent="0.25">
      <c r="A6829" s="105" t="s">
        <v>22</v>
      </c>
      <c r="B6829" s="19">
        <v>44177</v>
      </c>
      <c r="C6829" s="4">
        <v>18</v>
      </c>
      <c r="D6829" s="21">
        <f t="shared" si="563"/>
        <v>8923</v>
      </c>
      <c r="E6829" s="4">
        <v>1</v>
      </c>
      <c r="F6829" s="95">
        <f t="shared" si="564"/>
        <v>324</v>
      </c>
    </row>
    <row r="6830" spans="1:6" x14ac:dyDescent="0.25">
      <c r="A6830" s="105" t="s">
        <v>18</v>
      </c>
      <c r="B6830" s="19">
        <v>44177</v>
      </c>
      <c r="C6830" s="4">
        <v>111</v>
      </c>
      <c r="D6830" s="21">
        <f t="shared" si="563"/>
        <v>58138</v>
      </c>
      <c r="E6830" s="4">
        <v>1</v>
      </c>
      <c r="F6830" s="95">
        <f t="shared" si="564"/>
        <v>1174</v>
      </c>
    </row>
    <row r="6831" spans="1:6" x14ac:dyDescent="0.25">
      <c r="A6831" s="105" t="s">
        <v>24</v>
      </c>
      <c r="B6831" s="19">
        <v>44177</v>
      </c>
      <c r="C6831" s="4">
        <v>19</v>
      </c>
      <c r="D6831" s="21">
        <f t="shared" si="563"/>
        <v>655</v>
      </c>
      <c r="E6831" s="4">
        <v>0</v>
      </c>
      <c r="F6831" s="95">
        <f t="shared" si="564"/>
        <v>9</v>
      </c>
    </row>
    <row r="6832" spans="1:6" x14ac:dyDescent="0.25">
      <c r="A6832" s="105" t="s">
        <v>20</v>
      </c>
      <c r="B6832" s="19">
        <v>44177</v>
      </c>
      <c r="C6832" s="4">
        <v>126</v>
      </c>
      <c r="D6832" s="21">
        <f t="shared" si="563"/>
        <v>36816</v>
      </c>
      <c r="E6832" s="4">
        <v>0</v>
      </c>
      <c r="F6832" s="95">
        <f t="shared" si="564"/>
        <v>673</v>
      </c>
    </row>
    <row r="6833" spans="1:6" x14ac:dyDescent="0.25">
      <c r="A6833" s="105" t="s">
        <v>19</v>
      </c>
      <c r="B6833" s="19">
        <v>44177</v>
      </c>
      <c r="C6833" s="4">
        <v>220</v>
      </c>
      <c r="D6833" s="21">
        <f t="shared" si="563"/>
        <v>34080</v>
      </c>
      <c r="E6833" s="4">
        <v>4</v>
      </c>
      <c r="F6833" s="95">
        <f t="shared" si="564"/>
        <v>839</v>
      </c>
    </row>
    <row r="6834" spans="1:6" x14ac:dyDescent="0.25">
      <c r="A6834" s="105" t="s">
        <v>35</v>
      </c>
      <c r="B6834" s="19">
        <v>44177</v>
      </c>
      <c r="C6834" s="4">
        <v>29</v>
      </c>
      <c r="D6834" s="21">
        <f t="shared" si="563"/>
        <v>21550</v>
      </c>
      <c r="E6834" s="4">
        <v>1</v>
      </c>
      <c r="F6834" s="95">
        <f t="shared" si="564"/>
        <v>997</v>
      </c>
    </row>
    <row r="6835" spans="1:6" x14ac:dyDescent="0.25">
      <c r="A6835" s="105" t="s">
        <v>36</v>
      </c>
      <c r="B6835" s="19">
        <v>44177</v>
      </c>
      <c r="C6835" s="4">
        <v>47</v>
      </c>
      <c r="D6835" s="21">
        <f t="shared" si="563"/>
        <v>9221</v>
      </c>
      <c r="E6835" s="4">
        <v>0</v>
      </c>
      <c r="F6835" s="95">
        <f t="shared" si="564"/>
        <v>174</v>
      </c>
    </row>
    <row r="6836" spans="1:6" x14ac:dyDescent="0.25">
      <c r="A6836" s="105" t="s">
        <v>37</v>
      </c>
      <c r="B6836" s="19">
        <v>44177</v>
      </c>
      <c r="C6836" s="4">
        <v>19</v>
      </c>
      <c r="D6836" s="21">
        <f t="shared" si="563"/>
        <v>15458</v>
      </c>
      <c r="E6836" s="4">
        <v>1</v>
      </c>
      <c r="F6836" s="95">
        <f t="shared" si="564"/>
        <v>250</v>
      </c>
    </row>
    <row r="6837" spans="1:6" x14ac:dyDescent="0.25">
      <c r="A6837" s="105" t="s">
        <v>38</v>
      </c>
      <c r="B6837" s="19">
        <v>44177</v>
      </c>
      <c r="C6837" s="4">
        <v>229</v>
      </c>
      <c r="D6837" s="21">
        <f t="shared" si="563"/>
        <v>18634</v>
      </c>
      <c r="E6837" s="4">
        <v>5</v>
      </c>
      <c r="F6837" s="95">
        <f t="shared" si="564"/>
        <v>327</v>
      </c>
    </row>
    <row r="6838" spans="1:6" x14ac:dyDescent="0.25">
      <c r="A6838" s="105" t="s">
        <v>23</v>
      </c>
      <c r="B6838" s="19">
        <v>44177</v>
      </c>
      <c r="C6838" s="4">
        <v>893</v>
      </c>
      <c r="D6838" s="21">
        <f t="shared" si="563"/>
        <v>159448</v>
      </c>
      <c r="E6838" s="4">
        <v>2</v>
      </c>
      <c r="F6838" s="95">
        <f t="shared" si="564"/>
        <v>2538</v>
      </c>
    </row>
    <row r="6839" spans="1:6" x14ac:dyDescent="0.25">
      <c r="A6839" s="105" t="s">
        <v>39</v>
      </c>
      <c r="B6839" s="19">
        <v>44177</v>
      </c>
      <c r="C6839" s="4">
        <v>42</v>
      </c>
      <c r="D6839" s="21">
        <f t="shared" si="563"/>
        <v>16443</v>
      </c>
      <c r="E6839" s="4">
        <v>0</v>
      </c>
      <c r="F6839" s="95">
        <f t="shared" si="564"/>
        <v>206</v>
      </c>
    </row>
    <row r="6840" spans="1:6" x14ac:dyDescent="0.25">
      <c r="A6840" s="105" t="s">
        <v>40</v>
      </c>
      <c r="B6840" s="19">
        <v>44177</v>
      </c>
      <c r="C6840" s="4">
        <v>93</v>
      </c>
      <c r="D6840" s="21">
        <f t="shared" si="563"/>
        <v>17430</v>
      </c>
      <c r="E6840" s="4">
        <v>0</v>
      </c>
      <c r="F6840" s="95">
        <f t="shared" si="564"/>
        <v>242</v>
      </c>
    </row>
    <row r="6841" spans="1:6" ht="15.75" thickBot="1" x14ac:dyDescent="0.3">
      <c r="A6841" s="106" t="s">
        <v>41</v>
      </c>
      <c r="B6841" s="19">
        <v>44177</v>
      </c>
      <c r="C6841" s="4">
        <v>171</v>
      </c>
      <c r="D6841" s="98">
        <f t="shared" si="563"/>
        <v>68315</v>
      </c>
      <c r="E6841" s="4">
        <v>0</v>
      </c>
      <c r="F6841" s="96">
        <f t="shared" si="564"/>
        <v>1292</v>
      </c>
    </row>
    <row r="6842" spans="1:6" x14ac:dyDescent="0.25">
      <c r="A6842" s="45" t="s">
        <v>17</v>
      </c>
      <c r="B6842" s="19">
        <v>44178</v>
      </c>
      <c r="C6842" s="4">
        <v>870</v>
      </c>
      <c r="D6842" s="97">
        <f t="shared" si="563"/>
        <v>638029</v>
      </c>
      <c r="E6842" s="4">
        <v>49</v>
      </c>
      <c r="F6842" s="94">
        <f t="shared" si="564"/>
        <v>21385</v>
      </c>
    </row>
    <row r="6843" spans="1:6" x14ac:dyDescent="0.25">
      <c r="A6843" s="105" t="s">
        <v>44</v>
      </c>
      <c r="B6843" s="19">
        <v>44178</v>
      </c>
      <c r="C6843" s="4">
        <v>246</v>
      </c>
      <c r="D6843" s="21">
        <f t="shared" si="563"/>
        <v>162809</v>
      </c>
      <c r="E6843" s="4">
        <v>1</v>
      </c>
      <c r="F6843" s="95">
        <f t="shared" si="564"/>
        <v>5340</v>
      </c>
    </row>
    <row r="6844" spans="1:6" x14ac:dyDescent="0.25">
      <c r="A6844" s="105" t="s">
        <v>29</v>
      </c>
      <c r="B6844" s="19">
        <v>44178</v>
      </c>
      <c r="C6844" s="4">
        <v>22</v>
      </c>
      <c r="D6844" s="21">
        <f t="shared" si="563"/>
        <v>2137</v>
      </c>
      <c r="E6844" s="4">
        <v>0</v>
      </c>
      <c r="F6844" s="95">
        <f t="shared" si="564"/>
        <v>17</v>
      </c>
    </row>
    <row r="6845" spans="1:6" x14ac:dyDescent="0.25">
      <c r="A6845" s="105" t="s">
        <v>16</v>
      </c>
      <c r="B6845" s="19">
        <v>44178</v>
      </c>
      <c r="C6845" s="4">
        <v>109</v>
      </c>
      <c r="D6845" s="21">
        <f t="shared" si="563"/>
        <v>21702</v>
      </c>
      <c r="E6845" s="4">
        <v>4</v>
      </c>
      <c r="F6845" s="95">
        <f t="shared" si="564"/>
        <v>619</v>
      </c>
    </row>
    <row r="6846" spans="1:6" x14ac:dyDescent="0.25">
      <c r="A6846" s="105" t="s">
        <v>30</v>
      </c>
      <c r="B6846" s="19">
        <v>44178</v>
      </c>
      <c r="C6846" s="4">
        <v>125</v>
      </c>
      <c r="D6846" s="21">
        <f t="shared" si="563"/>
        <v>26069</v>
      </c>
      <c r="E6846" s="4">
        <v>0</v>
      </c>
      <c r="F6846" s="95">
        <f t="shared" si="564"/>
        <v>436</v>
      </c>
    </row>
    <row r="6847" spans="1:6" x14ac:dyDescent="0.25">
      <c r="A6847" s="105" t="s">
        <v>21</v>
      </c>
      <c r="B6847" s="19">
        <v>44178</v>
      </c>
      <c r="C6847" s="4">
        <v>249</v>
      </c>
      <c r="D6847" s="21">
        <f t="shared" si="563"/>
        <v>119781</v>
      </c>
      <c r="E6847" s="4">
        <v>30</v>
      </c>
      <c r="F6847" s="95">
        <f t="shared" si="564"/>
        <v>2256</v>
      </c>
    </row>
    <row r="6848" spans="1:6" x14ac:dyDescent="0.25">
      <c r="A6848" s="105" t="s">
        <v>31</v>
      </c>
      <c r="B6848" s="19">
        <v>44178</v>
      </c>
      <c r="C6848" s="4">
        <v>42</v>
      </c>
      <c r="D6848" s="21">
        <f t="shared" si="563"/>
        <v>9548</v>
      </c>
      <c r="E6848" s="4">
        <v>2</v>
      </c>
      <c r="F6848" s="95">
        <f t="shared" si="564"/>
        <v>135</v>
      </c>
    </row>
    <row r="6849" spans="1:6" x14ac:dyDescent="0.25">
      <c r="A6849" s="105" t="s">
        <v>32</v>
      </c>
      <c r="B6849" s="19">
        <v>44178</v>
      </c>
      <c r="C6849" s="4">
        <v>134</v>
      </c>
      <c r="D6849" s="21">
        <f t="shared" si="563"/>
        <v>25719</v>
      </c>
      <c r="E6849" s="4">
        <v>0</v>
      </c>
      <c r="F6849" s="95">
        <f t="shared" si="564"/>
        <v>521</v>
      </c>
    </row>
    <row r="6850" spans="1:6" x14ac:dyDescent="0.25">
      <c r="A6850" s="105" t="s">
        <v>42</v>
      </c>
      <c r="B6850" s="19">
        <v>44178</v>
      </c>
      <c r="C6850" s="4">
        <v>1</v>
      </c>
      <c r="D6850" s="21">
        <f t="shared" si="563"/>
        <v>197</v>
      </c>
      <c r="E6850" s="4">
        <v>0</v>
      </c>
      <c r="F6850" s="95">
        <f t="shared" si="564"/>
        <v>3</v>
      </c>
    </row>
    <row r="6851" spans="1:6" x14ac:dyDescent="0.25">
      <c r="A6851" s="105" t="s">
        <v>33</v>
      </c>
      <c r="B6851" s="19">
        <v>44178</v>
      </c>
      <c r="C6851" s="4">
        <v>1</v>
      </c>
      <c r="D6851" s="21">
        <f t="shared" si="563"/>
        <v>18449</v>
      </c>
      <c r="E6851" s="4">
        <v>0</v>
      </c>
      <c r="F6851" s="95">
        <f t="shared" si="564"/>
        <v>854</v>
      </c>
    </row>
    <row r="6852" spans="1:6" x14ac:dyDescent="0.25">
      <c r="A6852" s="105" t="s">
        <v>34</v>
      </c>
      <c r="B6852" s="19">
        <v>44178</v>
      </c>
      <c r="C6852" s="4">
        <v>120</v>
      </c>
      <c r="D6852" s="21">
        <f t="shared" si="563"/>
        <v>6970</v>
      </c>
      <c r="E6852" s="4">
        <v>0</v>
      </c>
      <c r="F6852" s="95">
        <f t="shared" si="564"/>
        <v>99</v>
      </c>
    </row>
    <row r="6853" spans="1:6" x14ac:dyDescent="0.25">
      <c r="A6853" s="105" t="s">
        <v>22</v>
      </c>
      <c r="B6853" s="19">
        <v>44178</v>
      </c>
      <c r="C6853" s="4">
        <v>11</v>
      </c>
      <c r="D6853" s="21">
        <f t="shared" si="563"/>
        <v>8934</v>
      </c>
      <c r="E6853" s="4">
        <v>1</v>
      </c>
      <c r="F6853" s="95">
        <f t="shared" si="564"/>
        <v>325</v>
      </c>
    </row>
    <row r="6854" spans="1:6" x14ac:dyDescent="0.25">
      <c r="A6854" s="105" t="s">
        <v>18</v>
      </c>
      <c r="B6854" s="19">
        <v>44178</v>
      </c>
      <c r="C6854" s="4">
        <v>120</v>
      </c>
      <c r="D6854" s="21">
        <f t="shared" si="563"/>
        <v>58258</v>
      </c>
      <c r="E6854" s="4">
        <v>0</v>
      </c>
      <c r="F6854" s="95">
        <f t="shared" si="564"/>
        <v>1174</v>
      </c>
    </row>
    <row r="6855" spans="1:6" x14ac:dyDescent="0.25">
      <c r="A6855" s="105" t="s">
        <v>24</v>
      </c>
      <c r="B6855" s="19">
        <v>44178</v>
      </c>
      <c r="C6855" s="4">
        <v>28</v>
      </c>
      <c r="D6855" s="21">
        <f t="shared" si="563"/>
        <v>683</v>
      </c>
      <c r="E6855" s="4">
        <v>0</v>
      </c>
      <c r="F6855" s="95">
        <f t="shared" si="564"/>
        <v>9</v>
      </c>
    </row>
    <row r="6856" spans="1:6" x14ac:dyDescent="0.25">
      <c r="A6856" s="105" t="s">
        <v>20</v>
      </c>
      <c r="B6856" s="19">
        <v>44178</v>
      </c>
      <c r="C6856" s="4">
        <v>104</v>
      </c>
      <c r="D6856" s="21">
        <f t="shared" si="563"/>
        <v>36920</v>
      </c>
      <c r="E6856" s="4">
        <v>0</v>
      </c>
      <c r="F6856" s="95">
        <f t="shared" si="564"/>
        <v>673</v>
      </c>
    </row>
    <row r="6857" spans="1:6" x14ac:dyDescent="0.25">
      <c r="A6857" s="105" t="s">
        <v>19</v>
      </c>
      <c r="B6857" s="19">
        <v>44178</v>
      </c>
      <c r="C6857" s="4">
        <v>158</v>
      </c>
      <c r="D6857" s="21">
        <f t="shared" si="563"/>
        <v>34238</v>
      </c>
      <c r="E6857" s="4">
        <v>0</v>
      </c>
      <c r="F6857" s="95">
        <f t="shared" si="564"/>
        <v>839</v>
      </c>
    </row>
    <row r="6858" spans="1:6" x14ac:dyDescent="0.25">
      <c r="A6858" s="105" t="s">
        <v>35</v>
      </c>
      <c r="B6858" s="19">
        <v>44178</v>
      </c>
      <c r="C6858" s="4">
        <v>28</v>
      </c>
      <c r="D6858" s="21">
        <f t="shared" si="563"/>
        <v>21578</v>
      </c>
      <c r="E6858" s="4">
        <v>0</v>
      </c>
      <c r="F6858" s="95">
        <f t="shared" si="564"/>
        <v>997</v>
      </c>
    </row>
    <row r="6859" spans="1:6" x14ac:dyDescent="0.25">
      <c r="A6859" s="105" t="s">
        <v>36</v>
      </c>
      <c r="B6859" s="19">
        <v>44178</v>
      </c>
      <c r="C6859" s="4">
        <v>28</v>
      </c>
      <c r="D6859" s="21">
        <f t="shared" si="563"/>
        <v>9249</v>
      </c>
      <c r="E6859" s="4">
        <v>0</v>
      </c>
      <c r="F6859" s="95">
        <f t="shared" si="564"/>
        <v>174</v>
      </c>
    </row>
    <row r="6860" spans="1:6" x14ac:dyDescent="0.25">
      <c r="A6860" s="105" t="s">
        <v>37</v>
      </c>
      <c r="B6860" s="19">
        <v>44178</v>
      </c>
      <c r="C6860" s="4">
        <v>27</v>
      </c>
      <c r="D6860" s="21">
        <f t="shared" si="563"/>
        <v>15485</v>
      </c>
      <c r="E6860" s="4">
        <v>0</v>
      </c>
      <c r="F6860" s="95">
        <f t="shared" si="564"/>
        <v>250</v>
      </c>
    </row>
    <row r="6861" spans="1:6" x14ac:dyDescent="0.25">
      <c r="A6861" s="105" t="s">
        <v>38</v>
      </c>
      <c r="B6861" s="19">
        <v>44178</v>
      </c>
      <c r="C6861" s="4">
        <v>203</v>
      </c>
      <c r="D6861" s="21">
        <f t="shared" si="563"/>
        <v>18837</v>
      </c>
      <c r="E6861" s="4">
        <v>2</v>
      </c>
      <c r="F6861" s="95">
        <f t="shared" si="564"/>
        <v>329</v>
      </c>
    </row>
    <row r="6862" spans="1:6" x14ac:dyDescent="0.25">
      <c r="A6862" s="105" t="s">
        <v>23</v>
      </c>
      <c r="B6862" s="19">
        <v>44178</v>
      </c>
      <c r="C6862" s="4">
        <v>632</v>
      </c>
      <c r="D6862" s="21">
        <f t="shared" si="563"/>
        <v>160080</v>
      </c>
      <c r="E6862" s="4">
        <v>9</v>
      </c>
      <c r="F6862" s="95">
        <f t="shared" si="564"/>
        <v>2547</v>
      </c>
    </row>
    <row r="6863" spans="1:6" x14ac:dyDescent="0.25">
      <c r="A6863" s="105" t="s">
        <v>39</v>
      </c>
      <c r="B6863" s="19">
        <v>44178</v>
      </c>
      <c r="C6863" s="4">
        <v>45</v>
      </c>
      <c r="D6863" s="21">
        <f t="shared" si="563"/>
        <v>16488</v>
      </c>
      <c r="E6863" s="4">
        <v>0</v>
      </c>
      <c r="F6863" s="95">
        <f t="shared" si="564"/>
        <v>206</v>
      </c>
    </row>
    <row r="6864" spans="1:6" x14ac:dyDescent="0.25">
      <c r="A6864" s="105" t="s">
        <v>40</v>
      </c>
      <c r="B6864" s="19">
        <v>44178</v>
      </c>
      <c r="C6864" s="4">
        <v>75</v>
      </c>
      <c r="D6864" s="21">
        <f t="shared" si="563"/>
        <v>17505</v>
      </c>
      <c r="E6864" s="4">
        <v>0</v>
      </c>
      <c r="F6864" s="95">
        <f t="shared" si="564"/>
        <v>242</v>
      </c>
    </row>
    <row r="6865" spans="1:6" ht="15.75" thickBot="1" x14ac:dyDescent="0.3">
      <c r="A6865" s="106" t="s">
        <v>41</v>
      </c>
      <c r="B6865" s="19">
        <v>44178</v>
      </c>
      <c r="C6865" s="4">
        <v>80</v>
      </c>
      <c r="D6865" s="98">
        <f t="shared" si="563"/>
        <v>68395</v>
      </c>
      <c r="E6865" s="4">
        <v>0</v>
      </c>
      <c r="F6865" s="96">
        <f t="shared" si="564"/>
        <v>1292</v>
      </c>
    </row>
    <row r="6866" spans="1:6" x14ac:dyDescent="0.25">
      <c r="A6866" s="45" t="s">
        <v>17</v>
      </c>
      <c r="B6866" s="19">
        <v>44179</v>
      </c>
      <c r="C6866" s="4">
        <v>1532</v>
      </c>
      <c r="D6866" s="97">
        <f t="shared" si="563"/>
        <v>639561</v>
      </c>
      <c r="E6866" s="4">
        <v>121</v>
      </c>
      <c r="F6866" s="94">
        <f t="shared" si="564"/>
        <v>21506</v>
      </c>
    </row>
    <row r="6867" spans="1:6" x14ac:dyDescent="0.25">
      <c r="A6867" s="105" t="s">
        <v>44</v>
      </c>
      <c r="B6867" s="19">
        <v>44179</v>
      </c>
      <c r="C6867" s="4">
        <v>416</v>
      </c>
      <c r="D6867" s="21">
        <f t="shared" si="563"/>
        <v>163225</v>
      </c>
      <c r="E6867" s="4">
        <v>7</v>
      </c>
      <c r="F6867" s="95">
        <f t="shared" si="564"/>
        <v>5347</v>
      </c>
    </row>
    <row r="6868" spans="1:6" x14ac:dyDescent="0.25">
      <c r="A6868" s="105" t="s">
        <v>29</v>
      </c>
      <c r="B6868" s="19">
        <v>44179</v>
      </c>
      <c r="C6868" s="4">
        <v>34</v>
      </c>
      <c r="D6868" s="21">
        <f t="shared" si="563"/>
        <v>2171</v>
      </c>
      <c r="E6868" s="4">
        <v>0</v>
      </c>
      <c r="F6868" s="95">
        <f t="shared" si="564"/>
        <v>17</v>
      </c>
    </row>
    <row r="6869" spans="1:6" x14ac:dyDescent="0.25">
      <c r="A6869" s="105" t="s">
        <v>16</v>
      </c>
      <c r="B6869" s="19">
        <v>44179</v>
      </c>
      <c r="C6869" s="4">
        <v>166</v>
      </c>
      <c r="D6869" s="21">
        <f t="shared" si="563"/>
        <v>21868</v>
      </c>
      <c r="E6869" s="4">
        <v>7</v>
      </c>
      <c r="F6869" s="95">
        <f t="shared" si="564"/>
        <v>626</v>
      </c>
    </row>
    <row r="6870" spans="1:6" x14ac:dyDescent="0.25">
      <c r="A6870" s="105" t="s">
        <v>30</v>
      </c>
      <c r="B6870" s="19">
        <v>44179</v>
      </c>
      <c r="C6870" s="4">
        <v>232</v>
      </c>
      <c r="D6870" s="21">
        <f t="shared" si="563"/>
        <v>26301</v>
      </c>
      <c r="E6870" s="4">
        <v>13</v>
      </c>
      <c r="F6870" s="95">
        <f t="shared" si="564"/>
        <v>449</v>
      </c>
    </row>
    <row r="6871" spans="1:6" x14ac:dyDescent="0.25">
      <c r="A6871" s="105" t="s">
        <v>21</v>
      </c>
      <c r="B6871" s="19">
        <v>44179</v>
      </c>
      <c r="C6871" s="4">
        <v>234</v>
      </c>
      <c r="D6871" s="21">
        <f t="shared" si="563"/>
        <v>120015</v>
      </c>
      <c r="E6871" s="4">
        <v>30</v>
      </c>
      <c r="F6871" s="95">
        <f t="shared" si="564"/>
        <v>2286</v>
      </c>
    </row>
    <row r="6872" spans="1:6" x14ac:dyDescent="0.25">
      <c r="A6872" s="105" t="s">
        <v>31</v>
      </c>
      <c r="B6872" s="19">
        <v>44179</v>
      </c>
      <c r="C6872" s="4">
        <v>92</v>
      </c>
      <c r="D6872" s="21">
        <f t="shared" si="563"/>
        <v>9640</v>
      </c>
      <c r="E6872" s="4">
        <v>2</v>
      </c>
      <c r="F6872" s="95">
        <f t="shared" si="564"/>
        <v>137</v>
      </c>
    </row>
    <row r="6873" spans="1:6" x14ac:dyDescent="0.25">
      <c r="A6873" s="105" t="s">
        <v>32</v>
      </c>
      <c r="B6873" s="19">
        <v>44179</v>
      </c>
      <c r="C6873" s="4">
        <v>73</v>
      </c>
      <c r="D6873" s="21">
        <f t="shared" si="563"/>
        <v>25792</v>
      </c>
      <c r="E6873" s="4">
        <v>8</v>
      </c>
      <c r="F6873" s="95">
        <f t="shared" si="564"/>
        <v>529</v>
      </c>
    </row>
    <row r="6874" spans="1:6" x14ac:dyDescent="0.25">
      <c r="A6874" s="105" t="s">
        <v>42</v>
      </c>
      <c r="B6874" s="19">
        <v>44179</v>
      </c>
      <c r="C6874" s="4">
        <v>1</v>
      </c>
      <c r="D6874" s="21">
        <f t="shared" si="563"/>
        <v>198</v>
      </c>
      <c r="E6874" s="4">
        <v>0</v>
      </c>
      <c r="F6874" s="95">
        <f t="shared" si="564"/>
        <v>3</v>
      </c>
    </row>
    <row r="6875" spans="1:6" x14ac:dyDescent="0.25">
      <c r="A6875" s="105" t="s">
        <v>33</v>
      </c>
      <c r="B6875" s="19">
        <v>44179</v>
      </c>
      <c r="C6875" s="4">
        <v>6</v>
      </c>
      <c r="D6875" s="21">
        <f t="shared" si="563"/>
        <v>18455</v>
      </c>
      <c r="E6875" s="4">
        <v>0</v>
      </c>
      <c r="F6875" s="95">
        <f t="shared" si="564"/>
        <v>854</v>
      </c>
    </row>
    <row r="6876" spans="1:6" x14ac:dyDescent="0.25">
      <c r="A6876" s="105" t="s">
        <v>34</v>
      </c>
      <c r="B6876" s="19">
        <v>44179</v>
      </c>
      <c r="C6876" s="4">
        <v>148</v>
      </c>
      <c r="D6876" s="21">
        <f t="shared" si="563"/>
        <v>7118</v>
      </c>
      <c r="E6876" s="4">
        <v>5</v>
      </c>
      <c r="F6876" s="95">
        <f t="shared" si="564"/>
        <v>104</v>
      </c>
    </row>
    <row r="6877" spans="1:6" x14ac:dyDescent="0.25">
      <c r="A6877" s="105" t="s">
        <v>22</v>
      </c>
      <c r="B6877" s="19">
        <v>44179</v>
      </c>
      <c r="C6877" s="4">
        <v>7</v>
      </c>
      <c r="D6877" s="21">
        <f t="shared" si="563"/>
        <v>8941</v>
      </c>
      <c r="E6877" s="4">
        <v>0</v>
      </c>
      <c r="F6877" s="95">
        <f t="shared" si="564"/>
        <v>325</v>
      </c>
    </row>
    <row r="6878" spans="1:6" x14ac:dyDescent="0.25">
      <c r="A6878" s="105" t="s">
        <v>18</v>
      </c>
      <c r="B6878" s="19">
        <v>44179</v>
      </c>
      <c r="C6878" s="4">
        <v>108</v>
      </c>
      <c r="D6878" s="21">
        <f t="shared" si="563"/>
        <v>58366</v>
      </c>
      <c r="E6878" s="4">
        <v>4</v>
      </c>
      <c r="F6878" s="95">
        <f t="shared" si="564"/>
        <v>1178</v>
      </c>
    </row>
    <row r="6879" spans="1:6" x14ac:dyDescent="0.25">
      <c r="A6879" s="105" t="s">
        <v>24</v>
      </c>
      <c r="B6879" s="19">
        <v>44179</v>
      </c>
      <c r="C6879" s="4">
        <v>2</v>
      </c>
      <c r="D6879" s="21">
        <f t="shared" si="563"/>
        <v>685</v>
      </c>
      <c r="E6879" s="4">
        <v>1</v>
      </c>
      <c r="F6879" s="95">
        <f t="shared" si="564"/>
        <v>10</v>
      </c>
    </row>
    <row r="6880" spans="1:6" x14ac:dyDescent="0.25">
      <c r="A6880" s="105" t="s">
        <v>20</v>
      </c>
      <c r="B6880" s="19">
        <v>44179</v>
      </c>
      <c r="C6880" s="4">
        <v>172</v>
      </c>
      <c r="D6880" s="21">
        <f t="shared" si="563"/>
        <v>37092</v>
      </c>
      <c r="E6880" s="4">
        <v>0</v>
      </c>
      <c r="F6880" s="95">
        <f t="shared" si="564"/>
        <v>673</v>
      </c>
    </row>
    <row r="6881" spans="1:6" x14ac:dyDescent="0.25">
      <c r="A6881" s="105" t="s">
        <v>19</v>
      </c>
      <c r="B6881" s="19">
        <v>44179</v>
      </c>
      <c r="C6881" s="4">
        <v>133</v>
      </c>
      <c r="D6881" s="21">
        <f t="shared" si="563"/>
        <v>34371</v>
      </c>
      <c r="E6881" s="4">
        <v>5</v>
      </c>
      <c r="F6881" s="95">
        <f t="shared" si="564"/>
        <v>844</v>
      </c>
    </row>
    <row r="6882" spans="1:6" x14ac:dyDescent="0.25">
      <c r="A6882" s="105" t="s">
        <v>35</v>
      </c>
      <c r="B6882" s="19">
        <v>44179</v>
      </c>
      <c r="C6882" s="4">
        <v>36</v>
      </c>
      <c r="D6882" s="21">
        <f t="shared" si="563"/>
        <v>21614</v>
      </c>
      <c r="E6882" s="4">
        <v>2</v>
      </c>
      <c r="F6882" s="95">
        <f t="shared" si="564"/>
        <v>999</v>
      </c>
    </row>
    <row r="6883" spans="1:6" x14ac:dyDescent="0.25">
      <c r="A6883" s="105" t="s">
        <v>36</v>
      </c>
      <c r="B6883" s="19">
        <v>44179</v>
      </c>
      <c r="C6883" s="4">
        <v>232</v>
      </c>
      <c r="D6883" s="21">
        <f t="shared" ref="D6883:D6946" si="565">C6883+D6859</f>
        <v>9481</v>
      </c>
      <c r="E6883" s="4">
        <v>22</v>
      </c>
      <c r="F6883" s="95">
        <f t="shared" ref="F6883:F6946" si="566">E6883+F6859</f>
        <v>196</v>
      </c>
    </row>
    <row r="6884" spans="1:6" x14ac:dyDescent="0.25">
      <c r="A6884" s="105" t="s">
        <v>37</v>
      </c>
      <c r="B6884" s="19">
        <v>44179</v>
      </c>
      <c r="C6884" s="4">
        <v>58</v>
      </c>
      <c r="D6884" s="21">
        <f t="shared" si="565"/>
        <v>15543</v>
      </c>
      <c r="E6884" s="4">
        <v>3</v>
      </c>
      <c r="F6884" s="95">
        <f t="shared" si="566"/>
        <v>253</v>
      </c>
    </row>
    <row r="6885" spans="1:6" x14ac:dyDescent="0.25">
      <c r="A6885" s="105" t="s">
        <v>38</v>
      </c>
      <c r="B6885" s="19">
        <v>44179</v>
      </c>
      <c r="C6885" s="4">
        <v>177</v>
      </c>
      <c r="D6885" s="21">
        <f t="shared" si="565"/>
        <v>19014</v>
      </c>
      <c r="E6885" s="4">
        <v>5</v>
      </c>
      <c r="F6885" s="95">
        <f t="shared" si="566"/>
        <v>334</v>
      </c>
    </row>
    <row r="6886" spans="1:6" x14ac:dyDescent="0.25">
      <c r="A6886" s="105" t="s">
        <v>23</v>
      </c>
      <c r="B6886" s="19">
        <v>44179</v>
      </c>
      <c r="C6886" s="4">
        <v>741</v>
      </c>
      <c r="D6886" s="21">
        <f t="shared" si="565"/>
        <v>160821</v>
      </c>
      <c r="E6886" s="4">
        <v>29</v>
      </c>
      <c r="F6886" s="95">
        <f t="shared" si="566"/>
        <v>2576</v>
      </c>
    </row>
    <row r="6887" spans="1:6" x14ac:dyDescent="0.25">
      <c r="A6887" s="105" t="s">
        <v>39</v>
      </c>
      <c r="B6887" s="19">
        <v>44179</v>
      </c>
      <c r="C6887" s="4">
        <v>44</v>
      </c>
      <c r="D6887" s="21">
        <f t="shared" si="565"/>
        <v>16532</v>
      </c>
      <c r="E6887" s="4">
        <v>2</v>
      </c>
      <c r="F6887" s="95">
        <f t="shared" si="566"/>
        <v>208</v>
      </c>
    </row>
    <row r="6888" spans="1:6" x14ac:dyDescent="0.25">
      <c r="A6888" s="105" t="s">
        <v>40</v>
      </c>
      <c r="B6888" s="19">
        <v>44179</v>
      </c>
      <c r="C6888" s="4">
        <v>172</v>
      </c>
      <c r="D6888" s="21">
        <f t="shared" si="565"/>
        <v>17677</v>
      </c>
      <c r="E6888" s="4">
        <v>0</v>
      </c>
      <c r="F6888" s="95">
        <f t="shared" si="566"/>
        <v>242</v>
      </c>
    </row>
    <row r="6889" spans="1:6" ht="15.75" thickBot="1" x14ac:dyDescent="0.3">
      <c r="A6889" s="106" t="s">
        <v>41</v>
      </c>
      <c r="B6889" s="19">
        <v>44179</v>
      </c>
      <c r="C6889" s="4">
        <v>246</v>
      </c>
      <c r="D6889" s="98">
        <f t="shared" si="565"/>
        <v>68641</v>
      </c>
      <c r="E6889" s="4">
        <v>9</v>
      </c>
      <c r="F6889" s="96">
        <f t="shared" si="566"/>
        <v>1301</v>
      </c>
    </row>
    <row r="6890" spans="1:6" x14ac:dyDescent="0.25">
      <c r="A6890" s="45" t="s">
        <v>17</v>
      </c>
      <c r="B6890" s="19">
        <v>44180</v>
      </c>
      <c r="C6890" s="4">
        <v>2226</v>
      </c>
      <c r="D6890" s="97">
        <f t="shared" si="565"/>
        <v>641787</v>
      </c>
      <c r="E6890" s="4">
        <v>29</v>
      </c>
      <c r="F6890" s="94">
        <f t="shared" si="566"/>
        <v>21535</v>
      </c>
    </row>
    <row r="6891" spans="1:6" x14ac:dyDescent="0.25">
      <c r="A6891" s="105" t="s">
        <v>44</v>
      </c>
      <c r="B6891" s="19">
        <v>44180</v>
      </c>
      <c r="C6891" s="4">
        <v>483</v>
      </c>
      <c r="D6891" s="21">
        <f t="shared" si="565"/>
        <v>163708</v>
      </c>
      <c r="E6891" s="4">
        <v>8</v>
      </c>
      <c r="F6891" s="95">
        <f t="shared" si="566"/>
        <v>5355</v>
      </c>
    </row>
    <row r="6892" spans="1:6" x14ac:dyDescent="0.25">
      <c r="A6892" s="105" t="s">
        <v>29</v>
      </c>
      <c r="B6892" s="19">
        <v>44180</v>
      </c>
      <c r="C6892" s="4">
        <v>19</v>
      </c>
      <c r="D6892" s="21">
        <f t="shared" si="565"/>
        <v>2190</v>
      </c>
      <c r="F6892" s="95">
        <f t="shared" si="566"/>
        <v>17</v>
      </c>
    </row>
    <row r="6893" spans="1:6" x14ac:dyDescent="0.25">
      <c r="A6893" s="105" t="s">
        <v>16</v>
      </c>
      <c r="B6893" s="19">
        <v>44180</v>
      </c>
      <c r="C6893" s="4">
        <v>160</v>
      </c>
      <c r="D6893" s="21">
        <f t="shared" si="565"/>
        <v>22028</v>
      </c>
      <c r="E6893" s="4">
        <v>7</v>
      </c>
      <c r="F6893" s="95">
        <f t="shared" si="566"/>
        <v>633</v>
      </c>
    </row>
    <row r="6894" spans="1:6" x14ac:dyDescent="0.25">
      <c r="A6894" s="105" t="s">
        <v>30</v>
      </c>
      <c r="B6894" s="19">
        <v>44180</v>
      </c>
      <c r="C6894" s="4">
        <v>358</v>
      </c>
      <c r="D6894" s="21">
        <f t="shared" si="565"/>
        <v>26659</v>
      </c>
      <c r="E6894" s="4">
        <v>11</v>
      </c>
      <c r="F6894" s="95">
        <f t="shared" si="566"/>
        <v>460</v>
      </c>
    </row>
    <row r="6895" spans="1:6" x14ac:dyDescent="0.25">
      <c r="A6895" s="105" t="s">
        <v>21</v>
      </c>
      <c r="B6895" s="19">
        <v>44180</v>
      </c>
      <c r="C6895" s="4">
        <v>386</v>
      </c>
      <c r="D6895" s="21">
        <f t="shared" si="565"/>
        <v>120401</v>
      </c>
      <c r="E6895" s="4">
        <v>33</v>
      </c>
      <c r="F6895" s="95">
        <f t="shared" si="566"/>
        <v>2319</v>
      </c>
    </row>
    <row r="6896" spans="1:6" x14ac:dyDescent="0.25">
      <c r="A6896" s="105" t="s">
        <v>31</v>
      </c>
      <c r="B6896" s="19">
        <v>44180</v>
      </c>
      <c r="C6896" s="4">
        <v>156</v>
      </c>
      <c r="D6896" s="21">
        <f t="shared" si="565"/>
        <v>9796</v>
      </c>
      <c r="E6896" s="4">
        <v>1</v>
      </c>
      <c r="F6896" s="95">
        <f t="shared" si="566"/>
        <v>138</v>
      </c>
    </row>
    <row r="6897" spans="1:6" x14ac:dyDescent="0.25">
      <c r="A6897" s="105" t="s">
        <v>32</v>
      </c>
      <c r="B6897" s="19">
        <v>44180</v>
      </c>
      <c r="C6897" s="4">
        <v>135</v>
      </c>
      <c r="D6897" s="21">
        <f t="shared" si="565"/>
        <v>25927</v>
      </c>
      <c r="E6897" s="4">
        <v>6</v>
      </c>
      <c r="F6897" s="95">
        <f t="shared" si="566"/>
        <v>535</v>
      </c>
    </row>
    <row r="6898" spans="1:6" x14ac:dyDescent="0.25">
      <c r="A6898" s="105" t="s">
        <v>42</v>
      </c>
      <c r="B6898" s="19">
        <v>44180</v>
      </c>
      <c r="C6898" s="4">
        <v>-1</v>
      </c>
      <c r="D6898" s="21">
        <f t="shared" si="565"/>
        <v>197</v>
      </c>
      <c r="F6898" s="95">
        <f t="shared" si="566"/>
        <v>3</v>
      </c>
    </row>
    <row r="6899" spans="1:6" x14ac:dyDescent="0.25">
      <c r="A6899" s="105" t="s">
        <v>33</v>
      </c>
      <c r="B6899" s="19">
        <v>44180</v>
      </c>
      <c r="C6899" s="4">
        <v>4</v>
      </c>
      <c r="D6899" s="21">
        <f t="shared" si="565"/>
        <v>18459</v>
      </c>
      <c r="F6899" s="95">
        <f t="shared" si="566"/>
        <v>854</v>
      </c>
    </row>
    <row r="6900" spans="1:6" x14ac:dyDescent="0.25">
      <c r="A6900" s="105" t="s">
        <v>34</v>
      </c>
      <c r="B6900" s="19">
        <v>44180</v>
      </c>
      <c r="C6900" s="4">
        <v>163</v>
      </c>
      <c r="D6900" s="21">
        <f t="shared" si="565"/>
        <v>7281</v>
      </c>
      <c r="F6900" s="95">
        <f t="shared" si="566"/>
        <v>104</v>
      </c>
    </row>
    <row r="6901" spans="1:6" x14ac:dyDescent="0.25">
      <c r="A6901" s="105" t="s">
        <v>22</v>
      </c>
      <c r="B6901" s="19">
        <v>44180</v>
      </c>
      <c r="C6901" s="4">
        <v>9</v>
      </c>
      <c r="D6901" s="21">
        <f t="shared" si="565"/>
        <v>8950</v>
      </c>
      <c r="F6901" s="95">
        <f t="shared" si="566"/>
        <v>325</v>
      </c>
    </row>
    <row r="6902" spans="1:6" x14ac:dyDescent="0.25">
      <c r="A6902" s="105" t="s">
        <v>18</v>
      </c>
      <c r="B6902" s="19">
        <v>44180</v>
      </c>
      <c r="C6902" s="4">
        <v>160</v>
      </c>
      <c r="D6902" s="21">
        <f t="shared" si="565"/>
        <v>58526</v>
      </c>
      <c r="E6902" s="4">
        <v>6</v>
      </c>
      <c r="F6902" s="95">
        <f t="shared" si="566"/>
        <v>1184</v>
      </c>
    </row>
    <row r="6903" spans="1:6" x14ac:dyDescent="0.25">
      <c r="A6903" s="105" t="s">
        <v>24</v>
      </c>
      <c r="B6903" s="19">
        <v>44180</v>
      </c>
      <c r="C6903" s="4">
        <v>18</v>
      </c>
      <c r="D6903" s="21">
        <f t="shared" si="565"/>
        <v>703</v>
      </c>
      <c r="E6903" s="4">
        <v>1</v>
      </c>
      <c r="F6903" s="95">
        <f t="shared" si="566"/>
        <v>11</v>
      </c>
    </row>
    <row r="6904" spans="1:6" x14ac:dyDescent="0.25">
      <c r="A6904" s="105" t="s">
        <v>20</v>
      </c>
      <c r="B6904" s="19">
        <v>44180</v>
      </c>
      <c r="C6904" s="4">
        <v>247</v>
      </c>
      <c r="D6904" s="21">
        <f t="shared" si="565"/>
        <v>37339</v>
      </c>
      <c r="E6904" s="4">
        <v>7</v>
      </c>
      <c r="F6904" s="95">
        <f t="shared" si="566"/>
        <v>680</v>
      </c>
    </row>
    <row r="6905" spans="1:6" x14ac:dyDescent="0.25">
      <c r="A6905" s="105" t="s">
        <v>19</v>
      </c>
      <c r="B6905" s="19">
        <v>44180</v>
      </c>
      <c r="C6905" s="4">
        <v>286</v>
      </c>
      <c r="D6905" s="21">
        <f t="shared" si="565"/>
        <v>34657</v>
      </c>
      <c r="E6905" s="4">
        <v>4</v>
      </c>
      <c r="F6905" s="95">
        <f t="shared" si="566"/>
        <v>848</v>
      </c>
    </row>
    <row r="6906" spans="1:6" x14ac:dyDescent="0.25">
      <c r="A6906" s="105" t="s">
        <v>35</v>
      </c>
      <c r="B6906" s="19">
        <v>44180</v>
      </c>
      <c r="C6906" s="4">
        <v>65</v>
      </c>
      <c r="D6906" s="21">
        <f t="shared" si="565"/>
        <v>21679</v>
      </c>
      <c r="E6906" s="4">
        <v>1</v>
      </c>
      <c r="F6906" s="95">
        <f t="shared" si="566"/>
        <v>1000</v>
      </c>
    </row>
    <row r="6907" spans="1:6" x14ac:dyDescent="0.25">
      <c r="A6907" s="105" t="s">
        <v>36</v>
      </c>
      <c r="B6907" s="19">
        <v>44180</v>
      </c>
      <c r="C6907" s="4">
        <v>204</v>
      </c>
      <c r="D6907" s="21">
        <f t="shared" si="565"/>
        <v>9685</v>
      </c>
      <c r="F6907" s="95">
        <f t="shared" si="566"/>
        <v>196</v>
      </c>
    </row>
    <row r="6908" spans="1:6" x14ac:dyDescent="0.25">
      <c r="A6908" s="105" t="s">
        <v>37</v>
      </c>
      <c r="B6908" s="19">
        <v>44180</v>
      </c>
      <c r="C6908" s="4">
        <v>101</v>
      </c>
      <c r="D6908" s="21">
        <f t="shared" si="565"/>
        <v>15644</v>
      </c>
      <c r="E6908" s="4">
        <v>4</v>
      </c>
      <c r="F6908" s="95">
        <f t="shared" si="566"/>
        <v>257</v>
      </c>
    </row>
    <row r="6909" spans="1:6" x14ac:dyDescent="0.25">
      <c r="A6909" s="105" t="s">
        <v>38</v>
      </c>
      <c r="B6909" s="19">
        <v>44180</v>
      </c>
      <c r="C6909" s="4">
        <v>332</v>
      </c>
      <c r="D6909" s="21">
        <f t="shared" si="565"/>
        <v>19346</v>
      </c>
      <c r="E6909" s="4">
        <v>6</v>
      </c>
      <c r="F6909" s="95">
        <f t="shared" si="566"/>
        <v>340</v>
      </c>
    </row>
    <row r="6910" spans="1:6" x14ac:dyDescent="0.25">
      <c r="A6910" s="105" t="s">
        <v>23</v>
      </c>
      <c r="B6910" s="19">
        <v>44180</v>
      </c>
      <c r="C6910" s="4">
        <v>1145</v>
      </c>
      <c r="D6910" s="21">
        <f t="shared" si="565"/>
        <v>161966</v>
      </c>
      <c r="E6910" s="4">
        <v>22</v>
      </c>
      <c r="F6910" s="95">
        <f t="shared" si="566"/>
        <v>2598</v>
      </c>
    </row>
    <row r="6911" spans="1:6" x14ac:dyDescent="0.25">
      <c r="A6911" s="105" t="s">
        <v>39</v>
      </c>
      <c r="B6911" s="19">
        <v>44180</v>
      </c>
      <c r="C6911" s="4">
        <v>39</v>
      </c>
      <c r="D6911" s="21">
        <f t="shared" si="565"/>
        <v>16571</v>
      </c>
      <c r="E6911" s="4">
        <v>2</v>
      </c>
      <c r="F6911" s="95">
        <f t="shared" si="566"/>
        <v>210</v>
      </c>
    </row>
    <row r="6912" spans="1:6" x14ac:dyDescent="0.25">
      <c r="A6912" s="105" t="s">
        <v>40</v>
      </c>
      <c r="B6912" s="19">
        <v>44180</v>
      </c>
      <c r="C6912" s="4">
        <v>72</v>
      </c>
      <c r="D6912" s="21">
        <f t="shared" si="565"/>
        <v>17749</v>
      </c>
      <c r="F6912" s="95">
        <f t="shared" si="566"/>
        <v>242</v>
      </c>
    </row>
    <row r="6913" spans="1:6" ht="15.75" thickBot="1" x14ac:dyDescent="0.3">
      <c r="A6913" s="106" t="s">
        <v>41</v>
      </c>
      <c r="B6913" s="19">
        <v>44180</v>
      </c>
      <c r="C6913" s="4">
        <v>214</v>
      </c>
      <c r="D6913" s="98">
        <f t="shared" si="565"/>
        <v>68855</v>
      </c>
      <c r="E6913" s="4">
        <v>8</v>
      </c>
      <c r="F6913" s="96">
        <f t="shared" si="566"/>
        <v>1309</v>
      </c>
    </row>
    <row r="6914" spans="1:6" x14ac:dyDescent="0.25">
      <c r="A6914" s="45" t="s">
        <v>17</v>
      </c>
      <c r="B6914" s="19">
        <v>44181</v>
      </c>
      <c r="C6914" s="4">
        <v>2321</v>
      </c>
      <c r="D6914" s="97">
        <f t="shared" si="565"/>
        <v>644108</v>
      </c>
      <c r="E6914" s="4">
        <v>38</v>
      </c>
      <c r="F6914" s="94">
        <f t="shared" si="566"/>
        <v>21573</v>
      </c>
    </row>
    <row r="6915" spans="1:6" x14ac:dyDescent="0.25">
      <c r="A6915" s="105" t="s">
        <v>44</v>
      </c>
      <c r="B6915" s="19">
        <v>44181</v>
      </c>
      <c r="C6915" s="4">
        <v>394</v>
      </c>
      <c r="D6915" s="21">
        <f t="shared" si="565"/>
        <v>164102</v>
      </c>
      <c r="E6915" s="4">
        <v>10</v>
      </c>
      <c r="F6915" s="95">
        <f t="shared" si="566"/>
        <v>5365</v>
      </c>
    </row>
    <row r="6916" spans="1:6" x14ac:dyDescent="0.25">
      <c r="A6916" s="105" t="s">
        <v>29</v>
      </c>
      <c r="B6916" s="19">
        <v>44181</v>
      </c>
      <c r="C6916" s="4">
        <v>20</v>
      </c>
      <c r="D6916" s="21">
        <f t="shared" si="565"/>
        <v>2210</v>
      </c>
      <c r="E6916" s="4">
        <v>0</v>
      </c>
      <c r="F6916" s="95">
        <f t="shared" si="566"/>
        <v>17</v>
      </c>
    </row>
    <row r="6917" spans="1:6" x14ac:dyDescent="0.25">
      <c r="A6917" s="105" t="s">
        <v>16</v>
      </c>
      <c r="B6917" s="19">
        <v>44181</v>
      </c>
      <c r="C6917" s="4">
        <v>187</v>
      </c>
      <c r="D6917" s="21">
        <f t="shared" si="565"/>
        <v>22215</v>
      </c>
      <c r="E6917" s="4">
        <v>2</v>
      </c>
      <c r="F6917" s="95">
        <f t="shared" si="566"/>
        <v>635</v>
      </c>
    </row>
    <row r="6918" spans="1:6" x14ac:dyDescent="0.25">
      <c r="A6918" s="105" t="s">
        <v>30</v>
      </c>
      <c r="B6918" s="19">
        <v>44181</v>
      </c>
      <c r="C6918" s="4">
        <v>384</v>
      </c>
      <c r="D6918" s="21">
        <f t="shared" si="565"/>
        <v>27043</v>
      </c>
      <c r="E6918" s="4">
        <v>3</v>
      </c>
      <c r="F6918" s="95">
        <f t="shared" si="566"/>
        <v>463</v>
      </c>
    </row>
    <row r="6919" spans="1:6" x14ac:dyDescent="0.25">
      <c r="A6919" s="105" t="s">
        <v>21</v>
      </c>
      <c r="B6919" s="19">
        <v>44181</v>
      </c>
      <c r="C6919" s="4">
        <v>528</v>
      </c>
      <c r="D6919" s="21">
        <f t="shared" si="565"/>
        <v>120929</v>
      </c>
      <c r="E6919" s="4">
        <v>21</v>
      </c>
      <c r="F6919" s="95">
        <f t="shared" si="566"/>
        <v>2340</v>
      </c>
    </row>
    <row r="6920" spans="1:6" x14ac:dyDescent="0.25">
      <c r="A6920" s="105" t="s">
        <v>31</v>
      </c>
      <c r="B6920" s="19">
        <v>44181</v>
      </c>
      <c r="C6920" s="4">
        <v>111</v>
      </c>
      <c r="D6920" s="21">
        <f t="shared" si="565"/>
        <v>9907</v>
      </c>
      <c r="E6920" s="4">
        <v>0</v>
      </c>
      <c r="F6920" s="95">
        <f t="shared" si="566"/>
        <v>138</v>
      </c>
    </row>
    <row r="6921" spans="1:6" x14ac:dyDescent="0.25">
      <c r="A6921" s="105" t="s">
        <v>32</v>
      </c>
      <c r="B6921" s="19">
        <v>44181</v>
      </c>
      <c r="C6921" s="4">
        <v>242</v>
      </c>
      <c r="D6921" s="21">
        <f t="shared" si="565"/>
        <v>26169</v>
      </c>
      <c r="E6921" s="4">
        <v>8</v>
      </c>
      <c r="F6921" s="95">
        <f t="shared" si="566"/>
        <v>543</v>
      </c>
    </row>
    <row r="6922" spans="1:6" x14ac:dyDescent="0.25">
      <c r="A6922" s="105" t="s">
        <v>42</v>
      </c>
      <c r="B6922" s="19">
        <v>44181</v>
      </c>
      <c r="C6922" s="4">
        <v>5</v>
      </c>
      <c r="D6922" s="21">
        <f t="shared" si="565"/>
        <v>202</v>
      </c>
      <c r="E6922" s="4">
        <v>0</v>
      </c>
      <c r="F6922" s="95">
        <f t="shared" si="566"/>
        <v>3</v>
      </c>
    </row>
    <row r="6923" spans="1:6" x14ac:dyDescent="0.25">
      <c r="A6923" s="105" t="s">
        <v>33</v>
      </c>
      <c r="B6923" s="19">
        <v>44181</v>
      </c>
      <c r="C6923" s="4">
        <v>1</v>
      </c>
      <c r="D6923" s="21">
        <f t="shared" si="565"/>
        <v>18460</v>
      </c>
      <c r="E6923" s="4">
        <v>0</v>
      </c>
      <c r="F6923" s="95">
        <f t="shared" si="566"/>
        <v>854</v>
      </c>
    </row>
    <row r="6924" spans="1:6" x14ac:dyDescent="0.25">
      <c r="A6924" s="105" t="s">
        <v>34</v>
      </c>
      <c r="B6924" s="19">
        <v>44181</v>
      </c>
      <c r="C6924" s="4">
        <v>213</v>
      </c>
      <c r="D6924" s="21">
        <f t="shared" si="565"/>
        <v>7494</v>
      </c>
      <c r="E6924" s="4">
        <v>0</v>
      </c>
      <c r="F6924" s="95">
        <f t="shared" si="566"/>
        <v>104</v>
      </c>
    </row>
    <row r="6925" spans="1:6" x14ac:dyDescent="0.25">
      <c r="A6925" s="105" t="s">
        <v>22</v>
      </c>
      <c r="B6925" s="19">
        <v>44181</v>
      </c>
      <c r="C6925" s="4">
        <v>13</v>
      </c>
      <c r="D6925" s="21">
        <f t="shared" si="565"/>
        <v>8963</v>
      </c>
      <c r="E6925" s="4">
        <v>4</v>
      </c>
      <c r="F6925" s="95">
        <f t="shared" si="566"/>
        <v>329</v>
      </c>
    </row>
    <row r="6926" spans="1:6" x14ac:dyDescent="0.25">
      <c r="A6926" s="105" t="s">
        <v>18</v>
      </c>
      <c r="B6926" s="19">
        <v>44181</v>
      </c>
      <c r="C6926" s="4">
        <v>148</v>
      </c>
      <c r="D6926" s="21">
        <f t="shared" si="565"/>
        <v>58674</v>
      </c>
      <c r="E6926" s="4">
        <v>5</v>
      </c>
      <c r="F6926" s="95">
        <f t="shared" si="566"/>
        <v>1189</v>
      </c>
    </row>
    <row r="6927" spans="1:6" x14ac:dyDescent="0.25">
      <c r="A6927" s="105" t="s">
        <v>24</v>
      </c>
      <c r="B6927" s="19">
        <v>44181</v>
      </c>
      <c r="C6927" s="4">
        <v>45</v>
      </c>
      <c r="D6927" s="21">
        <f t="shared" si="565"/>
        <v>748</v>
      </c>
      <c r="E6927" s="4">
        <v>0</v>
      </c>
      <c r="F6927" s="95">
        <f t="shared" si="566"/>
        <v>11</v>
      </c>
    </row>
    <row r="6928" spans="1:6" x14ac:dyDescent="0.25">
      <c r="A6928" s="105" t="s">
        <v>20</v>
      </c>
      <c r="B6928" s="19">
        <v>44181</v>
      </c>
      <c r="C6928" s="4">
        <v>-4</v>
      </c>
      <c r="D6928" s="21">
        <f t="shared" si="565"/>
        <v>37335</v>
      </c>
      <c r="E6928" s="4">
        <v>1</v>
      </c>
      <c r="F6928" s="95">
        <f t="shared" si="566"/>
        <v>681</v>
      </c>
    </row>
    <row r="6929" spans="1:6" x14ac:dyDescent="0.25">
      <c r="A6929" s="105" t="s">
        <v>19</v>
      </c>
      <c r="B6929" s="19">
        <v>44181</v>
      </c>
      <c r="C6929" s="4">
        <v>224</v>
      </c>
      <c r="D6929" s="21">
        <f t="shared" si="565"/>
        <v>34881</v>
      </c>
      <c r="E6929" s="4">
        <v>3</v>
      </c>
      <c r="F6929" s="95">
        <f t="shared" si="566"/>
        <v>851</v>
      </c>
    </row>
    <row r="6930" spans="1:6" x14ac:dyDescent="0.25">
      <c r="A6930" s="105" t="s">
        <v>35</v>
      </c>
      <c r="B6930" s="19">
        <v>44181</v>
      </c>
      <c r="C6930" s="4">
        <v>53</v>
      </c>
      <c r="D6930" s="21">
        <f t="shared" si="565"/>
        <v>21732</v>
      </c>
      <c r="E6930" s="4">
        <v>5</v>
      </c>
      <c r="F6930" s="95">
        <f t="shared" si="566"/>
        <v>1005</v>
      </c>
    </row>
    <row r="6931" spans="1:6" x14ac:dyDescent="0.25">
      <c r="A6931" s="105" t="s">
        <v>36</v>
      </c>
      <c r="B6931" s="19">
        <v>44181</v>
      </c>
      <c r="C6931" s="4">
        <v>149</v>
      </c>
      <c r="D6931" s="21">
        <f t="shared" si="565"/>
        <v>9834</v>
      </c>
      <c r="E6931" s="4">
        <v>0</v>
      </c>
      <c r="F6931" s="95">
        <f t="shared" si="566"/>
        <v>196</v>
      </c>
    </row>
    <row r="6932" spans="1:6" x14ac:dyDescent="0.25">
      <c r="A6932" s="105" t="s">
        <v>37</v>
      </c>
      <c r="B6932" s="19">
        <v>44181</v>
      </c>
      <c r="C6932" s="4">
        <v>84</v>
      </c>
      <c r="D6932" s="21">
        <f t="shared" si="565"/>
        <v>15728</v>
      </c>
      <c r="E6932" s="4">
        <v>11</v>
      </c>
      <c r="F6932" s="95">
        <f t="shared" si="566"/>
        <v>268</v>
      </c>
    </row>
    <row r="6933" spans="1:6" x14ac:dyDescent="0.25">
      <c r="A6933" s="105" t="s">
        <v>38</v>
      </c>
      <c r="B6933" s="19">
        <v>44181</v>
      </c>
      <c r="C6933" s="4">
        <v>274</v>
      </c>
      <c r="D6933" s="21">
        <f t="shared" si="565"/>
        <v>19620</v>
      </c>
      <c r="E6933" s="4">
        <v>4</v>
      </c>
      <c r="F6933" s="95">
        <f t="shared" si="566"/>
        <v>344</v>
      </c>
    </row>
    <row r="6934" spans="1:6" x14ac:dyDescent="0.25">
      <c r="A6934" s="105" t="s">
        <v>23</v>
      </c>
      <c r="B6934" s="19">
        <v>44181</v>
      </c>
      <c r="C6934" s="4">
        <v>1121</v>
      </c>
      <c r="D6934" s="21">
        <f t="shared" si="565"/>
        <v>163087</v>
      </c>
      <c r="E6934" s="4">
        <v>43</v>
      </c>
      <c r="F6934" s="95">
        <f t="shared" si="566"/>
        <v>2641</v>
      </c>
    </row>
    <row r="6935" spans="1:6" x14ac:dyDescent="0.25">
      <c r="A6935" s="105" t="s">
        <v>39</v>
      </c>
      <c r="B6935" s="19">
        <v>44181</v>
      </c>
      <c r="C6935" s="4">
        <v>54</v>
      </c>
      <c r="D6935" s="21">
        <f t="shared" si="565"/>
        <v>16625</v>
      </c>
      <c r="E6935" s="4">
        <v>0</v>
      </c>
      <c r="F6935" s="95">
        <f t="shared" si="566"/>
        <v>210</v>
      </c>
    </row>
    <row r="6936" spans="1:6" x14ac:dyDescent="0.25">
      <c r="A6936" s="105" t="s">
        <v>40</v>
      </c>
      <c r="B6936" s="19">
        <v>44181</v>
      </c>
      <c r="C6936" s="4">
        <v>48</v>
      </c>
      <c r="D6936" s="21">
        <f t="shared" si="565"/>
        <v>17797</v>
      </c>
      <c r="E6936" s="4">
        <v>0</v>
      </c>
      <c r="F6936" s="95">
        <f t="shared" si="566"/>
        <v>242</v>
      </c>
    </row>
    <row r="6937" spans="1:6" ht="15.75" thickBot="1" x14ac:dyDescent="0.3">
      <c r="A6937" s="106" t="s">
        <v>41</v>
      </c>
      <c r="B6937" s="19">
        <v>44181</v>
      </c>
      <c r="C6937" s="4">
        <v>228</v>
      </c>
      <c r="D6937" s="98">
        <f t="shared" si="565"/>
        <v>69083</v>
      </c>
      <c r="E6937" s="4">
        <v>4</v>
      </c>
      <c r="F6937" s="96">
        <f t="shared" si="566"/>
        <v>1313</v>
      </c>
    </row>
    <row r="6938" spans="1:6" x14ac:dyDescent="0.25">
      <c r="A6938" s="45" t="s">
        <v>17</v>
      </c>
      <c r="B6938" s="19">
        <v>44182</v>
      </c>
      <c r="C6938" s="4">
        <v>2250</v>
      </c>
      <c r="D6938" s="97">
        <f t="shared" si="565"/>
        <v>646358</v>
      </c>
      <c r="E6938" s="4">
        <v>55</v>
      </c>
      <c r="F6938" s="94">
        <f t="shared" si="566"/>
        <v>21628</v>
      </c>
    </row>
    <row r="6939" spans="1:6" x14ac:dyDescent="0.25">
      <c r="A6939" s="105" t="s">
        <v>44</v>
      </c>
      <c r="B6939" s="19">
        <v>44182</v>
      </c>
      <c r="C6939" s="4">
        <v>508</v>
      </c>
      <c r="D6939" s="21">
        <f t="shared" si="565"/>
        <v>164610</v>
      </c>
      <c r="E6939" s="4">
        <v>13</v>
      </c>
      <c r="F6939" s="95">
        <f t="shared" si="566"/>
        <v>5378</v>
      </c>
    </row>
    <row r="6940" spans="1:6" x14ac:dyDescent="0.25">
      <c r="A6940" s="105" t="s">
        <v>29</v>
      </c>
      <c r="B6940" s="19">
        <v>44182</v>
      </c>
      <c r="C6940" s="4">
        <v>17</v>
      </c>
      <c r="D6940" s="21">
        <f t="shared" si="565"/>
        <v>2227</v>
      </c>
      <c r="E6940" s="4">
        <v>0</v>
      </c>
      <c r="F6940" s="95">
        <f t="shared" si="566"/>
        <v>17</v>
      </c>
    </row>
    <row r="6941" spans="1:6" x14ac:dyDescent="0.25">
      <c r="A6941" s="105" t="s">
        <v>16</v>
      </c>
      <c r="B6941" s="19">
        <v>44182</v>
      </c>
      <c r="C6941" s="4">
        <v>196</v>
      </c>
      <c r="D6941" s="21">
        <f t="shared" si="565"/>
        <v>22411</v>
      </c>
      <c r="E6941" s="4">
        <v>1</v>
      </c>
      <c r="F6941" s="95">
        <f t="shared" si="566"/>
        <v>636</v>
      </c>
    </row>
    <row r="6942" spans="1:6" x14ac:dyDescent="0.25">
      <c r="A6942" s="105" t="s">
        <v>30</v>
      </c>
      <c r="B6942" s="19">
        <v>44182</v>
      </c>
      <c r="C6942" s="4">
        <v>417</v>
      </c>
      <c r="D6942" s="21">
        <f t="shared" si="565"/>
        <v>27460</v>
      </c>
      <c r="E6942" s="4">
        <v>6</v>
      </c>
      <c r="F6942" s="95">
        <f t="shared" si="566"/>
        <v>469</v>
      </c>
    </row>
    <row r="6943" spans="1:6" x14ac:dyDescent="0.25">
      <c r="A6943" s="105" t="s">
        <v>21</v>
      </c>
      <c r="B6943" s="19">
        <v>44182</v>
      </c>
      <c r="C6943" s="4">
        <v>605</v>
      </c>
      <c r="D6943" s="21">
        <f t="shared" si="565"/>
        <v>121534</v>
      </c>
      <c r="E6943" s="4">
        <v>25</v>
      </c>
      <c r="F6943" s="95">
        <f t="shared" si="566"/>
        <v>2365</v>
      </c>
    </row>
    <row r="6944" spans="1:6" x14ac:dyDescent="0.25">
      <c r="A6944" s="105" t="s">
        <v>31</v>
      </c>
      <c r="B6944" s="19">
        <v>44182</v>
      </c>
      <c r="C6944" s="4">
        <v>118</v>
      </c>
      <c r="D6944" s="21">
        <f t="shared" si="565"/>
        <v>10025</v>
      </c>
      <c r="E6944" s="4">
        <v>0</v>
      </c>
      <c r="F6944" s="95">
        <f t="shared" si="566"/>
        <v>138</v>
      </c>
    </row>
    <row r="6945" spans="1:6" x14ac:dyDescent="0.25">
      <c r="A6945" s="105" t="s">
        <v>32</v>
      </c>
      <c r="B6945" s="19">
        <v>44182</v>
      </c>
      <c r="C6945" s="4">
        <v>252</v>
      </c>
      <c r="D6945" s="21">
        <f t="shared" si="565"/>
        <v>26421</v>
      </c>
      <c r="E6945" s="4">
        <v>1</v>
      </c>
      <c r="F6945" s="95">
        <f t="shared" si="566"/>
        <v>544</v>
      </c>
    </row>
    <row r="6946" spans="1:6" x14ac:dyDescent="0.25">
      <c r="A6946" s="105" t="s">
        <v>42</v>
      </c>
      <c r="B6946" s="19">
        <v>44182</v>
      </c>
      <c r="C6946" s="4">
        <v>1</v>
      </c>
      <c r="D6946" s="21">
        <f t="shared" si="565"/>
        <v>203</v>
      </c>
      <c r="E6946" s="4">
        <v>0</v>
      </c>
      <c r="F6946" s="95">
        <f t="shared" si="566"/>
        <v>3</v>
      </c>
    </row>
    <row r="6947" spans="1:6" x14ac:dyDescent="0.25">
      <c r="A6947" s="105" t="s">
        <v>33</v>
      </c>
      <c r="B6947" s="19">
        <v>44182</v>
      </c>
      <c r="C6947" s="4">
        <v>5</v>
      </c>
      <c r="D6947" s="21">
        <f t="shared" ref="D6947:D7010" si="567">C6947+D6923</f>
        <v>18465</v>
      </c>
      <c r="E6947" s="4">
        <v>1</v>
      </c>
      <c r="F6947" s="95">
        <f t="shared" ref="F6947:F7010" si="568">E6947+F6923</f>
        <v>855</v>
      </c>
    </row>
    <row r="6948" spans="1:6" x14ac:dyDescent="0.25">
      <c r="A6948" s="105" t="s">
        <v>34</v>
      </c>
      <c r="B6948" s="19">
        <v>44182</v>
      </c>
      <c r="C6948" s="4">
        <v>211</v>
      </c>
      <c r="D6948" s="21">
        <f t="shared" si="567"/>
        <v>7705</v>
      </c>
      <c r="E6948" s="4">
        <v>0</v>
      </c>
      <c r="F6948" s="95">
        <f t="shared" si="568"/>
        <v>104</v>
      </c>
    </row>
    <row r="6949" spans="1:6" x14ac:dyDescent="0.25">
      <c r="A6949" s="105" t="s">
        <v>22</v>
      </c>
      <c r="B6949" s="19">
        <v>44182</v>
      </c>
      <c r="C6949" s="4">
        <v>14</v>
      </c>
      <c r="D6949" s="21">
        <f t="shared" si="567"/>
        <v>8977</v>
      </c>
      <c r="E6949" s="4">
        <v>0</v>
      </c>
      <c r="F6949" s="95">
        <f t="shared" si="568"/>
        <v>329</v>
      </c>
    </row>
    <row r="6950" spans="1:6" x14ac:dyDescent="0.25">
      <c r="A6950" s="105" t="s">
        <v>18</v>
      </c>
      <c r="B6950" s="19">
        <v>44182</v>
      </c>
      <c r="C6950" s="4">
        <v>103</v>
      </c>
      <c r="D6950" s="21">
        <f t="shared" si="567"/>
        <v>58777</v>
      </c>
      <c r="E6950" s="4">
        <v>10</v>
      </c>
      <c r="F6950" s="95">
        <f t="shared" si="568"/>
        <v>1199</v>
      </c>
    </row>
    <row r="6951" spans="1:6" x14ac:dyDescent="0.25">
      <c r="A6951" s="105" t="s">
        <v>24</v>
      </c>
      <c r="B6951" s="19">
        <v>44182</v>
      </c>
      <c r="C6951" s="4">
        <v>40</v>
      </c>
      <c r="D6951" s="21">
        <f t="shared" si="567"/>
        <v>788</v>
      </c>
      <c r="E6951" s="4">
        <v>0</v>
      </c>
      <c r="F6951" s="95">
        <f t="shared" si="568"/>
        <v>11</v>
      </c>
    </row>
    <row r="6952" spans="1:6" x14ac:dyDescent="0.25">
      <c r="A6952" s="105" t="s">
        <v>20</v>
      </c>
      <c r="B6952" s="19">
        <v>44182</v>
      </c>
      <c r="C6952" s="4">
        <v>184</v>
      </c>
      <c r="D6952" s="21">
        <f t="shared" si="567"/>
        <v>37519</v>
      </c>
      <c r="E6952" s="4">
        <v>0</v>
      </c>
      <c r="F6952" s="95">
        <f t="shared" si="568"/>
        <v>681</v>
      </c>
    </row>
    <row r="6953" spans="1:6" x14ac:dyDescent="0.25">
      <c r="A6953" s="105" t="s">
        <v>19</v>
      </c>
      <c r="B6953" s="19">
        <v>44182</v>
      </c>
      <c r="C6953" s="4">
        <v>279</v>
      </c>
      <c r="D6953" s="21">
        <f t="shared" si="567"/>
        <v>35160</v>
      </c>
      <c r="E6953" s="4">
        <v>6</v>
      </c>
      <c r="F6953" s="95">
        <f t="shared" si="568"/>
        <v>857</v>
      </c>
    </row>
    <row r="6954" spans="1:6" x14ac:dyDescent="0.25">
      <c r="A6954" s="105" t="s">
        <v>35</v>
      </c>
      <c r="B6954" s="19">
        <v>44182</v>
      </c>
      <c r="C6954" s="4">
        <v>52</v>
      </c>
      <c r="D6954" s="21">
        <f t="shared" si="567"/>
        <v>21784</v>
      </c>
      <c r="E6954" s="4">
        <v>1</v>
      </c>
      <c r="F6954" s="95">
        <f t="shared" si="568"/>
        <v>1006</v>
      </c>
    </row>
    <row r="6955" spans="1:6" x14ac:dyDescent="0.25">
      <c r="A6955" s="105" t="s">
        <v>36</v>
      </c>
      <c r="B6955" s="19">
        <v>44182</v>
      </c>
      <c r="C6955" s="4">
        <v>228</v>
      </c>
      <c r="D6955" s="21">
        <f t="shared" si="567"/>
        <v>10062</v>
      </c>
      <c r="E6955" s="4">
        <v>0</v>
      </c>
      <c r="F6955" s="95">
        <f t="shared" si="568"/>
        <v>196</v>
      </c>
    </row>
    <row r="6956" spans="1:6" x14ac:dyDescent="0.25">
      <c r="A6956" s="105" t="s">
        <v>37</v>
      </c>
      <c r="B6956" s="19">
        <v>44182</v>
      </c>
      <c r="C6956" s="4">
        <v>38</v>
      </c>
      <c r="D6956" s="21">
        <f t="shared" si="567"/>
        <v>15766</v>
      </c>
      <c r="E6956" s="4">
        <v>6</v>
      </c>
      <c r="F6956" s="95">
        <f t="shared" si="568"/>
        <v>274</v>
      </c>
    </row>
    <row r="6957" spans="1:6" x14ac:dyDescent="0.25">
      <c r="A6957" s="105" t="s">
        <v>38</v>
      </c>
      <c r="B6957" s="19">
        <v>44182</v>
      </c>
      <c r="C6957" s="4">
        <v>315</v>
      </c>
      <c r="D6957" s="21">
        <f t="shared" si="567"/>
        <v>19935</v>
      </c>
      <c r="E6957" s="4">
        <v>4</v>
      </c>
      <c r="F6957" s="95">
        <f t="shared" si="568"/>
        <v>348</v>
      </c>
    </row>
    <row r="6958" spans="1:6" x14ac:dyDescent="0.25">
      <c r="A6958" s="105" t="s">
        <v>23</v>
      </c>
      <c r="B6958" s="19">
        <v>44182</v>
      </c>
      <c r="C6958" s="4">
        <v>1109</v>
      </c>
      <c r="D6958" s="21">
        <f t="shared" si="567"/>
        <v>164196</v>
      </c>
      <c r="E6958" s="4">
        <v>32</v>
      </c>
      <c r="F6958" s="95">
        <f t="shared" si="568"/>
        <v>2673</v>
      </c>
    </row>
    <row r="6959" spans="1:6" x14ac:dyDescent="0.25">
      <c r="A6959" s="105" t="s">
        <v>39</v>
      </c>
      <c r="B6959" s="19">
        <v>44182</v>
      </c>
      <c r="C6959" s="4">
        <v>66</v>
      </c>
      <c r="D6959" s="21">
        <f t="shared" si="567"/>
        <v>16691</v>
      </c>
      <c r="E6959" s="4">
        <v>1</v>
      </c>
      <c r="F6959" s="95">
        <f t="shared" si="568"/>
        <v>211</v>
      </c>
    </row>
    <row r="6960" spans="1:6" x14ac:dyDescent="0.25">
      <c r="A6960" s="105" t="s">
        <v>40</v>
      </c>
      <c r="B6960" s="19">
        <v>44182</v>
      </c>
      <c r="C6960" s="4">
        <v>107</v>
      </c>
      <c r="D6960" s="21">
        <f t="shared" si="567"/>
        <v>17904</v>
      </c>
      <c r="E6960" s="4">
        <v>0</v>
      </c>
      <c r="F6960" s="95">
        <f t="shared" si="568"/>
        <v>242</v>
      </c>
    </row>
    <row r="6961" spans="1:6" ht="15.75" thickBot="1" x14ac:dyDescent="0.3">
      <c r="A6961" s="107" t="s">
        <v>41</v>
      </c>
      <c r="B6961" s="29">
        <v>44182</v>
      </c>
      <c r="C6961" s="30">
        <v>211</v>
      </c>
      <c r="D6961" s="59">
        <f t="shared" si="567"/>
        <v>69294</v>
      </c>
      <c r="E6961" s="30">
        <v>7</v>
      </c>
      <c r="F6961" s="104">
        <f t="shared" si="568"/>
        <v>1320</v>
      </c>
    </row>
    <row r="6962" spans="1:6" x14ac:dyDescent="0.25">
      <c r="A6962" s="45" t="s">
        <v>17</v>
      </c>
      <c r="B6962" s="32">
        <v>44183</v>
      </c>
      <c r="C6962" s="33">
        <v>2323</v>
      </c>
      <c r="D6962" s="97">
        <f t="shared" si="567"/>
        <v>648681</v>
      </c>
      <c r="E6962" s="33">
        <v>49</v>
      </c>
      <c r="F6962" s="94">
        <f t="shared" si="568"/>
        <v>21677</v>
      </c>
    </row>
    <row r="6963" spans="1:6" x14ac:dyDescent="0.25">
      <c r="A6963" s="105" t="s">
        <v>44</v>
      </c>
      <c r="B6963" s="19">
        <v>44183</v>
      </c>
      <c r="C6963" s="4">
        <v>584</v>
      </c>
      <c r="D6963" s="21">
        <f t="shared" si="567"/>
        <v>165194</v>
      </c>
      <c r="E6963" s="4">
        <v>1</v>
      </c>
      <c r="F6963" s="95">
        <f t="shared" si="568"/>
        <v>5379</v>
      </c>
    </row>
    <row r="6964" spans="1:6" x14ac:dyDescent="0.25">
      <c r="A6964" s="105" t="s">
        <v>29</v>
      </c>
      <c r="B6964" s="19">
        <v>44183</v>
      </c>
      <c r="C6964" s="4">
        <v>48</v>
      </c>
      <c r="D6964" s="21">
        <f t="shared" si="567"/>
        <v>2275</v>
      </c>
      <c r="E6964" s="4">
        <v>0</v>
      </c>
      <c r="F6964" s="95">
        <f t="shared" si="568"/>
        <v>17</v>
      </c>
    </row>
    <row r="6965" spans="1:6" x14ac:dyDescent="0.25">
      <c r="A6965" s="105" t="s">
        <v>16</v>
      </c>
      <c r="B6965" s="19">
        <v>44183</v>
      </c>
      <c r="C6965" s="4">
        <v>186</v>
      </c>
      <c r="D6965" s="21">
        <f t="shared" si="567"/>
        <v>22597</v>
      </c>
      <c r="E6965" s="4">
        <v>7</v>
      </c>
      <c r="F6965" s="95">
        <f t="shared" si="568"/>
        <v>643</v>
      </c>
    </row>
    <row r="6966" spans="1:6" x14ac:dyDescent="0.25">
      <c r="A6966" s="105" t="s">
        <v>30</v>
      </c>
      <c r="B6966" s="19">
        <v>44183</v>
      </c>
      <c r="C6966" s="4">
        <v>233</v>
      </c>
      <c r="D6966" s="21">
        <f t="shared" si="567"/>
        <v>27693</v>
      </c>
      <c r="E6966" s="4">
        <v>4</v>
      </c>
      <c r="F6966" s="95">
        <f t="shared" si="568"/>
        <v>473</v>
      </c>
    </row>
    <row r="6967" spans="1:6" x14ac:dyDescent="0.25">
      <c r="A6967" s="105" t="s">
        <v>21</v>
      </c>
      <c r="B6967" s="19">
        <v>44183</v>
      </c>
      <c r="C6967" s="4">
        <v>442</v>
      </c>
      <c r="D6967" s="21">
        <f t="shared" si="567"/>
        <v>121976</v>
      </c>
      <c r="E6967" s="4">
        <v>12</v>
      </c>
      <c r="F6967" s="95">
        <f t="shared" si="568"/>
        <v>2377</v>
      </c>
    </row>
    <row r="6968" spans="1:6" x14ac:dyDescent="0.25">
      <c r="A6968" s="105" t="s">
        <v>31</v>
      </c>
      <c r="B6968" s="19">
        <v>44183</v>
      </c>
      <c r="C6968" s="4">
        <v>175</v>
      </c>
      <c r="D6968" s="21">
        <f t="shared" si="567"/>
        <v>10200</v>
      </c>
      <c r="E6968" s="4">
        <v>3</v>
      </c>
      <c r="F6968" s="95">
        <f t="shared" si="568"/>
        <v>141</v>
      </c>
    </row>
    <row r="6969" spans="1:6" x14ac:dyDescent="0.25">
      <c r="A6969" s="105" t="s">
        <v>32</v>
      </c>
      <c r="B6969" s="19">
        <v>44183</v>
      </c>
      <c r="C6969" s="4">
        <v>177</v>
      </c>
      <c r="D6969" s="21">
        <f t="shared" si="567"/>
        <v>26598</v>
      </c>
      <c r="E6969" s="4">
        <v>7</v>
      </c>
      <c r="F6969" s="95">
        <f t="shared" si="568"/>
        <v>551</v>
      </c>
    </row>
    <row r="6970" spans="1:6" x14ac:dyDescent="0.25">
      <c r="A6970" s="105" t="s">
        <v>42</v>
      </c>
      <c r="B6970" s="19">
        <v>44183</v>
      </c>
      <c r="C6970" s="4">
        <v>-2</v>
      </c>
      <c r="D6970" s="21">
        <f t="shared" si="567"/>
        <v>201</v>
      </c>
      <c r="E6970" s="4">
        <v>0</v>
      </c>
      <c r="F6970" s="95">
        <f t="shared" si="568"/>
        <v>3</v>
      </c>
    </row>
    <row r="6971" spans="1:6" x14ac:dyDescent="0.25">
      <c r="A6971" s="105" t="s">
        <v>33</v>
      </c>
      <c r="B6971" s="19">
        <v>44183</v>
      </c>
      <c r="C6971" s="4">
        <v>13</v>
      </c>
      <c r="D6971" s="21">
        <f t="shared" si="567"/>
        <v>18478</v>
      </c>
      <c r="E6971" s="4">
        <v>1</v>
      </c>
      <c r="F6971" s="95">
        <f t="shared" si="568"/>
        <v>856</v>
      </c>
    </row>
    <row r="6972" spans="1:6" x14ac:dyDescent="0.25">
      <c r="A6972" s="105" t="s">
        <v>34</v>
      </c>
      <c r="B6972" s="19">
        <v>44183</v>
      </c>
      <c r="C6972" s="4">
        <v>193</v>
      </c>
      <c r="D6972" s="21">
        <f t="shared" si="567"/>
        <v>7898</v>
      </c>
      <c r="E6972" s="4">
        <v>1</v>
      </c>
      <c r="F6972" s="95">
        <f t="shared" si="568"/>
        <v>105</v>
      </c>
    </row>
    <row r="6973" spans="1:6" x14ac:dyDescent="0.25">
      <c r="A6973" s="105" t="s">
        <v>22</v>
      </c>
      <c r="B6973" s="19">
        <v>44183</v>
      </c>
      <c r="C6973" s="4">
        <v>12</v>
      </c>
      <c r="D6973" s="21">
        <f t="shared" si="567"/>
        <v>8989</v>
      </c>
      <c r="E6973" s="4">
        <v>10</v>
      </c>
      <c r="F6973" s="95">
        <f t="shared" si="568"/>
        <v>339</v>
      </c>
    </row>
    <row r="6974" spans="1:6" x14ac:dyDescent="0.25">
      <c r="A6974" s="105" t="s">
        <v>18</v>
      </c>
      <c r="B6974" s="19">
        <v>44183</v>
      </c>
      <c r="C6974" s="4">
        <v>95</v>
      </c>
      <c r="D6974" s="21">
        <f t="shared" si="567"/>
        <v>58872</v>
      </c>
      <c r="E6974" s="4">
        <v>0</v>
      </c>
      <c r="F6974" s="95">
        <f t="shared" si="568"/>
        <v>1199</v>
      </c>
    </row>
    <row r="6975" spans="1:6" x14ac:dyDescent="0.25">
      <c r="A6975" s="105" t="s">
        <v>24</v>
      </c>
      <c r="B6975" s="19">
        <v>44183</v>
      </c>
      <c r="C6975" s="4">
        <v>34</v>
      </c>
      <c r="D6975" s="21">
        <f t="shared" si="567"/>
        <v>822</v>
      </c>
      <c r="E6975" s="4">
        <v>0</v>
      </c>
      <c r="F6975" s="95">
        <f t="shared" si="568"/>
        <v>11</v>
      </c>
    </row>
    <row r="6976" spans="1:6" x14ac:dyDescent="0.25">
      <c r="A6976" s="105" t="s">
        <v>20</v>
      </c>
      <c r="B6976" s="19">
        <v>44183</v>
      </c>
      <c r="C6976" s="4">
        <v>176</v>
      </c>
      <c r="D6976" s="21">
        <f t="shared" si="567"/>
        <v>37695</v>
      </c>
      <c r="E6976" s="4">
        <v>0</v>
      </c>
      <c r="F6976" s="95">
        <f t="shared" si="568"/>
        <v>681</v>
      </c>
    </row>
    <row r="6977" spans="1:6" x14ac:dyDescent="0.25">
      <c r="A6977" s="105" t="s">
        <v>19</v>
      </c>
      <c r="B6977" s="19">
        <v>44183</v>
      </c>
      <c r="C6977" s="4">
        <v>197</v>
      </c>
      <c r="D6977" s="21">
        <f t="shared" si="567"/>
        <v>35357</v>
      </c>
      <c r="E6977" s="4">
        <v>5</v>
      </c>
      <c r="F6977" s="95">
        <f t="shared" si="568"/>
        <v>862</v>
      </c>
    </row>
    <row r="6978" spans="1:6" x14ac:dyDescent="0.25">
      <c r="A6978" s="105" t="s">
        <v>35</v>
      </c>
      <c r="B6978" s="19">
        <v>44183</v>
      </c>
      <c r="C6978" s="4">
        <v>73</v>
      </c>
      <c r="D6978" s="21">
        <f t="shared" si="567"/>
        <v>21857</v>
      </c>
      <c r="E6978" s="4">
        <v>1</v>
      </c>
      <c r="F6978" s="95">
        <f t="shared" si="568"/>
        <v>1007</v>
      </c>
    </row>
    <row r="6979" spans="1:6" x14ac:dyDescent="0.25">
      <c r="A6979" s="105" t="s">
        <v>36</v>
      </c>
      <c r="B6979" s="19">
        <v>44183</v>
      </c>
      <c r="C6979" s="4">
        <v>195</v>
      </c>
      <c r="D6979" s="21">
        <f t="shared" si="567"/>
        <v>10257</v>
      </c>
      <c r="E6979" s="4">
        <v>0</v>
      </c>
      <c r="F6979" s="95">
        <f t="shared" si="568"/>
        <v>196</v>
      </c>
    </row>
    <row r="6980" spans="1:6" x14ac:dyDescent="0.25">
      <c r="A6980" s="105" t="s">
        <v>37</v>
      </c>
      <c r="B6980" s="19">
        <v>44183</v>
      </c>
      <c r="C6980" s="4">
        <v>65</v>
      </c>
      <c r="D6980" s="21">
        <f t="shared" si="567"/>
        <v>15831</v>
      </c>
      <c r="E6980" s="4">
        <v>3</v>
      </c>
      <c r="F6980" s="95">
        <f t="shared" si="568"/>
        <v>277</v>
      </c>
    </row>
    <row r="6981" spans="1:6" x14ac:dyDescent="0.25">
      <c r="A6981" s="105" t="s">
        <v>38</v>
      </c>
      <c r="B6981" s="19">
        <v>44183</v>
      </c>
      <c r="C6981" s="4">
        <v>318</v>
      </c>
      <c r="D6981" s="21">
        <f t="shared" si="567"/>
        <v>20253</v>
      </c>
      <c r="E6981" s="4">
        <v>3</v>
      </c>
      <c r="F6981" s="95">
        <f t="shared" si="568"/>
        <v>351</v>
      </c>
    </row>
    <row r="6982" spans="1:6" x14ac:dyDescent="0.25">
      <c r="A6982" s="105" t="s">
        <v>23</v>
      </c>
      <c r="B6982" s="19">
        <v>44183</v>
      </c>
      <c r="C6982" s="4">
        <v>1073</v>
      </c>
      <c r="D6982" s="21">
        <f t="shared" si="567"/>
        <v>165269</v>
      </c>
      <c r="E6982" s="4">
        <v>25</v>
      </c>
      <c r="F6982" s="95">
        <f t="shared" si="568"/>
        <v>2698</v>
      </c>
    </row>
    <row r="6983" spans="1:6" x14ac:dyDescent="0.25">
      <c r="A6983" s="105" t="s">
        <v>39</v>
      </c>
      <c r="B6983" s="19">
        <v>44183</v>
      </c>
      <c r="C6983" s="4">
        <v>75</v>
      </c>
      <c r="D6983" s="21">
        <f t="shared" si="567"/>
        <v>16766</v>
      </c>
      <c r="E6983" s="4">
        <v>2</v>
      </c>
      <c r="F6983" s="95">
        <f t="shared" si="568"/>
        <v>213</v>
      </c>
    </row>
    <row r="6984" spans="1:6" x14ac:dyDescent="0.25">
      <c r="A6984" s="105" t="s">
        <v>40</v>
      </c>
      <c r="B6984" s="19">
        <v>44183</v>
      </c>
      <c r="C6984" s="4">
        <v>116</v>
      </c>
      <c r="D6984" s="21">
        <f t="shared" si="567"/>
        <v>18020</v>
      </c>
      <c r="E6984" s="4">
        <v>2</v>
      </c>
      <c r="F6984" s="95">
        <f t="shared" si="568"/>
        <v>244</v>
      </c>
    </row>
    <row r="6985" spans="1:6" ht="15.75" thickBot="1" x14ac:dyDescent="0.3">
      <c r="A6985" s="106" t="s">
        <v>41</v>
      </c>
      <c r="B6985" s="36">
        <v>44183</v>
      </c>
      <c r="C6985" s="37">
        <v>201</v>
      </c>
      <c r="D6985" s="98">
        <f t="shared" si="567"/>
        <v>69495</v>
      </c>
      <c r="E6985" s="37">
        <v>2</v>
      </c>
      <c r="F6985" s="96">
        <f t="shared" si="568"/>
        <v>1322</v>
      </c>
    </row>
    <row r="6986" spans="1:6" ht="15.75" thickBot="1" x14ac:dyDescent="0.3">
      <c r="A6986" s="45" t="s">
        <v>17</v>
      </c>
      <c r="B6986" s="36">
        <v>44184</v>
      </c>
      <c r="C6986" s="31">
        <v>2180</v>
      </c>
      <c r="D6986" s="97">
        <f t="shared" si="567"/>
        <v>650861</v>
      </c>
      <c r="E6986" s="31">
        <v>33</v>
      </c>
      <c r="F6986" s="94">
        <f t="shared" si="568"/>
        <v>21710</v>
      </c>
    </row>
    <row r="6987" spans="1:6" ht="15.75" thickBot="1" x14ac:dyDescent="0.3">
      <c r="A6987" s="105" t="s">
        <v>44</v>
      </c>
      <c r="B6987" s="36">
        <v>44184</v>
      </c>
      <c r="C6987" s="4">
        <v>501</v>
      </c>
      <c r="D6987" s="21">
        <f t="shared" si="567"/>
        <v>165695</v>
      </c>
      <c r="E6987" s="4">
        <v>3</v>
      </c>
      <c r="F6987" s="95">
        <f t="shared" si="568"/>
        <v>5382</v>
      </c>
    </row>
    <row r="6988" spans="1:6" ht="15.75" thickBot="1" x14ac:dyDescent="0.3">
      <c r="A6988" s="105" t="s">
        <v>29</v>
      </c>
      <c r="B6988" s="36">
        <v>44184</v>
      </c>
      <c r="C6988" s="4">
        <v>29</v>
      </c>
      <c r="D6988" s="21">
        <f t="shared" si="567"/>
        <v>2304</v>
      </c>
      <c r="E6988" s="4">
        <v>0</v>
      </c>
      <c r="F6988" s="95">
        <f t="shared" si="568"/>
        <v>17</v>
      </c>
    </row>
    <row r="6989" spans="1:6" ht="15.75" thickBot="1" x14ac:dyDescent="0.3">
      <c r="A6989" s="105" t="s">
        <v>16</v>
      </c>
      <c r="B6989" s="36">
        <v>44184</v>
      </c>
      <c r="C6989" s="4">
        <v>138</v>
      </c>
      <c r="D6989" s="21">
        <f t="shared" si="567"/>
        <v>22735</v>
      </c>
      <c r="E6989" s="4">
        <v>2</v>
      </c>
      <c r="F6989" s="95">
        <f t="shared" si="568"/>
        <v>645</v>
      </c>
    </row>
    <row r="6990" spans="1:6" ht="15.75" thickBot="1" x14ac:dyDescent="0.3">
      <c r="A6990" s="105" t="s">
        <v>30</v>
      </c>
      <c r="B6990" s="36">
        <v>44184</v>
      </c>
      <c r="C6990" s="4">
        <v>322</v>
      </c>
      <c r="D6990" s="21">
        <f t="shared" si="567"/>
        <v>28015</v>
      </c>
      <c r="E6990" s="4">
        <v>11</v>
      </c>
      <c r="F6990" s="95">
        <f t="shared" si="568"/>
        <v>484</v>
      </c>
    </row>
    <row r="6991" spans="1:6" ht="15.75" thickBot="1" x14ac:dyDescent="0.3">
      <c r="A6991" s="105" t="s">
        <v>21</v>
      </c>
      <c r="B6991" s="36">
        <v>44184</v>
      </c>
      <c r="C6991" s="4">
        <v>262</v>
      </c>
      <c r="D6991" s="21">
        <f t="shared" si="567"/>
        <v>122238</v>
      </c>
      <c r="E6991" s="4">
        <v>8</v>
      </c>
      <c r="F6991" s="95">
        <f t="shared" si="568"/>
        <v>2385</v>
      </c>
    </row>
    <row r="6992" spans="1:6" ht="15.75" thickBot="1" x14ac:dyDescent="0.3">
      <c r="A6992" s="105" t="s">
        <v>31</v>
      </c>
      <c r="B6992" s="36">
        <v>44184</v>
      </c>
      <c r="C6992" s="4">
        <v>100</v>
      </c>
      <c r="D6992" s="21">
        <f t="shared" si="567"/>
        <v>10300</v>
      </c>
      <c r="E6992" s="4">
        <v>2</v>
      </c>
      <c r="F6992" s="95">
        <f t="shared" si="568"/>
        <v>143</v>
      </c>
    </row>
    <row r="6993" spans="1:6" ht="15.75" thickBot="1" x14ac:dyDescent="0.3">
      <c r="A6993" s="105" t="s">
        <v>32</v>
      </c>
      <c r="B6993" s="36">
        <v>44184</v>
      </c>
      <c r="C6993" s="4">
        <v>210</v>
      </c>
      <c r="D6993" s="21">
        <f t="shared" si="567"/>
        <v>26808</v>
      </c>
      <c r="E6993" s="4">
        <v>2</v>
      </c>
      <c r="F6993" s="95">
        <f t="shared" si="568"/>
        <v>553</v>
      </c>
    </row>
    <row r="6994" spans="1:6" ht="15.75" thickBot="1" x14ac:dyDescent="0.3">
      <c r="A6994" s="105" t="s">
        <v>42</v>
      </c>
      <c r="B6994" s="36">
        <v>44184</v>
      </c>
      <c r="C6994" s="4">
        <v>0</v>
      </c>
      <c r="D6994" s="21">
        <f t="shared" si="567"/>
        <v>201</v>
      </c>
      <c r="E6994" s="4">
        <v>0</v>
      </c>
      <c r="F6994" s="95">
        <f t="shared" si="568"/>
        <v>3</v>
      </c>
    </row>
    <row r="6995" spans="1:6" ht="15.75" thickBot="1" x14ac:dyDescent="0.3">
      <c r="A6995" s="105" t="s">
        <v>33</v>
      </c>
      <c r="B6995" s="36">
        <v>44184</v>
      </c>
      <c r="C6995" s="4">
        <v>4</v>
      </c>
      <c r="D6995" s="21">
        <f t="shared" si="567"/>
        <v>18482</v>
      </c>
      <c r="E6995" s="4">
        <v>1</v>
      </c>
      <c r="F6995" s="95">
        <f t="shared" si="568"/>
        <v>857</v>
      </c>
    </row>
    <row r="6996" spans="1:6" ht="15.75" thickBot="1" x14ac:dyDescent="0.3">
      <c r="A6996" s="105" t="s">
        <v>34</v>
      </c>
      <c r="B6996" s="36">
        <v>44184</v>
      </c>
      <c r="C6996" s="4">
        <v>203</v>
      </c>
      <c r="D6996" s="21">
        <f t="shared" si="567"/>
        <v>8101</v>
      </c>
      <c r="E6996" s="4">
        <v>0</v>
      </c>
      <c r="F6996" s="95">
        <f t="shared" si="568"/>
        <v>105</v>
      </c>
    </row>
    <row r="6997" spans="1:6" ht="15.75" thickBot="1" x14ac:dyDescent="0.3">
      <c r="A6997" s="105" t="s">
        <v>22</v>
      </c>
      <c r="B6997" s="36">
        <v>44184</v>
      </c>
      <c r="C6997" s="4">
        <v>5</v>
      </c>
      <c r="D6997" s="21">
        <f t="shared" si="567"/>
        <v>8994</v>
      </c>
      <c r="E6997" s="4">
        <v>9</v>
      </c>
      <c r="F6997" s="95">
        <f t="shared" si="568"/>
        <v>348</v>
      </c>
    </row>
    <row r="6998" spans="1:6" ht="15.75" thickBot="1" x14ac:dyDescent="0.3">
      <c r="A6998" s="105" t="s">
        <v>18</v>
      </c>
      <c r="B6998" s="36">
        <v>44184</v>
      </c>
      <c r="C6998" s="4">
        <v>82</v>
      </c>
      <c r="D6998" s="21">
        <f t="shared" si="567"/>
        <v>58954</v>
      </c>
      <c r="E6998" s="4">
        <v>0</v>
      </c>
      <c r="F6998" s="95">
        <f t="shared" si="568"/>
        <v>1199</v>
      </c>
    </row>
    <row r="6999" spans="1:6" ht="15.75" thickBot="1" x14ac:dyDescent="0.3">
      <c r="A6999" s="105" t="s">
        <v>24</v>
      </c>
      <c r="B6999" s="36">
        <v>44184</v>
      </c>
      <c r="C6999" s="4">
        <v>24</v>
      </c>
      <c r="D6999" s="21">
        <f t="shared" si="567"/>
        <v>846</v>
      </c>
      <c r="E6999" s="4">
        <v>0</v>
      </c>
      <c r="F6999" s="95">
        <f t="shared" si="568"/>
        <v>11</v>
      </c>
    </row>
    <row r="7000" spans="1:6" ht="15.75" thickBot="1" x14ac:dyDescent="0.3">
      <c r="A7000" s="105" t="s">
        <v>20</v>
      </c>
      <c r="B7000" s="36">
        <v>44184</v>
      </c>
      <c r="C7000" s="4">
        <v>215</v>
      </c>
      <c r="D7000" s="21">
        <f t="shared" si="567"/>
        <v>37910</v>
      </c>
      <c r="E7000" s="4">
        <v>0</v>
      </c>
      <c r="F7000" s="95">
        <f t="shared" si="568"/>
        <v>681</v>
      </c>
    </row>
    <row r="7001" spans="1:6" ht="15.75" thickBot="1" x14ac:dyDescent="0.3">
      <c r="A7001" s="105" t="s">
        <v>19</v>
      </c>
      <c r="B7001" s="36">
        <v>44184</v>
      </c>
      <c r="C7001" s="4">
        <v>204</v>
      </c>
      <c r="D7001" s="21">
        <f t="shared" si="567"/>
        <v>35561</v>
      </c>
      <c r="E7001" s="4">
        <v>5</v>
      </c>
      <c r="F7001" s="95">
        <f t="shared" si="568"/>
        <v>867</v>
      </c>
    </row>
    <row r="7002" spans="1:6" ht="15.75" thickBot="1" x14ac:dyDescent="0.3">
      <c r="A7002" s="105" t="s">
        <v>35</v>
      </c>
      <c r="B7002" s="36">
        <v>44184</v>
      </c>
      <c r="C7002" s="4">
        <v>67</v>
      </c>
      <c r="D7002" s="21">
        <f t="shared" si="567"/>
        <v>21924</v>
      </c>
      <c r="E7002" s="4">
        <v>1</v>
      </c>
      <c r="F7002" s="95">
        <f t="shared" si="568"/>
        <v>1008</v>
      </c>
    </row>
    <row r="7003" spans="1:6" ht="15.75" thickBot="1" x14ac:dyDescent="0.3">
      <c r="A7003" s="105" t="s">
        <v>36</v>
      </c>
      <c r="B7003" s="36">
        <v>44184</v>
      </c>
      <c r="C7003" s="4">
        <v>19</v>
      </c>
      <c r="D7003" s="21">
        <f t="shared" si="567"/>
        <v>10276</v>
      </c>
      <c r="E7003" s="4">
        <v>0</v>
      </c>
      <c r="F7003" s="95">
        <f t="shared" si="568"/>
        <v>196</v>
      </c>
    </row>
    <row r="7004" spans="1:6" ht="15.75" thickBot="1" x14ac:dyDescent="0.3">
      <c r="A7004" s="105" t="s">
        <v>37</v>
      </c>
      <c r="B7004" s="36">
        <v>44184</v>
      </c>
      <c r="C7004" s="4">
        <v>31</v>
      </c>
      <c r="D7004" s="21">
        <f t="shared" si="567"/>
        <v>15862</v>
      </c>
      <c r="E7004" s="4">
        <v>0</v>
      </c>
      <c r="F7004" s="95">
        <f t="shared" si="568"/>
        <v>277</v>
      </c>
    </row>
    <row r="7005" spans="1:6" ht="15.75" thickBot="1" x14ac:dyDescent="0.3">
      <c r="A7005" s="105" t="s">
        <v>38</v>
      </c>
      <c r="B7005" s="36">
        <v>44184</v>
      </c>
      <c r="C7005" s="4">
        <v>254</v>
      </c>
      <c r="D7005" s="21">
        <f t="shared" si="567"/>
        <v>20507</v>
      </c>
      <c r="E7005" s="4">
        <v>0</v>
      </c>
      <c r="F7005" s="95">
        <f t="shared" si="568"/>
        <v>351</v>
      </c>
    </row>
    <row r="7006" spans="1:6" ht="15.75" thickBot="1" x14ac:dyDescent="0.3">
      <c r="A7006" s="105" t="s">
        <v>23</v>
      </c>
      <c r="B7006" s="36">
        <v>44184</v>
      </c>
      <c r="C7006" s="4">
        <v>742</v>
      </c>
      <c r="D7006" s="21">
        <f t="shared" si="567"/>
        <v>166011</v>
      </c>
      <c r="E7006" s="4">
        <v>14</v>
      </c>
      <c r="F7006" s="95">
        <f t="shared" si="568"/>
        <v>2712</v>
      </c>
    </row>
    <row r="7007" spans="1:6" ht="15.75" thickBot="1" x14ac:dyDescent="0.3">
      <c r="A7007" s="105" t="s">
        <v>39</v>
      </c>
      <c r="B7007" s="36">
        <v>44184</v>
      </c>
      <c r="C7007" s="4">
        <v>28</v>
      </c>
      <c r="D7007" s="21">
        <f t="shared" si="567"/>
        <v>16794</v>
      </c>
      <c r="E7007" s="4">
        <v>0</v>
      </c>
      <c r="F7007" s="95">
        <f t="shared" si="568"/>
        <v>213</v>
      </c>
    </row>
    <row r="7008" spans="1:6" ht="15.75" thickBot="1" x14ac:dyDescent="0.3">
      <c r="A7008" s="105" t="s">
        <v>40</v>
      </c>
      <c r="B7008" s="36">
        <v>44184</v>
      </c>
      <c r="C7008" s="4">
        <v>69</v>
      </c>
      <c r="D7008" s="21">
        <f t="shared" si="567"/>
        <v>18089</v>
      </c>
      <c r="E7008" s="4">
        <v>0</v>
      </c>
      <c r="F7008" s="95">
        <f t="shared" si="568"/>
        <v>244</v>
      </c>
    </row>
    <row r="7009" spans="1:6" ht="15.75" thickBot="1" x14ac:dyDescent="0.3">
      <c r="A7009" s="106" t="s">
        <v>41</v>
      </c>
      <c r="B7009" s="36">
        <v>44184</v>
      </c>
      <c r="C7009" s="4">
        <v>106</v>
      </c>
      <c r="D7009" s="98">
        <f t="shared" si="567"/>
        <v>69601</v>
      </c>
      <c r="E7009" s="4">
        <v>0</v>
      </c>
      <c r="F7009" s="96">
        <f t="shared" si="568"/>
        <v>1322</v>
      </c>
    </row>
    <row r="7010" spans="1:6" ht="15.75" thickBot="1" x14ac:dyDescent="0.3">
      <c r="A7010" s="45" t="s">
        <v>17</v>
      </c>
      <c r="B7010" s="36">
        <v>44185</v>
      </c>
      <c r="C7010" s="4">
        <v>1276</v>
      </c>
      <c r="D7010" s="97">
        <f t="shared" si="567"/>
        <v>652137</v>
      </c>
      <c r="E7010" s="4">
        <v>9</v>
      </c>
      <c r="F7010" s="94">
        <f t="shared" si="568"/>
        <v>21719</v>
      </c>
    </row>
    <row r="7011" spans="1:6" ht="15.75" thickBot="1" x14ac:dyDescent="0.3">
      <c r="A7011" s="105" t="s">
        <v>44</v>
      </c>
      <c r="B7011" s="36">
        <v>44185</v>
      </c>
      <c r="C7011" s="4">
        <v>391</v>
      </c>
      <c r="D7011" s="21">
        <f t="shared" ref="D7011:D7074" si="569">C7011+D6987</f>
        <v>166086</v>
      </c>
      <c r="E7011" s="4">
        <v>7</v>
      </c>
      <c r="F7011" s="95">
        <f t="shared" ref="F7011:F7074" si="570">E7011+F6987</f>
        <v>5389</v>
      </c>
    </row>
    <row r="7012" spans="1:6" ht="15.75" thickBot="1" x14ac:dyDescent="0.3">
      <c r="A7012" s="105" t="s">
        <v>29</v>
      </c>
      <c r="B7012" s="36">
        <v>44185</v>
      </c>
      <c r="C7012" s="4">
        <v>32</v>
      </c>
      <c r="D7012" s="21">
        <f t="shared" si="569"/>
        <v>2336</v>
      </c>
      <c r="E7012" s="4">
        <v>0</v>
      </c>
      <c r="F7012" s="95">
        <f t="shared" si="570"/>
        <v>17</v>
      </c>
    </row>
    <row r="7013" spans="1:6" ht="15.75" thickBot="1" x14ac:dyDescent="0.3">
      <c r="A7013" s="105" t="s">
        <v>16</v>
      </c>
      <c r="B7013" s="36">
        <v>44185</v>
      </c>
      <c r="C7013" s="4">
        <v>137</v>
      </c>
      <c r="D7013" s="21">
        <f t="shared" si="569"/>
        <v>22872</v>
      </c>
      <c r="E7013" s="4">
        <v>4</v>
      </c>
      <c r="F7013" s="95">
        <f t="shared" si="570"/>
        <v>649</v>
      </c>
    </row>
    <row r="7014" spans="1:6" ht="15.75" thickBot="1" x14ac:dyDescent="0.3">
      <c r="A7014" s="105" t="s">
        <v>30</v>
      </c>
      <c r="B7014" s="36">
        <v>44185</v>
      </c>
      <c r="C7014" s="4">
        <v>115</v>
      </c>
      <c r="D7014" s="21">
        <f t="shared" si="569"/>
        <v>28130</v>
      </c>
      <c r="E7014" s="4">
        <v>0</v>
      </c>
      <c r="F7014" s="95">
        <f t="shared" si="570"/>
        <v>484</v>
      </c>
    </row>
    <row r="7015" spans="1:6" ht="15.75" thickBot="1" x14ac:dyDescent="0.3">
      <c r="A7015" s="105" t="s">
        <v>21</v>
      </c>
      <c r="B7015" s="36">
        <v>44185</v>
      </c>
      <c r="C7015" s="4">
        <v>295</v>
      </c>
      <c r="D7015" s="21">
        <f t="shared" si="569"/>
        <v>122533</v>
      </c>
      <c r="E7015" s="4">
        <v>7</v>
      </c>
      <c r="F7015" s="95">
        <f t="shared" si="570"/>
        <v>2392</v>
      </c>
    </row>
    <row r="7016" spans="1:6" ht="15.75" thickBot="1" x14ac:dyDescent="0.3">
      <c r="A7016" s="105" t="s">
        <v>31</v>
      </c>
      <c r="B7016" s="36">
        <v>44185</v>
      </c>
      <c r="C7016" s="4">
        <v>149</v>
      </c>
      <c r="D7016" s="21">
        <f t="shared" si="569"/>
        <v>10449</v>
      </c>
      <c r="E7016" s="4">
        <v>0</v>
      </c>
      <c r="F7016" s="95">
        <f t="shared" si="570"/>
        <v>143</v>
      </c>
    </row>
    <row r="7017" spans="1:6" ht="15.75" thickBot="1" x14ac:dyDescent="0.3">
      <c r="A7017" s="105" t="s">
        <v>32</v>
      </c>
      <c r="B7017" s="36">
        <v>44185</v>
      </c>
      <c r="C7017" s="4">
        <v>157</v>
      </c>
      <c r="D7017" s="21">
        <f t="shared" si="569"/>
        <v>26965</v>
      </c>
      <c r="E7017" s="4">
        <v>0</v>
      </c>
      <c r="F7017" s="95">
        <f t="shared" si="570"/>
        <v>553</v>
      </c>
    </row>
    <row r="7018" spans="1:6" ht="15.75" thickBot="1" x14ac:dyDescent="0.3">
      <c r="A7018" s="105" t="s">
        <v>42</v>
      </c>
      <c r="B7018" s="36">
        <v>44185</v>
      </c>
      <c r="C7018" s="4">
        <v>3</v>
      </c>
      <c r="D7018" s="21">
        <f t="shared" si="569"/>
        <v>204</v>
      </c>
      <c r="E7018" s="4">
        <v>0</v>
      </c>
      <c r="F7018" s="95">
        <f t="shared" si="570"/>
        <v>3</v>
      </c>
    </row>
    <row r="7019" spans="1:6" ht="15.75" thickBot="1" x14ac:dyDescent="0.3">
      <c r="A7019" s="105" t="s">
        <v>33</v>
      </c>
      <c r="B7019" s="36">
        <v>44185</v>
      </c>
      <c r="C7019" s="4">
        <v>0</v>
      </c>
      <c r="D7019" s="21">
        <f t="shared" si="569"/>
        <v>18482</v>
      </c>
      <c r="E7019" s="4">
        <v>0</v>
      </c>
      <c r="F7019" s="95">
        <f t="shared" si="570"/>
        <v>857</v>
      </c>
    </row>
    <row r="7020" spans="1:6" ht="15.75" thickBot="1" x14ac:dyDescent="0.3">
      <c r="A7020" s="105" t="s">
        <v>34</v>
      </c>
      <c r="B7020" s="36">
        <v>44185</v>
      </c>
      <c r="C7020" s="4">
        <v>170</v>
      </c>
      <c r="D7020" s="21">
        <f t="shared" si="569"/>
        <v>8271</v>
      </c>
      <c r="E7020" s="4">
        <v>1</v>
      </c>
      <c r="F7020" s="95">
        <f t="shared" si="570"/>
        <v>106</v>
      </c>
    </row>
    <row r="7021" spans="1:6" ht="15.75" thickBot="1" x14ac:dyDescent="0.3">
      <c r="A7021" s="105" t="s">
        <v>22</v>
      </c>
      <c r="B7021" s="36">
        <v>44185</v>
      </c>
      <c r="C7021" s="4">
        <v>6</v>
      </c>
      <c r="D7021" s="21">
        <f t="shared" si="569"/>
        <v>9000</v>
      </c>
      <c r="E7021" s="4">
        <v>0</v>
      </c>
      <c r="F7021" s="95">
        <f t="shared" si="570"/>
        <v>348</v>
      </c>
    </row>
    <row r="7022" spans="1:6" ht="15.75" thickBot="1" x14ac:dyDescent="0.3">
      <c r="A7022" s="105" t="s">
        <v>18</v>
      </c>
      <c r="B7022" s="36">
        <v>44185</v>
      </c>
      <c r="C7022" s="4">
        <v>21</v>
      </c>
      <c r="D7022" s="21">
        <f t="shared" si="569"/>
        <v>58975</v>
      </c>
      <c r="E7022" s="4">
        <v>0</v>
      </c>
      <c r="F7022" s="95">
        <f t="shared" si="570"/>
        <v>1199</v>
      </c>
    </row>
    <row r="7023" spans="1:6" ht="15.75" thickBot="1" x14ac:dyDescent="0.3">
      <c r="A7023" s="105" t="s">
        <v>24</v>
      </c>
      <c r="B7023" s="36">
        <v>44185</v>
      </c>
      <c r="C7023" s="4">
        <v>13</v>
      </c>
      <c r="D7023" s="21">
        <f t="shared" si="569"/>
        <v>859</v>
      </c>
      <c r="E7023" s="4">
        <v>0</v>
      </c>
      <c r="F7023" s="95">
        <f t="shared" si="570"/>
        <v>11</v>
      </c>
    </row>
    <row r="7024" spans="1:6" ht="15.75" thickBot="1" x14ac:dyDescent="0.3">
      <c r="A7024" s="105" t="s">
        <v>20</v>
      </c>
      <c r="B7024" s="36">
        <v>44185</v>
      </c>
      <c r="C7024" s="4">
        <v>138</v>
      </c>
      <c r="D7024" s="21">
        <f t="shared" si="569"/>
        <v>38048</v>
      </c>
      <c r="E7024" s="4">
        <v>0</v>
      </c>
      <c r="F7024" s="95">
        <f t="shared" si="570"/>
        <v>681</v>
      </c>
    </row>
    <row r="7025" spans="1:6" ht="15.75" thickBot="1" x14ac:dyDescent="0.3">
      <c r="A7025" s="105" t="s">
        <v>19</v>
      </c>
      <c r="B7025" s="36">
        <v>44185</v>
      </c>
      <c r="C7025" s="4">
        <v>137</v>
      </c>
      <c r="D7025" s="21">
        <f t="shared" si="569"/>
        <v>35698</v>
      </c>
      <c r="E7025" s="4">
        <v>0</v>
      </c>
      <c r="F7025" s="95">
        <f t="shared" si="570"/>
        <v>867</v>
      </c>
    </row>
    <row r="7026" spans="1:6" ht="15.75" thickBot="1" x14ac:dyDescent="0.3">
      <c r="A7026" s="105" t="s">
        <v>35</v>
      </c>
      <c r="B7026" s="36">
        <v>44185</v>
      </c>
      <c r="C7026" s="4">
        <v>39</v>
      </c>
      <c r="D7026" s="21">
        <f t="shared" si="569"/>
        <v>21963</v>
      </c>
      <c r="E7026" s="4">
        <v>2</v>
      </c>
      <c r="F7026" s="95">
        <f t="shared" si="570"/>
        <v>1010</v>
      </c>
    </row>
    <row r="7027" spans="1:6" ht="15.75" thickBot="1" x14ac:dyDescent="0.3">
      <c r="A7027" s="105" t="s">
        <v>36</v>
      </c>
      <c r="B7027" s="36">
        <v>44185</v>
      </c>
      <c r="C7027" s="4">
        <v>21</v>
      </c>
      <c r="D7027" s="21">
        <f t="shared" si="569"/>
        <v>10297</v>
      </c>
      <c r="E7027" s="4">
        <v>0</v>
      </c>
      <c r="F7027" s="95">
        <f t="shared" si="570"/>
        <v>196</v>
      </c>
    </row>
    <row r="7028" spans="1:6" ht="15.75" thickBot="1" x14ac:dyDescent="0.3">
      <c r="A7028" s="105" t="s">
        <v>37</v>
      </c>
      <c r="B7028" s="36">
        <v>44185</v>
      </c>
      <c r="C7028" s="4">
        <v>34</v>
      </c>
      <c r="D7028" s="21">
        <f t="shared" si="569"/>
        <v>15896</v>
      </c>
      <c r="E7028" s="4">
        <v>1</v>
      </c>
      <c r="F7028" s="95">
        <f t="shared" si="570"/>
        <v>278</v>
      </c>
    </row>
    <row r="7029" spans="1:6" ht="15.75" thickBot="1" x14ac:dyDescent="0.3">
      <c r="A7029" s="105" t="s">
        <v>38</v>
      </c>
      <c r="B7029" s="36">
        <v>44185</v>
      </c>
      <c r="C7029" s="4">
        <v>157</v>
      </c>
      <c r="D7029" s="21">
        <f t="shared" si="569"/>
        <v>20664</v>
      </c>
      <c r="E7029" s="4">
        <v>2</v>
      </c>
      <c r="F7029" s="95">
        <f t="shared" si="570"/>
        <v>353</v>
      </c>
    </row>
    <row r="7030" spans="1:6" ht="15.75" thickBot="1" x14ac:dyDescent="0.3">
      <c r="A7030" s="105" t="s">
        <v>23</v>
      </c>
      <c r="B7030" s="36">
        <v>44185</v>
      </c>
      <c r="C7030" s="4">
        <v>680</v>
      </c>
      <c r="D7030" s="21">
        <f t="shared" si="569"/>
        <v>166691</v>
      </c>
      <c r="E7030" s="4">
        <v>16</v>
      </c>
      <c r="F7030" s="95">
        <f t="shared" si="570"/>
        <v>2728</v>
      </c>
    </row>
    <row r="7031" spans="1:6" ht="15.75" thickBot="1" x14ac:dyDescent="0.3">
      <c r="A7031" s="105" t="s">
        <v>39</v>
      </c>
      <c r="B7031" s="36">
        <v>44185</v>
      </c>
      <c r="C7031" s="4">
        <v>44</v>
      </c>
      <c r="D7031" s="21">
        <f t="shared" si="569"/>
        <v>16838</v>
      </c>
      <c r="E7031" s="4">
        <v>1</v>
      </c>
      <c r="F7031" s="95">
        <f t="shared" si="570"/>
        <v>214</v>
      </c>
    </row>
    <row r="7032" spans="1:6" ht="15.75" thickBot="1" x14ac:dyDescent="0.3">
      <c r="A7032" s="105" t="s">
        <v>40</v>
      </c>
      <c r="B7032" s="36">
        <v>44185</v>
      </c>
      <c r="C7032" s="4">
        <v>55</v>
      </c>
      <c r="D7032" s="21">
        <f t="shared" si="569"/>
        <v>18144</v>
      </c>
      <c r="E7032" s="4">
        <v>0</v>
      </c>
      <c r="F7032" s="95">
        <f t="shared" si="570"/>
        <v>244</v>
      </c>
    </row>
    <row r="7033" spans="1:6" ht="15.75" thickBot="1" x14ac:dyDescent="0.3">
      <c r="A7033" s="106" t="s">
        <v>41</v>
      </c>
      <c r="B7033" s="36">
        <v>44185</v>
      </c>
      <c r="C7033" s="4">
        <v>46</v>
      </c>
      <c r="D7033" s="98">
        <f t="shared" si="569"/>
        <v>69647</v>
      </c>
      <c r="E7033" s="4">
        <v>0</v>
      </c>
      <c r="F7033" s="96">
        <f t="shared" si="570"/>
        <v>1322</v>
      </c>
    </row>
    <row r="7034" spans="1:6" ht="15.75" thickBot="1" x14ac:dyDescent="0.3">
      <c r="A7034" s="45" t="s">
        <v>17</v>
      </c>
      <c r="B7034" s="36">
        <v>44186</v>
      </c>
      <c r="C7034" s="4">
        <v>2049</v>
      </c>
      <c r="D7034" s="97">
        <f t="shared" si="569"/>
        <v>654186</v>
      </c>
      <c r="E7034" s="4">
        <v>48</v>
      </c>
      <c r="F7034" s="94">
        <f t="shared" si="570"/>
        <v>21767</v>
      </c>
    </row>
    <row r="7035" spans="1:6" ht="15.75" thickBot="1" x14ac:dyDescent="0.3">
      <c r="A7035" s="105" t="s">
        <v>44</v>
      </c>
      <c r="B7035" s="36">
        <v>44186</v>
      </c>
      <c r="C7035" s="4">
        <v>490</v>
      </c>
      <c r="D7035" s="21">
        <f t="shared" si="569"/>
        <v>166576</v>
      </c>
      <c r="E7035" s="4">
        <v>21</v>
      </c>
      <c r="F7035" s="95">
        <f t="shared" si="570"/>
        <v>5410</v>
      </c>
    </row>
    <row r="7036" spans="1:6" ht="15.75" thickBot="1" x14ac:dyDescent="0.3">
      <c r="A7036" s="105" t="s">
        <v>29</v>
      </c>
      <c r="B7036" s="36">
        <v>44186</v>
      </c>
      <c r="C7036" s="4">
        <v>26</v>
      </c>
      <c r="D7036" s="21">
        <f t="shared" si="569"/>
        <v>2362</v>
      </c>
      <c r="E7036" s="4">
        <v>0</v>
      </c>
      <c r="F7036" s="95">
        <f t="shared" si="570"/>
        <v>17</v>
      </c>
    </row>
    <row r="7037" spans="1:6" ht="15.75" thickBot="1" x14ac:dyDescent="0.3">
      <c r="A7037" s="105" t="s">
        <v>16</v>
      </c>
      <c r="B7037" s="36">
        <v>44186</v>
      </c>
      <c r="C7037" s="4">
        <v>149</v>
      </c>
      <c r="D7037" s="21">
        <f t="shared" si="569"/>
        <v>23021</v>
      </c>
      <c r="E7037" s="4">
        <v>7</v>
      </c>
      <c r="F7037" s="95">
        <f t="shared" si="570"/>
        <v>656</v>
      </c>
    </row>
    <row r="7038" spans="1:6" ht="15.75" thickBot="1" x14ac:dyDescent="0.3">
      <c r="A7038" s="105" t="s">
        <v>30</v>
      </c>
      <c r="B7038" s="36">
        <v>44186</v>
      </c>
      <c r="C7038" s="4">
        <v>366</v>
      </c>
      <c r="D7038" s="21">
        <f t="shared" si="569"/>
        <v>28496</v>
      </c>
      <c r="E7038" s="4">
        <v>1</v>
      </c>
      <c r="F7038" s="95">
        <f t="shared" si="570"/>
        <v>485</v>
      </c>
    </row>
    <row r="7039" spans="1:6" ht="15.75" thickBot="1" x14ac:dyDescent="0.3">
      <c r="A7039" s="105" t="s">
        <v>21</v>
      </c>
      <c r="B7039" s="36">
        <v>44186</v>
      </c>
      <c r="C7039" s="4">
        <v>183</v>
      </c>
      <c r="D7039" s="21">
        <v>122816</v>
      </c>
      <c r="E7039" s="4">
        <v>16</v>
      </c>
      <c r="F7039" s="95">
        <f t="shared" si="570"/>
        <v>2408</v>
      </c>
    </row>
    <row r="7040" spans="1:6" ht="15.75" thickBot="1" x14ac:dyDescent="0.3">
      <c r="A7040" s="105" t="s">
        <v>31</v>
      </c>
      <c r="B7040" s="36">
        <v>44186</v>
      </c>
      <c r="C7040" s="4">
        <v>262</v>
      </c>
      <c r="D7040" s="21">
        <f t="shared" si="569"/>
        <v>10711</v>
      </c>
      <c r="E7040" s="4">
        <v>4</v>
      </c>
      <c r="F7040" s="95">
        <f t="shared" si="570"/>
        <v>147</v>
      </c>
    </row>
    <row r="7041" spans="1:6" ht="15.75" thickBot="1" x14ac:dyDescent="0.3">
      <c r="A7041" s="105" t="s">
        <v>32</v>
      </c>
      <c r="B7041" s="36">
        <v>44186</v>
      </c>
      <c r="C7041" s="4">
        <v>38</v>
      </c>
      <c r="D7041" s="21">
        <f t="shared" si="569"/>
        <v>27003</v>
      </c>
      <c r="E7041" s="4">
        <v>7</v>
      </c>
      <c r="F7041" s="95">
        <f t="shared" si="570"/>
        <v>560</v>
      </c>
    </row>
    <row r="7042" spans="1:6" ht="15.75" thickBot="1" x14ac:dyDescent="0.3">
      <c r="A7042" s="105" t="s">
        <v>42</v>
      </c>
      <c r="B7042" s="36">
        <v>44186</v>
      </c>
      <c r="C7042" s="4">
        <v>-1</v>
      </c>
      <c r="D7042" s="21">
        <f t="shared" si="569"/>
        <v>203</v>
      </c>
      <c r="E7042" s="4">
        <v>0</v>
      </c>
      <c r="F7042" s="95">
        <f t="shared" si="570"/>
        <v>3</v>
      </c>
    </row>
    <row r="7043" spans="1:6" ht="15.75" thickBot="1" x14ac:dyDescent="0.3">
      <c r="A7043" s="105" t="s">
        <v>33</v>
      </c>
      <c r="B7043" s="36">
        <v>44186</v>
      </c>
      <c r="C7043" s="4">
        <v>0</v>
      </c>
      <c r="D7043" s="21">
        <f t="shared" si="569"/>
        <v>18482</v>
      </c>
      <c r="E7043" s="4">
        <v>0</v>
      </c>
      <c r="F7043" s="95">
        <f t="shared" si="570"/>
        <v>857</v>
      </c>
    </row>
    <row r="7044" spans="1:6" ht="15.75" thickBot="1" x14ac:dyDescent="0.3">
      <c r="A7044" s="105" t="s">
        <v>34</v>
      </c>
      <c r="B7044" s="36">
        <v>44186</v>
      </c>
      <c r="C7044" s="4">
        <v>161</v>
      </c>
      <c r="D7044" s="21">
        <f t="shared" si="569"/>
        <v>8432</v>
      </c>
      <c r="E7044" s="4">
        <v>10</v>
      </c>
      <c r="F7044" s="95">
        <f t="shared" si="570"/>
        <v>116</v>
      </c>
    </row>
    <row r="7045" spans="1:6" ht="15.75" thickBot="1" x14ac:dyDescent="0.3">
      <c r="A7045" s="105" t="s">
        <v>22</v>
      </c>
      <c r="B7045" s="36">
        <v>44186</v>
      </c>
      <c r="C7045" s="4">
        <v>14</v>
      </c>
      <c r="D7045" s="21">
        <f t="shared" si="569"/>
        <v>9014</v>
      </c>
      <c r="E7045" s="4">
        <v>10</v>
      </c>
      <c r="F7045" s="95">
        <f t="shared" si="570"/>
        <v>358</v>
      </c>
    </row>
    <row r="7046" spans="1:6" ht="15.75" thickBot="1" x14ac:dyDescent="0.3">
      <c r="A7046" s="105" t="s">
        <v>18</v>
      </c>
      <c r="B7046" s="36">
        <v>44186</v>
      </c>
      <c r="C7046" s="4">
        <v>76</v>
      </c>
      <c r="D7046" s="21">
        <f t="shared" si="569"/>
        <v>59051</v>
      </c>
      <c r="E7046" s="4">
        <v>0</v>
      </c>
      <c r="F7046" s="95">
        <f t="shared" si="570"/>
        <v>1199</v>
      </c>
    </row>
    <row r="7047" spans="1:6" ht="15.75" thickBot="1" x14ac:dyDescent="0.3">
      <c r="A7047" s="105" t="s">
        <v>24</v>
      </c>
      <c r="B7047" s="36">
        <v>44186</v>
      </c>
      <c r="C7047" s="4">
        <v>5</v>
      </c>
      <c r="D7047" s="21">
        <f t="shared" si="569"/>
        <v>864</v>
      </c>
      <c r="E7047" s="4">
        <v>0</v>
      </c>
      <c r="F7047" s="95">
        <f t="shared" si="570"/>
        <v>11</v>
      </c>
    </row>
    <row r="7048" spans="1:6" ht="15.75" thickBot="1" x14ac:dyDescent="0.3">
      <c r="A7048" s="105" t="s">
        <v>20</v>
      </c>
      <c r="B7048" s="36">
        <v>44186</v>
      </c>
      <c r="C7048" s="4">
        <v>268</v>
      </c>
      <c r="D7048" s="21">
        <f t="shared" si="569"/>
        <v>38316</v>
      </c>
      <c r="E7048" s="4">
        <v>0</v>
      </c>
      <c r="F7048" s="95">
        <f t="shared" si="570"/>
        <v>681</v>
      </c>
    </row>
    <row r="7049" spans="1:6" ht="15.75" thickBot="1" x14ac:dyDescent="0.3">
      <c r="A7049" s="105" t="s">
        <v>19</v>
      </c>
      <c r="B7049" s="36">
        <v>44186</v>
      </c>
      <c r="C7049" s="4">
        <v>199</v>
      </c>
      <c r="D7049" s="21">
        <f t="shared" si="569"/>
        <v>35897</v>
      </c>
      <c r="E7049" s="4">
        <v>4</v>
      </c>
      <c r="F7049" s="95">
        <f t="shared" si="570"/>
        <v>871</v>
      </c>
    </row>
    <row r="7050" spans="1:6" ht="15.75" thickBot="1" x14ac:dyDescent="0.3">
      <c r="A7050" s="105" t="s">
        <v>35</v>
      </c>
      <c r="B7050" s="36">
        <v>44186</v>
      </c>
      <c r="C7050" s="4">
        <v>8</v>
      </c>
      <c r="D7050" s="21">
        <f t="shared" si="569"/>
        <v>21971</v>
      </c>
      <c r="E7050" s="4">
        <v>2</v>
      </c>
      <c r="F7050" s="95">
        <f t="shared" si="570"/>
        <v>1012</v>
      </c>
    </row>
    <row r="7051" spans="1:6" ht="15.75" thickBot="1" x14ac:dyDescent="0.3">
      <c r="A7051" s="105" t="s">
        <v>36</v>
      </c>
      <c r="B7051" s="36">
        <v>44186</v>
      </c>
      <c r="C7051" s="4">
        <v>215</v>
      </c>
      <c r="D7051" s="21">
        <f t="shared" si="569"/>
        <v>10512</v>
      </c>
      <c r="E7051" s="4">
        <v>0</v>
      </c>
      <c r="F7051" s="95">
        <f t="shared" si="570"/>
        <v>196</v>
      </c>
    </row>
    <row r="7052" spans="1:6" ht="15.75" thickBot="1" x14ac:dyDescent="0.3">
      <c r="A7052" s="105" t="s">
        <v>37</v>
      </c>
      <c r="B7052" s="36">
        <v>44186</v>
      </c>
      <c r="C7052" s="4">
        <v>32</v>
      </c>
      <c r="D7052" s="21">
        <f t="shared" si="569"/>
        <v>15928</v>
      </c>
      <c r="E7052" s="4">
        <v>9</v>
      </c>
      <c r="F7052" s="95">
        <f t="shared" si="570"/>
        <v>287</v>
      </c>
    </row>
    <row r="7053" spans="1:6" ht="15.75" thickBot="1" x14ac:dyDescent="0.3">
      <c r="A7053" s="105" t="s">
        <v>38</v>
      </c>
      <c r="B7053" s="36">
        <v>44186</v>
      </c>
      <c r="C7053" s="4">
        <v>179</v>
      </c>
      <c r="D7053" s="21">
        <f t="shared" si="569"/>
        <v>20843</v>
      </c>
      <c r="E7053" s="4">
        <v>3</v>
      </c>
      <c r="F7053" s="95">
        <f t="shared" si="570"/>
        <v>356</v>
      </c>
    </row>
    <row r="7054" spans="1:6" ht="15.75" thickBot="1" x14ac:dyDescent="0.3">
      <c r="A7054" s="105" t="s">
        <v>23</v>
      </c>
      <c r="B7054" s="36">
        <v>44186</v>
      </c>
      <c r="C7054" s="4">
        <v>801</v>
      </c>
      <c r="D7054" s="21">
        <f t="shared" si="569"/>
        <v>167492</v>
      </c>
      <c r="E7054" s="4">
        <v>24</v>
      </c>
      <c r="F7054" s="95">
        <f t="shared" si="570"/>
        <v>2752</v>
      </c>
    </row>
    <row r="7055" spans="1:6" ht="15.75" thickBot="1" x14ac:dyDescent="0.3">
      <c r="A7055" s="105" t="s">
        <v>39</v>
      </c>
      <c r="B7055" s="36">
        <v>44186</v>
      </c>
      <c r="C7055" s="4">
        <v>38</v>
      </c>
      <c r="D7055" s="21">
        <f t="shared" si="569"/>
        <v>16876</v>
      </c>
      <c r="E7055" s="4">
        <v>0</v>
      </c>
      <c r="F7055" s="95">
        <f t="shared" si="570"/>
        <v>214</v>
      </c>
    </row>
    <row r="7056" spans="1:6" ht="15.75" thickBot="1" x14ac:dyDescent="0.3">
      <c r="A7056" s="105" t="s">
        <v>40</v>
      </c>
      <c r="B7056" s="36">
        <v>44186</v>
      </c>
      <c r="C7056" s="4">
        <v>59</v>
      </c>
      <c r="D7056" s="21">
        <f t="shared" si="569"/>
        <v>18203</v>
      </c>
      <c r="E7056" s="4">
        <v>2</v>
      </c>
      <c r="F7056" s="95">
        <f t="shared" si="570"/>
        <v>246</v>
      </c>
    </row>
    <row r="7057" spans="1:6" ht="15.75" thickBot="1" x14ac:dyDescent="0.3">
      <c r="A7057" s="107" t="s">
        <v>41</v>
      </c>
      <c r="B7057" s="29">
        <v>44186</v>
      </c>
      <c r="C7057" s="30">
        <v>236</v>
      </c>
      <c r="D7057" s="59">
        <f t="shared" si="569"/>
        <v>69883</v>
      </c>
      <c r="E7057" s="30">
        <v>6</v>
      </c>
      <c r="F7057" s="104">
        <f t="shared" si="570"/>
        <v>1328</v>
      </c>
    </row>
    <row r="7058" spans="1:6" x14ac:dyDescent="0.25">
      <c r="A7058" s="45" t="s">
        <v>17</v>
      </c>
      <c r="B7058" s="32">
        <v>44187</v>
      </c>
      <c r="C7058" s="33">
        <v>3019</v>
      </c>
      <c r="D7058" s="97">
        <f t="shared" si="569"/>
        <v>657205</v>
      </c>
      <c r="E7058" s="33">
        <v>151</v>
      </c>
      <c r="F7058" s="94">
        <f t="shared" si="570"/>
        <v>21918</v>
      </c>
    </row>
    <row r="7059" spans="1:6" x14ac:dyDescent="0.25">
      <c r="A7059" s="105" t="s">
        <v>44</v>
      </c>
      <c r="B7059" s="19">
        <v>44187</v>
      </c>
      <c r="C7059" s="4">
        <v>712</v>
      </c>
      <c r="D7059" s="21">
        <f t="shared" si="569"/>
        <v>167288</v>
      </c>
      <c r="E7059" s="4">
        <v>17</v>
      </c>
      <c r="F7059" s="95">
        <f t="shared" si="570"/>
        <v>5427</v>
      </c>
    </row>
    <row r="7060" spans="1:6" x14ac:dyDescent="0.25">
      <c r="A7060" s="105" t="s">
        <v>29</v>
      </c>
      <c r="B7060" s="19">
        <v>44187</v>
      </c>
      <c r="C7060" s="4">
        <v>37</v>
      </c>
      <c r="D7060" s="21">
        <f t="shared" si="569"/>
        <v>2399</v>
      </c>
      <c r="E7060" s="4">
        <v>0</v>
      </c>
      <c r="F7060" s="95">
        <f t="shared" si="570"/>
        <v>17</v>
      </c>
    </row>
    <row r="7061" spans="1:6" x14ac:dyDescent="0.25">
      <c r="A7061" s="105" t="s">
        <v>16</v>
      </c>
      <c r="B7061" s="19">
        <v>44187</v>
      </c>
      <c r="C7061" s="4">
        <v>191</v>
      </c>
      <c r="D7061" s="21">
        <f t="shared" si="569"/>
        <v>23212</v>
      </c>
      <c r="E7061" s="4">
        <v>0</v>
      </c>
      <c r="F7061" s="95">
        <f t="shared" si="570"/>
        <v>656</v>
      </c>
    </row>
    <row r="7062" spans="1:6" x14ac:dyDescent="0.25">
      <c r="A7062" s="105" t="s">
        <v>30</v>
      </c>
      <c r="B7062" s="19">
        <v>44187</v>
      </c>
      <c r="C7062" s="4">
        <v>409</v>
      </c>
      <c r="D7062" s="21">
        <f t="shared" si="569"/>
        <v>28905</v>
      </c>
      <c r="E7062" s="4">
        <v>1</v>
      </c>
      <c r="F7062" s="95">
        <f t="shared" si="570"/>
        <v>486</v>
      </c>
    </row>
    <row r="7063" spans="1:6" x14ac:dyDescent="0.25">
      <c r="A7063" s="105" t="s">
        <v>21</v>
      </c>
      <c r="B7063" s="19">
        <v>44187</v>
      </c>
      <c r="C7063" s="4">
        <v>494</v>
      </c>
      <c r="D7063" s="21">
        <f t="shared" si="569"/>
        <v>123310</v>
      </c>
      <c r="E7063" s="4">
        <v>10</v>
      </c>
      <c r="F7063" s="95">
        <f t="shared" si="570"/>
        <v>2418</v>
      </c>
    </row>
    <row r="7064" spans="1:6" x14ac:dyDescent="0.25">
      <c r="A7064" s="105" t="s">
        <v>31</v>
      </c>
      <c r="B7064" s="19">
        <v>44187</v>
      </c>
      <c r="C7064" s="4">
        <v>143</v>
      </c>
      <c r="D7064" s="21">
        <f t="shared" si="569"/>
        <v>10854</v>
      </c>
      <c r="E7064" s="4">
        <v>3</v>
      </c>
      <c r="F7064" s="95">
        <f t="shared" si="570"/>
        <v>150</v>
      </c>
    </row>
    <row r="7065" spans="1:6" x14ac:dyDescent="0.25">
      <c r="A7065" s="105" t="s">
        <v>32</v>
      </c>
      <c r="B7065" s="19">
        <v>44187</v>
      </c>
      <c r="C7065" s="4">
        <v>140</v>
      </c>
      <c r="D7065" s="21">
        <f t="shared" si="569"/>
        <v>27143</v>
      </c>
      <c r="E7065" s="4">
        <v>7</v>
      </c>
      <c r="F7065" s="95">
        <f t="shared" si="570"/>
        <v>567</v>
      </c>
    </row>
    <row r="7066" spans="1:6" x14ac:dyDescent="0.25">
      <c r="A7066" s="105" t="s">
        <v>42</v>
      </c>
      <c r="B7066" s="19">
        <v>44187</v>
      </c>
      <c r="C7066" s="4">
        <v>7</v>
      </c>
      <c r="D7066" s="21">
        <f t="shared" si="569"/>
        <v>210</v>
      </c>
      <c r="E7066" s="4">
        <v>0</v>
      </c>
      <c r="F7066" s="95">
        <f t="shared" si="570"/>
        <v>3</v>
      </c>
    </row>
    <row r="7067" spans="1:6" x14ac:dyDescent="0.25">
      <c r="A7067" s="105" t="s">
        <v>33</v>
      </c>
      <c r="B7067" s="19">
        <v>44187</v>
      </c>
      <c r="C7067" s="4">
        <v>3</v>
      </c>
      <c r="D7067" s="21">
        <f t="shared" si="569"/>
        <v>18485</v>
      </c>
      <c r="E7067" s="4">
        <v>0</v>
      </c>
      <c r="F7067" s="95">
        <f t="shared" si="570"/>
        <v>857</v>
      </c>
    </row>
    <row r="7068" spans="1:6" x14ac:dyDescent="0.25">
      <c r="A7068" s="105" t="s">
        <v>34</v>
      </c>
      <c r="B7068" s="19">
        <v>44187</v>
      </c>
      <c r="C7068" s="4">
        <v>247</v>
      </c>
      <c r="D7068" s="21">
        <f t="shared" si="569"/>
        <v>8679</v>
      </c>
      <c r="E7068" s="4">
        <v>0</v>
      </c>
      <c r="F7068" s="95">
        <f t="shared" si="570"/>
        <v>116</v>
      </c>
    </row>
    <row r="7069" spans="1:6" x14ac:dyDescent="0.25">
      <c r="A7069" s="105" t="s">
        <v>22</v>
      </c>
      <c r="B7069" s="19">
        <v>44187</v>
      </c>
      <c r="C7069" s="4">
        <v>9</v>
      </c>
      <c r="D7069" s="21">
        <f t="shared" si="569"/>
        <v>9023</v>
      </c>
      <c r="E7069" s="4">
        <v>3</v>
      </c>
      <c r="F7069" s="95">
        <f t="shared" si="570"/>
        <v>361</v>
      </c>
    </row>
    <row r="7070" spans="1:6" x14ac:dyDescent="0.25">
      <c r="A7070" s="105" t="s">
        <v>18</v>
      </c>
      <c r="B7070" s="19">
        <v>44187</v>
      </c>
      <c r="C7070" s="4">
        <v>138</v>
      </c>
      <c r="D7070" s="21">
        <f t="shared" si="569"/>
        <v>59189</v>
      </c>
      <c r="E7070" s="4">
        <v>17</v>
      </c>
      <c r="F7070" s="95">
        <f t="shared" si="570"/>
        <v>1216</v>
      </c>
    </row>
    <row r="7071" spans="1:6" x14ac:dyDescent="0.25">
      <c r="A7071" s="105" t="s">
        <v>24</v>
      </c>
      <c r="B7071" s="19">
        <v>44187</v>
      </c>
      <c r="C7071" s="4">
        <v>24</v>
      </c>
      <c r="D7071" s="21">
        <f t="shared" si="569"/>
        <v>888</v>
      </c>
      <c r="E7071" s="4">
        <v>0</v>
      </c>
      <c r="F7071" s="95">
        <f t="shared" si="570"/>
        <v>11</v>
      </c>
    </row>
    <row r="7072" spans="1:6" x14ac:dyDescent="0.25">
      <c r="A7072" s="105" t="s">
        <v>20</v>
      </c>
      <c r="B7072" s="19">
        <v>44187</v>
      </c>
      <c r="C7072" s="4">
        <v>327</v>
      </c>
      <c r="D7072" s="21">
        <f t="shared" si="569"/>
        <v>38643</v>
      </c>
      <c r="E7072" s="4">
        <v>0</v>
      </c>
      <c r="F7072" s="95">
        <f t="shared" si="570"/>
        <v>681</v>
      </c>
    </row>
    <row r="7073" spans="1:6" x14ac:dyDescent="0.25">
      <c r="A7073" s="105" t="s">
        <v>19</v>
      </c>
      <c r="B7073" s="19">
        <v>44187</v>
      </c>
      <c r="C7073" s="4">
        <v>396</v>
      </c>
      <c r="D7073" s="21">
        <f t="shared" si="569"/>
        <v>36293</v>
      </c>
      <c r="E7073" s="4">
        <v>4</v>
      </c>
      <c r="F7073" s="95">
        <f t="shared" si="570"/>
        <v>875</v>
      </c>
    </row>
    <row r="7074" spans="1:6" x14ac:dyDescent="0.25">
      <c r="A7074" s="105" t="s">
        <v>35</v>
      </c>
      <c r="B7074" s="19">
        <v>44187</v>
      </c>
      <c r="C7074" s="4">
        <v>45</v>
      </c>
      <c r="D7074" s="21">
        <f t="shared" si="569"/>
        <v>22016</v>
      </c>
      <c r="E7074" s="4">
        <v>0</v>
      </c>
      <c r="F7074" s="95">
        <f t="shared" si="570"/>
        <v>1012</v>
      </c>
    </row>
    <row r="7075" spans="1:6" x14ac:dyDescent="0.25">
      <c r="A7075" s="105" t="s">
        <v>36</v>
      </c>
      <c r="B7075" s="19">
        <v>44187</v>
      </c>
      <c r="C7075" s="4">
        <v>153</v>
      </c>
      <c r="D7075" s="21">
        <f t="shared" ref="D7075:D7138" si="571">C7075+D7051</f>
        <v>10665</v>
      </c>
      <c r="E7075" s="4">
        <v>0</v>
      </c>
      <c r="F7075" s="95">
        <f t="shared" ref="F7075:F7138" si="572">E7075+F7051</f>
        <v>196</v>
      </c>
    </row>
    <row r="7076" spans="1:6" x14ac:dyDescent="0.25">
      <c r="A7076" s="105" t="s">
        <v>37</v>
      </c>
      <c r="B7076" s="19">
        <v>44187</v>
      </c>
      <c r="C7076" s="4">
        <v>13</v>
      </c>
      <c r="D7076" s="21">
        <f t="shared" si="571"/>
        <v>15941</v>
      </c>
      <c r="E7076" s="4">
        <v>0</v>
      </c>
      <c r="F7076" s="95">
        <f t="shared" si="572"/>
        <v>287</v>
      </c>
    </row>
    <row r="7077" spans="1:6" x14ac:dyDescent="0.25">
      <c r="A7077" s="105" t="s">
        <v>38</v>
      </c>
      <c r="B7077" s="19">
        <v>44187</v>
      </c>
      <c r="C7077" s="4">
        <v>312</v>
      </c>
      <c r="D7077" s="21">
        <f t="shared" si="571"/>
        <v>21155</v>
      </c>
      <c r="E7077" s="4">
        <v>1</v>
      </c>
      <c r="F7077" s="95">
        <f t="shared" si="572"/>
        <v>357</v>
      </c>
    </row>
    <row r="7078" spans="1:6" x14ac:dyDescent="0.25">
      <c r="A7078" s="105" t="s">
        <v>23</v>
      </c>
      <c r="B7078" s="19">
        <v>44187</v>
      </c>
      <c r="C7078" s="4">
        <v>1180</v>
      </c>
      <c r="D7078" s="21">
        <f t="shared" si="571"/>
        <v>168672</v>
      </c>
      <c r="E7078" s="4">
        <v>37</v>
      </c>
      <c r="F7078" s="95">
        <f t="shared" si="572"/>
        <v>2789</v>
      </c>
    </row>
    <row r="7079" spans="1:6" x14ac:dyDescent="0.25">
      <c r="A7079" s="105" t="s">
        <v>39</v>
      </c>
      <c r="B7079" s="19">
        <v>44187</v>
      </c>
      <c r="C7079" s="4">
        <v>-43</v>
      </c>
      <c r="D7079" s="21">
        <f t="shared" si="571"/>
        <v>16833</v>
      </c>
      <c r="E7079" s="4">
        <v>0</v>
      </c>
      <c r="F7079" s="95">
        <f t="shared" si="572"/>
        <v>214</v>
      </c>
    </row>
    <row r="7080" spans="1:6" x14ac:dyDescent="0.25">
      <c r="A7080" s="105" t="s">
        <v>40</v>
      </c>
      <c r="B7080" s="19">
        <v>44187</v>
      </c>
      <c r="C7080" s="4">
        <v>51</v>
      </c>
      <c r="D7080" s="21">
        <f t="shared" si="571"/>
        <v>18254</v>
      </c>
      <c r="E7080" s="4">
        <v>0</v>
      </c>
      <c r="F7080" s="95">
        <f t="shared" si="572"/>
        <v>246</v>
      </c>
    </row>
    <row r="7081" spans="1:6" ht="15.75" thickBot="1" x14ac:dyDescent="0.3">
      <c r="A7081" s="107" t="s">
        <v>41</v>
      </c>
      <c r="B7081" s="29">
        <v>44187</v>
      </c>
      <c r="C7081" s="30">
        <v>134</v>
      </c>
      <c r="D7081" s="59">
        <f t="shared" si="571"/>
        <v>70017</v>
      </c>
      <c r="E7081" s="30">
        <v>5</v>
      </c>
      <c r="F7081" s="104">
        <f t="shared" si="572"/>
        <v>1333</v>
      </c>
    </row>
    <row r="7082" spans="1:6" x14ac:dyDescent="0.25">
      <c r="A7082" s="45" t="s">
        <v>17</v>
      </c>
      <c r="B7082" s="32">
        <v>44188</v>
      </c>
      <c r="C7082" s="33">
        <v>3467</v>
      </c>
      <c r="D7082" s="97">
        <f t="shared" si="571"/>
        <v>660672</v>
      </c>
      <c r="E7082" s="33">
        <v>12</v>
      </c>
      <c r="F7082" s="94">
        <f t="shared" si="572"/>
        <v>21930</v>
      </c>
    </row>
    <row r="7083" spans="1:6" x14ac:dyDescent="0.25">
      <c r="A7083" s="105" t="s">
        <v>44</v>
      </c>
      <c r="B7083" s="19">
        <v>44188</v>
      </c>
      <c r="C7083" s="4">
        <v>690</v>
      </c>
      <c r="D7083" s="21">
        <f t="shared" si="571"/>
        <v>167978</v>
      </c>
      <c r="E7083" s="4">
        <v>4</v>
      </c>
      <c r="F7083" s="95">
        <f t="shared" si="572"/>
        <v>5431</v>
      </c>
    </row>
    <row r="7084" spans="1:6" x14ac:dyDescent="0.25">
      <c r="A7084" s="105" t="s">
        <v>29</v>
      </c>
      <c r="B7084" s="19">
        <v>44188</v>
      </c>
      <c r="C7084" s="4">
        <v>18</v>
      </c>
      <c r="D7084" s="21">
        <f t="shared" si="571"/>
        <v>2417</v>
      </c>
      <c r="E7084" s="4">
        <v>0</v>
      </c>
      <c r="F7084" s="95">
        <f t="shared" si="572"/>
        <v>17</v>
      </c>
    </row>
    <row r="7085" spans="1:6" x14ac:dyDescent="0.25">
      <c r="A7085" s="105" t="s">
        <v>16</v>
      </c>
      <c r="B7085" s="19">
        <v>44188</v>
      </c>
      <c r="C7085" s="4">
        <v>236</v>
      </c>
      <c r="D7085" s="21">
        <f t="shared" si="571"/>
        <v>23448</v>
      </c>
      <c r="E7085" s="4">
        <v>3</v>
      </c>
      <c r="F7085" s="95">
        <f t="shared" si="572"/>
        <v>659</v>
      </c>
    </row>
    <row r="7086" spans="1:6" x14ac:dyDescent="0.25">
      <c r="A7086" s="105" t="s">
        <v>30</v>
      </c>
      <c r="B7086" s="19">
        <v>44188</v>
      </c>
      <c r="C7086" s="4">
        <v>308</v>
      </c>
      <c r="D7086" s="21">
        <f t="shared" si="571"/>
        <v>29213</v>
      </c>
      <c r="E7086" s="4">
        <v>0</v>
      </c>
      <c r="F7086" s="95">
        <f t="shared" si="572"/>
        <v>486</v>
      </c>
    </row>
    <row r="7087" spans="1:6" x14ac:dyDescent="0.25">
      <c r="A7087" s="105" t="s">
        <v>21</v>
      </c>
      <c r="B7087" s="19">
        <v>44188</v>
      </c>
      <c r="C7087" s="4">
        <v>575</v>
      </c>
      <c r="D7087" s="21">
        <f t="shared" si="571"/>
        <v>123885</v>
      </c>
      <c r="E7087" s="4">
        <v>12</v>
      </c>
      <c r="F7087" s="95">
        <f t="shared" si="572"/>
        <v>2430</v>
      </c>
    </row>
    <row r="7088" spans="1:6" x14ac:dyDescent="0.25">
      <c r="A7088" s="105" t="s">
        <v>31</v>
      </c>
      <c r="B7088" s="19">
        <v>44188</v>
      </c>
      <c r="C7088" s="4">
        <v>179</v>
      </c>
      <c r="D7088" s="21">
        <f t="shared" si="571"/>
        <v>11033</v>
      </c>
      <c r="E7088" s="4">
        <v>2</v>
      </c>
      <c r="F7088" s="95">
        <f t="shared" si="572"/>
        <v>152</v>
      </c>
    </row>
    <row r="7089" spans="1:6" x14ac:dyDescent="0.25">
      <c r="A7089" s="105" t="s">
        <v>32</v>
      </c>
      <c r="B7089" s="19">
        <v>44188</v>
      </c>
      <c r="C7089" s="4">
        <v>278</v>
      </c>
      <c r="D7089" s="21">
        <f t="shared" si="571"/>
        <v>27421</v>
      </c>
      <c r="E7089" s="4">
        <v>2</v>
      </c>
      <c r="F7089" s="95">
        <f t="shared" si="572"/>
        <v>569</v>
      </c>
    </row>
    <row r="7090" spans="1:6" x14ac:dyDescent="0.25">
      <c r="A7090" s="105" t="s">
        <v>42</v>
      </c>
      <c r="B7090" s="19">
        <v>44188</v>
      </c>
      <c r="C7090" s="4">
        <v>2</v>
      </c>
      <c r="D7090" s="21">
        <f t="shared" si="571"/>
        <v>212</v>
      </c>
      <c r="E7090" s="4">
        <v>0</v>
      </c>
      <c r="F7090" s="95">
        <f t="shared" si="572"/>
        <v>3</v>
      </c>
    </row>
    <row r="7091" spans="1:6" x14ac:dyDescent="0.25">
      <c r="A7091" s="105" t="s">
        <v>33</v>
      </c>
      <c r="B7091" s="19">
        <v>44188</v>
      </c>
      <c r="C7091" s="4">
        <v>6</v>
      </c>
      <c r="D7091" s="21">
        <f t="shared" si="571"/>
        <v>18491</v>
      </c>
      <c r="E7091" s="4">
        <v>0</v>
      </c>
      <c r="F7091" s="95">
        <f t="shared" si="572"/>
        <v>857</v>
      </c>
    </row>
    <row r="7092" spans="1:6" x14ac:dyDescent="0.25">
      <c r="A7092" s="105" t="s">
        <v>34</v>
      </c>
      <c r="B7092" s="19">
        <v>44188</v>
      </c>
      <c r="C7092" s="4">
        <v>240</v>
      </c>
      <c r="D7092" s="21">
        <f t="shared" si="571"/>
        <v>8919</v>
      </c>
      <c r="E7092" s="4">
        <v>0</v>
      </c>
      <c r="F7092" s="95">
        <f t="shared" si="572"/>
        <v>116</v>
      </c>
    </row>
    <row r="7093" spans="1:6" x14ac:dyDescent="0.25">
      <c r="A7093" s="105" t="s">
        <v>22</v>
      </c>
      <c r="B7093" s="19">
        <v>44188</v>
      </c>
      <c r="C7093" s="4">
        <v>17</v>
      </c>
      <c r="D7093" s="21">
        <f t="shared" si="571"/>
        <v>9040</v>
      </c>
      <c r="E7093" s="4">
        <v>0</v>
      </c>
      <c r="F7093" s="95">
        <f t="shared" si="572"/>
        <v>361</v>
      </c>
    </row>
    <row r="7094" spans="1:6" x14ac:dyDescent="0.25">
      <c r="A7094" s="105" t="s">
        <v>18</v>
      </c>
      <c r="B7094" s="19">
        <v>44188</v>
      </c>
      <c r="C7094" s="4">
        <v>183</v>
      </c>
      <c r="D7094" s="21">
        <f t="shared" si="571"/>
        <v>59372</v>
      </c>
      <c r="E7094" s="4">
        <v>2</v>
      </c>
      <c r="F7094" s="95">
        <f t="shared" si="572"/>
        <v>1218</v>
      </c>
    </row>
    <row r="7095" spans="1:6" x14ac:dyDescent="0.25">
      <c r="A7095" s="105" t="s">
        <v>24</v>
      </c>
      <c r="B7095" s="19">
        <v>44188</v>
      </c>
      <c r="C7095" s="4">
        <v>8</v>
      </c>
      <c r="D7095" s="21">
        <f t="shared" si="571"/>
        <v>896</v>
      </c>
      <c r="E7095" s="4">
        <v>0</v>
      </c>
      <c r="F7095" s="95">
        <f t="shared" si="572"/>
        <v>11</v>
      </c>
    </row>
    <row r="7096" spans="1:6" x14ac:dyDescent="0.25">
      <c r="A7096" s="105" t="s">
        <v>20</v>
      </c>
      <c r="B7096" s="19">
        <v>44188</v>
      </c>
      <c r="C7096" s="4">
        <v>234</v>
      </c>
      <c r="D7096" s="21">
        <f t="shared" si="571"/>
        <v>38877</v>
      </c>
      <c r="E7096" s="4">
        <v>7</v>
      </c>
      <c r="F7096" s="95">
        <f t="shared" si="572"/>
        <v>688</v>
      </c>
    </row>
    <row r="7097" spans="1:6" x14ac:dyDescent="0.25">
      <c r="A7097" s="105" t="s">
        <v>19</v>
      </c>
      <c r="B7097" s="19">
        <v>44188</v>
      </c>
      <c r="C7097" s="4">
        <v>335</v>
      </c>
      <c r="D7097" s="21">
        <f t="shared" si="571"/>
        <v>36628</v>
      </c>
      <c r="E7097" s="4">
        <v>2</v>
      </c>
      <c r="F7097" s="95">
        <f t="shared" si="572"/>
        <v>877</v>
      </c>
    </row>
    <row r="7098" spans="1:6" x14ac:dyDescent="0.25">
      <c r="A7098" s="105" t="s">
        <v>35</v>
      </c>
      <c r="B7098" s="19">
        <v>44188</v>
      </c>
      <c r="C7098" s="4">
        <v>51</v>
      </c>
      <c r="D7098" s="21">
        <f t="shared" si="571"/>
        <v>22067</v>
      </c>
      <c r="E7098" s="4">
        <v>0</v>
      </c>
      <c r="F7098" s="95">
        <f t="shared" si="572"/>
        <v>1012</v>
      </c>
    </row>
    <row r="7099" spans="1:6" x14ac:dyDescent="0.25">
      <c r="A7099" s="105" t="s">
        <v>36</v>
      </c>
      <c r="B7099" s="19">
        <v>44188</v>
      </c>
      <c r="C7099" s="4">
        <v>147</v>
      </c>
      <c r="D7099" s="21">
        <f t="shared" si="571"/>
        <v>10812</v>
      </c>
      <c r="E7099" s="4">
        <v>0</v>
      </c>
      <c r="F7099" s="95">
        <f t="shared" si="572"/>
        <v>196</v>
      </c>
    </row>
    <row r="7100" spans="1:6" x14ac:dyDescent="0.25">
      <c r="A7100" s="105" t="s">
        <v>37</v>
      </c>
      <c r="B7100" s="19">
        <v>44188</v>
      </c>
      <c r="C7100" s="4">
        <v>22</v>
      </c>
      <c r="D7100" s="21">
        <f t="shared" si="571"/>
        <v>15963</v>
      </c>
      <c r="E7100" s="4">
        <v>5</v>
      </c>
      <c r="F7100" s="95">
        <f t="shared" si="572"/>
        <v>292</v>
      </c>
    </row>
    <row r="7101" spans="1:6" x14ac:dyDescent="0.25">
      <c r="A7101" s="105" t="s">
        <v>38</v>
      </c>
      <c r="B7101" s="19">
        <v>44188</v>
      </c>
      <c r="C7101" s="4">
        <v>301</v>
      </c>
      <c r="D7101" s="21">
        <f t="shared" si="571"/>
        <v>21456</v>
      </c>
      <c r="E7101" s="4">
        <v>1</v>
      </c>
      <c r="F7101" s="95">
        <f t="shared" si="572"/>
        <v>358</v>
      </c>
    </row>
    <row r="7102" spans="1:6" x14ac:dyDescent="0.25">
      <c r="A7102" s="105" t="s">
        <v>23</v>
      </c>
      <c r="B7102" s="19">
        <v>44188</v>
      </c>
      <c r="C7102" s="4">
        <v>1003</v>
      </c>
      <c r="D7102" s="21">
        <f t="shared" si="571"/>
        <v>169675</v>
      </c>
      <c r="E7102" s="4">
        <v>8</v>
      </c>
      <c r="F7102" s="95">
        <f t="shared" si="572"/>
        <v>2797</v>
      </c>
    </row>
    <row r="7103" spans="1:6" x14ac:dyDescent="0.25">
      <c r="A7103" s="105" t="s">
        <v>39</v>
      </c>
      <c r="B7103" s="19">
        <v>44188</v>
      </c>
      <c r="C7103" s="4">
        <v>49</v>
      </c>
      <c r="D7103" s="21">
        <f t="shared" si="571"/>
        <v>16882</v>
      </c>
      <c r="E7103" s="4">
        <v>0</v>
      </c>
      <c r="F7103" s="95">
        <f t="shared" si="572"/>
        <v>214</v>
      </c>
    </row>
    <row r="7104" spans="1:6" x14ac:dyDescent="0.25">
      <c r="A7104" s="105" t="s">
        <v>40</v>
      </c>
      <c r="B7104" s="19">
        <v>44188</v>
      </c>
      <c r="C7104" s="4">
        <v>111</v>
      </c>
      <c r="D7104" s="21">
        <f t="shared" si="571"/>
        <v>18365</v>
      </c>
      <c r="E7104" s="4">
        <v>0</v>
      </c>
      <c r="F7104" s="95">
        <f t="shared" si="572"/>
        <v>246</v>
      </c>
    </row>
    <row r="7105" spans="1:6" ht="15.75" thickBot="1" x14ac:dyDescent="0.3">
      <c r="A7105" s="106" t="s">
        <v>41</v>
      </c>
      <c r="B7105" s="36">
        <v>44188</v>
      </c>
      <c r="C7105" s="37">
        <v>126</v>
      </c>
      <c r="D7105" s="98">
        <f t="shared" si="571"/>
        <v>70143</v>
      </c>
      <c r="E7105" s="37">
        <v>0</v>
      </c>
      <c r="F7105" s="96">
        <f t="shared" si="572"/>
        <v>1333</v>
      </c>
    </row>
    <row r="7106" spans="1:6" ht="15.75" thickBot="1" x14ac:dyDescent="0.3">
      <c r="A7106" s="45" t="s">
        <v>17</v>
      </c>
      <c r="B7106" s="36">
        <v>44189</v>
      </c>
      <c r="C7106" s="31">
        <v>2877</v>
      </c>
      <c r="D7106" s="97">
        <f t="shared" si="571"/>
        <v>663549</v>
      </c>
      <c r="E7106" s="31">
        <v>17</v>
      </c>
      <c r="F7106" s="94">
        <f t="shared" si="572"/>
        <v>21947</v>
      </c>
    </row>
    <row r="7107" spans="1:6" x14ac:dyDescent="0.25">
      <c r="A7107" s="105" t="s">
        <v>44</v>
      </c>
      <c r="B7107" s="19">
        <v>44189</v>
      </c>
      <c r="C7107" s="4">
        <v>835</v>
      </c>
      <c r="D7107" s="21">
        <f t="shared" si="571"/>
        <v>168813</v>
      </c>
      <c r="E7107" s="4">
        <v>5</v>
      </c>
      <c r="F7107" s="95">
        <f t="shared" si="572"/>
        <v>5436</v>
      </c>
    </row>
    <row r="7108" spans="1:6" x14ac:dyDescent="0.25">
      <c r="A7108" s="105" t="s">
        <v>29</v>
      </c>
      <c r="B7108" s="19">
        <v>44189</v>
      </c>
      <c r="C7108" s="4">
        <v>76</v>
      </c>
      <c r="D7108" s="21">
        <f t="shared" si="571"/>
        <v>2493</v>
      </c>
      <c r="E7108" s="4">
        <v>0</v>
      </c>
      <c r="F7108" s="95">
        <f t="shared" si="572"/>
        <v>17</v>
      </c>
    </row>
    <row r="7109" spans="1:6" x14ac:dyDescent="0.25">
      <c r="A7109" s="105" t="s">
        <v>16</v>
      </c>
      <c r="B7109" s="19">
        <v>44189</v>
      </c>
      <c r="C7109" s="4">
        <v>176</v>
      </c>
      <c r="D7109" s="21">
        <f t="shared" si="571"/>
        <v>23624</v>
      </c>
      <c r="E7109" s="4">
        <v>3</v>
      </c>
      <c r="F7109" s="95">
        <f t="shared" si="572"/>
        <v>662</v>
      </c>
    </row>
    <row r="7110" spans="1:6" x14ac:dyDescent="0.25">
      <c r="A7110" s="105" t="s">
        <v>30</v>
      </c>
      <c r="B7110" s="19">
        <v>44189</v>
      </c>
      <c r="C7110" s="4">
        <v>250</v>
      </c>
      <c r="D7110" s="21">
        <f t="shared" si="571"/>
        <v>29463</v>
      </c>
      <c r="E7110" s="4">
        <v>0</v>
      </c>
      <c r="F7110" s="95">
        <f t="shared" si="572"/>
        <v>486</v>
      </c>
    </row>
    <row r="7111" spans="1:6" x14ac:dyDescent="0.25">
      <c r="A7111" s="105" t="s">
        <v>21</v>
      </c>
      <c r="B7111" s="19">
        <v>44189</v>
      </c>
      <c r="C7111" s="4">
        <v>660</v>
      </c>
      <c r="D7111" s="21">
        <f t="shared" si="571"/>
        <v>124545</v>
      </c>
      <c r="E7111" s="4">
        <v>15</v>
      </c>
      <c r="F7111" s="95">
        <f t="shared" si="572"/>
        <v>2445</v>
      </c>
    </row>
    <row r="7112" spans="1:6" x14ac:dyDescent="0.25">
      <c r="A7112" s="105" t="s">
        <v>31</v>
      </c>
      <c r="B7112" s="19">
        <v>44189</v>
      </c>
      <c r="C7112" s="4">
        <v>56</v>
      </c>
      <c r="D7112" s="21">
        <f t="shared" si="571"/>
        <v>11089</v>
      </c>
      <c r="E7112" s="4">
        <v>2</v>
      </c>
      <c r="F7112" s="95">
        <f t="shared" si="572"/>
        <v>154</v>
      </c>
    </row>
    <row r="7113" spans="1:6" x14ac:dyDescent="0.25">
      <c r="A7113" s="105" t="s">
        <v>32</v>
      </c>
      <c r="B7113" s="19">
        <v>44189</v>
      </c>
      <c r="C7113" s="4">
        <v>283</v>
      </c>
      <c r="D7113" s="21">
        <f t="shared" si="571"/>
        <v>27704</v>
      </c>
      <c r="E7113" s="4">
        <v>2</v>
      </c>
      <c r="F7113" s="95">
        <f t="shared" si="572"/>
        <v>571</v>
      </c>
    </row>
    <row r="7114" spans="1:6" x14ac:dyDescent="0.25">
      <c r="A7114" s="105" t="s">
        <v>42</v>
      </c>
      <c r="B7114" s="19">
        <v>44189</v>
      </c>
      <c r="C7114" s="4">
        <v>1</v>
      </c>
      <c r="D7114" s="21">
        <f t="shared" si="571"/>
        <v>213</v>
      </c>
      <c r="E7114" s="4">
        <v>0</v>
      </c>
      <c r="F7114" s="95">
        <f t="shared" si="572"/>
        <v>3</v>
      </c>
    </row>
    <row r="7115" spans="1:6" x14ac:dyDescent="0.25">
      <c r="A7115" s="105" t="s">
        <v>33</v>
      </c>
      <c r="B7115" s="19">
        <v>44189</v>
      </c>
      <c r="C7115" s="4">
        <v>3</v>
      </c>
      <c r="D7115" s="21">
        <f t="shared" si="571"/>
        <v>18494</v>
      </c>
      <c r="E7115" s="4">
        <v>0</v>
      </c>
      <c r="F7115" s="95">
        <f t="shared" si="572"/>
        <v>857</v>
      </c>
    </row>
    <row r="7116" spans="1:6" x14ac:dyDescent="0.25">
      <c r="A7116" s="105" t="s">
        <v>34</v>
      </c>
      <c r="B7116" s="19">
        <v>44189</v>
      </c>
      <c r="C7116" s="4">
        <v>276</v>
      </c>
      <c r="D7116" s="21">
        <f t="shared" si="571"/>
        <v>9195</v>
      </c>
      <c r="E7116" s="4">
        <v>0</v>
      </c>
      <c r="F7116" s="95">
        <f t="shared" si="572"/>
        <v>116</v>
      </c>
    </row>
    <row r="7117" spans="1:6" x14ac:dyDescent="0.25">
      <c r="A7117" s="105" t="s">
        <v>22</v>
      </c>
      <c r="B7117" s="19">
        <v>44189</v>
      </c>
      <c r="C7117" s="4">
        <v>10</v>
      </c>
      <c r="D7117" s="21">
        <f t="shared" si="571"/>
        <v>9050</v>
      </c>
      <c r="E7117" s="4">
        <v>13</v>
      </c>
      <c r="F7117" s="95">
        <f t="shared" si="572"/>
        <v>374</v>
      </c>
    </row>
    <row r="7118" spans="1:6" x14ac:dyDescent="0.25">
      <c r="A7118" s="105" t="s">
        <v>18</v>
      </c>
      <c r="B7118" s="19">
        <v>44189</v>
      </c>
      <c r="C7118" s="4">
        <v>111</v>
      </c>
      <c r="D7118" s="21">
        <f t="shared" si="571"/>
        <v>59483</v>
      </c>
      <c r="E7118" s="4">
        <v>0</v>
      </c>
      <c r="F7118" s="95">
        <f t="shared" si="572"/>
        <v>1218</v>
      </c>
    </row>
    <row r="7119" spans="1:6" x14ac:dyDescent="0.25">
      <c r="A7119" s="105" t="s">
        <v>24</v>
      </c>
      <c r="B7119" s="19">
        <v>44189</v>
      </c>
      <c r="C7119" s="4">
        <v>4</v>
      </c>
      <c r="D7119" s="21">
        <f t="shared" si="571"/>
        <v>900</v>
      </c>
      <c r="E7119" s="4">
        <v>0</v>
      </c>
      <c r="F7119" s="95">
        <f t="shared" si="572"/>
        <v>11</v>
      </c>
    </row>
    <row r="7120" spans="1:6" x14ac:dyDescent="0.25">
      <c r="A7120" s="105" t="s">
        <v>20</v>
      </c>
      <c r="B7120" s="19">
        <v>44189</v>
      </c>
      <c r="C7120" s="4">
        <v>225</v>
      </c>
      <c r="D7120" s="21">
        <f t="shared" si="571"/>
        <v>39102</v>
      </c>
      <c r="E7120" s="4">
        <v>0</v>
      </c>
      <c r="F7120" s="95">
        <f t="shared" si="572"/>
        <v>688</v>
      </c>
    </row>
    <row r="7121" spans="1:6" x14ac:dyDescent="0.25">
      <c r="A7121" s="105" t="s">
        <v>19</v>
      </c>
      <c r="B7121" s="19">
        <v>44189</v>
      </c>
      <c r="C7121" s="4">
        <v>234</v>
      </c>
      <c r="D7121" s="21">
        <f t="shared" si="571"/>
        <v>36862</v>
      </c>
      <c r="E7121" s="4">
        <v>3</v>
      </c>
      <c r="F7121" s="95">
        <f t="shared" si="572"/>
        <v>880</v>
      </c>
    </row>
    <row r="7122" spans="1:6" x14ac:dyDescent="0.25">
      <c r="A7122" s="105" t="s">
        <v>35</v>
      </c>
      <c r="B7122" s="19">
        <v>44189</v>
      </c>
      <c r="C7122" s="4">
        <v>67</v>
      </c>
      <c r="D7122" s="21">
        <f t="shared" si="571"/>
        <v>22134</v>
      </c>
      <c r="E7122" s="4">
        <v>1</v>
      </c>
      <c r="F7122" s="95">
        <f t="shared" si="572"/>
        <v>1013</v>
      </c>
    </row>
    <row r="7123" spans="1:6" x14ac:dyDescent="0.25">
      <c r="A7123" s="105" t="s">
        <v>36</v>
      </c>
      <c r="B7123" s="19">
        <v>44189</v>
      </c>
      <c r="C7123" s="4">
        <v>64</v>
      </c>
      <c r="D7123" s="21">
        <f t="shared" si="571"/>
        <v>10876</v>
      </c>
      <c r="E7123" s="4">
        <v>0</v>
      </c>
      <c r="F7123" s="95">
        <f t="shared" si="572"/>
        <v>196</v>
      </c>
    </row>
    <row r="7124" spans="1:6" x14ac:dyDescent="0.25">
      <c r="A7124" s="105" t="s">
        <v>37</v>
      </c>
      <c r="B7124" s="19">
        <v>44189</v>
      </c>
      <c r="C7124" s="4">
        <v>22</v>
      </c>
      <c r="D7124" s="21">
        <f t="shared" si="571"/>
        <v>15985</v>
      </c>
      <c r="E7124" s="4">
        <v>1</v>
      </c>
      <c r="F7124" s="95">
        <f t="shared" si="572"/>
        <v>293</v>
      </c>
    </row>
    <row r="7125" spans="1:6" x14ac:dyDescent="0.25">
      <c r="A7125" s="105" t="s">
        <v>38</v>
      </c>
      <c r="B7125" s="19">
        <v>44189</v>
      </c>
      <c r="C7125" s="4">
        <v>290</v>
      </c>
      <c r="D7125" s="21">
        <f t="shared" si="571"/>
        <v>21746</v>
      </c>
      <c r="E7125" s="4">
        <v>2</v>
      </c>
      <c r="F7125" s="95">
        <f t="shared" si="572"/>
        <v>360</v>
      </c>
    </row>
    <row r="7126" spans="1:6" x14ac:dyDescent="0.25">
      <c r="A7126" s="105" t="s">
        <v>23</v>
      </c>
      <c r="B7126" s="19">
        <v>44189</v>
      </c>
      <c r="C7126" s="4">
        <v>1038</v>
      </c>
      <c r="D7126" s="21">
        <f t="shared" si="571"/>
        <v>170713</v>
      </c>
      <c r="E7126" s="4">
        <v>13</v>
      </c>
      <c r="F7126" s="95">
        <f t="shared" si="572"/>
        <v>2810</v>
      </c>
    </row>
    <row r="7127" spans="1:6" x14ac:dyDescent="0.25">
      <c r="A7127" s="105" t="s">
        <v>39</v>
      </c>
      <c r="B7127" s="19">
        <v>44189</v>
      </c>
      <c r="C7127" s="4">
        <v>73</v>
      </c>
      <c r="D7127" s="21">
        <f t="shared" si="571"/>
        <v>16955</v>
      </c>
      <c r="E7127" s="4">
        <v>0</v>
      </c>
      <c r="F7127" s="95">
        <f t="shared" si="572"/>
        <v>214</v>
      </c>
    </row>
    <row r="7128" spans="1:6" x14ac:dyDescent="0.25">
      <c r="A7128" s="105" t="s">
        <v>40</v>
      </c>
      <c r="B7128" s="19">
        <v>44189</v>
      </c>
      <c r="C7128" s="4">
        <v>71</v>
      </c>
      <c r="D7128" s="21">
        <f t="shared" si="571"/>
        <v>18436</v>
      </c>
      <c r="E7128" s="4">
        <v>0</v>
      </c>
      <c r="F7128" s="95">
        <f t="shared" si="572"/>
        <v>246</v>
      </c>
    </row>
    <row r="7129" spans="1:6" ht="15.75" thickBot="1" x14ac:dyDescent="0.3">
      <c r="A7129" s="106" t="s">
        <v>41</v>
      </c>
      <c r="B7129" s="19">
        <v>44189</v>
      </c>
      <c r="C7129" s="4">
        <v>113</v>
      </c>
      <c r="D7129" s="98">
        <f t="shared" si="571"/>
        <v>70256</v>
      </c>
      <c r="E7129" s="4">
        <v>1</v>
      </c>
      <c r="F7129" s="96">
        <f t="shared" si="572"/>
        <v>1334</v>
      </c>
    </row>
    <row r="7130" spans="1:6" x14ac:dyDescent="0.25">
      <c r="A7130" s="45" t="s">
        <v>17</v>
      </c>
      <c r="B7130" s="19">
        <v>44190</v>
      </c>
      <c r="C7130" s="4">
        <v>1102</v>
      </c>
      <c r="D7130" s="97">
        <f t="shared" si="571"/>
        <v>664651</v>
      </c>
      <c r="E7130" s="4">
        <v>2</v>
      </c>
      <c r="F7130" s="94">
        <f t="shared" si="572"/>
        <v>21949</v>
      </c>
    </row>
    <row r="7131" spans="1:6" x14ac:dyDescent="0.25">
      <c r="A7131" s="105" t="s">
        <v>44</v>
      </c>
      <c r="B7131" s="19">
        <v>44190</v>
      </c>
      <c r="C7131" s="4">
        <v>411</v>
      </c>
      <c r="D7131" s="21">
        <f t="shared" si="571"/>
        <v>169224</v>
      </c>
      <c r="E7131" s="4">
        <v>12</v>
      </c>
      <c r="F7131" s="95">
        <f t="shared" si="572"/>
        <v>5448</v>
      </c>
    </row>
    <row r="7132" spans="1:6" x14ac:dyDescent="0.25">
      <c r="A7132" s="105" t="s">
        <v>29</v>
      </c>
      <c r="B7132" s="19">
        <v>44190</v>
      </c>
      <c r="C7132" s="4">
        <v>14</v>
      </c>
      <c r="D7132" s="21">
        <f t="shared" si="571"/>
        <v>2507</v>
      </c>
      <c r="E7132" s="4">
        <v>0</v>
      </c>
      <c r="F7132" s="95">
        <f t="shared" si="572"/>
        <v>17</v>
      </c>
    </row>
    <row r="7133" spans="1:6" x14ac:dyDescent="0.25">
      <c r="A7133" s="105" t="s">
        <v>16</v>
      </c>
      <c r="B7133" s="19">
        <v>44190</v>
      </c>
      <c r="C7133" s="4">
        <v>90</v>
      </c>
      <c r="D7133" s="21">
        <f t="shared" si="571"/>
        <v>23714</v>
      </c>
      <c r="E7133" s="4">
        <v>7</v>
      </c>
      <c r="F7133" s="95">
        <f t="shared" si="572"/>
        <v>669</v>
      </c>
    </row>
    <row r="7134" spans="1:6" x14ac:dyDescent="0.25">
      <c r="A7134" s="105" t="s">
        <v>30</v>
      </c>
      <c r="B7134" s="19">
        <v>44190</v>
      </c>
      <c r="C7134" s="4">
        <v>48</v>
      </c>
      <c r="D7134" s="21">
        <f t="shared" si="571"/>
        <v>29511</v>
      </c>
      <c r="E7134" s="4">
        <v>0</v>
      </c>
      <c r="F7134" s="95">
        <f t="shared" si="572"/>
        <v>486</v>
      </c>
    </row>
    <row r="7135" spans="1:6" x14ac:dyDescent="0.25">
      <c r="A7135" s="105" t="s">
        <v>21</v>
      </c>
      <c r="B7135" s="19">
        <v>44190</v>
      </c>
      <c r="C7135" s="4">
        <v>158</v>
      </c>
      <c r="D7135" s="21">
        <f t="shared" si="571"/>
        <v>124703</v>
      </c>
      <c r="E7135" s="4">
        <v>3</v>
      </c>
      <c r="F7135" s="95">
        <f t="shared" si="572"/>
        <v>2448</v>
      </c>
    </row>
    <row r="7136" spans="1:6" x14ac:dyDescent="0.25">
      <c r="A7136" s="105" t="s">
        <v>31</v>
      </c>
      <c r="B7136" s="19">
        <v>44190</v>
      </c>
      <c r="C7136" s="4">
        <v>35</v>
      </c>
      <c r="D7136" s="21">
        <f t="shared" si="571"/>
        <v>11124</v>
      </c>
      <c r="E7136" s="4">
        <v>0</v>
      </c>
      <c r="F7136" s="95">
        <f t="shared" si="572"/>
        <v>154</v>
      </c>
    </row>
    <row r="7137" spans="1:6" x14ac:dyDescent="0.25">
      <c r="A7137" s="105" t="s">
        <v>32</v>
      </c>
      <c r="B7137" s="19">
        <v>44190</v>
      </c>
      <c r="C7137" s="4">
        <v>134</v>
      </c>
      <c r="D7137" s="21">
        <f t="shared" si="571"/>
        <v>27838</v>
      </c>
      <c r="E7137" s="4">
        <v>0</v>
      </c>
      <c r="F7137" s="95">
        <f t="shared" si="572"/>
        <v>571</v>
      </c>
    </row>
    <row r="7138" spans="1:6" x14ac:dyDescent="0.25">
      <c r="A7138" s="105" t="s">
        <v>42</v>
      </c>
      <c r="B7138" s="19">
        <v>44190</v>
      </c>
      <c r="C7138" s="4">
        <v>0</v>
      </c>
      <c r="D7138" s="21">
        <f t="shared" si="571"/>
        <v>213</v>
      </c>
      <c r="E7138" s="4">
        <v>0</v>
      </c>
      <c r="F7138" s="95">
        <f t="shared" si="572"/>
        <v>3</v>
      </c>
    </row>
    <row r="7139" spans="1:6" x14ac:dyDescent="0.25">
      <c r="A7139" s="105" t="s">
        <v>33</v>
      </c>
      <c r="B7139" s="19">
        <v>44190</v>
      </c>
      <c r="C7139" s="4">
        <v>4</v>
      </c>
      <c r="D7139" s="21">
        <f t="shared" ref="D7139:D7202" si="573">C7139+D7115</f>
        <v>18498</v>
      </c>
      <c r="E7139" s="4">
        <v>0</v>
      </c>
      <c r="F7139" s="95">
        <f t="shared" ref="F7139:F7202" si="574">E7139+F7115</f>
        <v>857</v>
      </c>
    </row>
    <row r="7140" spans="1:6" x14ac:dyDescent="0.25">
      <c r="A7140" s="105" t="s">
        <v>34</v>
      </c>
      <c r="B7140" s="19">
        <v>44190</v>
      </c>
      <c r="C7140" s="4">
        <v>140</v>
      </c>
      <c r="D7140" s="21">
        <f t="shared" si="573"/>
        <v>9335</v>
      </c>
      <c r="E7140" s="4">
        <v>0</v>
      </c>
      <c r="F7140" s="95">
        <f t="shared" si="574"/>
        <v>116</v>
      </c>
    </row>
    <row r="7141" spans="1:6" x14ac:dyDescent="0.25">
      <c r="A7141" s="105" t="s">
        <v>22</v>
      </c>
      <c r="B7141" s="19">
        <v>44190</v>
      </c>
      <c r="C7141" s="4">
        <v>7</v>
      </c>
      <c r="D7141" s="21">
        <f t="shared" si="573"/>
        <v>9057</v>
      </c>
      <c r="E7141" s="4">
        <v>5</v>
      </c>
      <c r="F7141" s="95">
        <f t="shared" si="574"/>
        <v>379</v>
      </c>
    </row>
    <row r="7142" spans="1:6" x14ac:dyDescent="0.25">
      <c r="A7142" s="105" t="s">
        <v>18</v>
      </c>
      <c r="B7142" s="19">
        <v>44190</v>
      </c>
      <c r="C7142" s="4">
        <v>22</v>
      </c>
      <c r="D7142" s="21">
        <f t="shared" si="573"/>
        <v>59505</v>
      </c>
      <c r="E7142" s="4">
        <v>0</v>
      </c>
      <c r="F7142" s="95">
        <f t="shared" si="574"/>
        <v>1218</v>
      </c>
    </row>
    <row r="7143" spans="1:6" x14ac:dyDescent="0.25">
      <c r="A7143" s="105" t="s">
        <v>24</v>
      </c>
      <c r="B7143" s="19">
        <v>44190</v>
      </c>
      <c r="C7143" s="4">
        <v>45</v>
      </c>
      <c r="D7143" s="21">
        <f t="shared" si="573"/>
        <v>945</v>
      </c>
      <c r="E7143" s="4">
        <v>0</v>
      </c>
      <c r="F7143" s="95">
        <f t="shared" si="574"/>
        <v>11</v>
      </c>
    </row>
    <row r="7144" spans="1:6" x14ac:dyDescent="0.25">
      <c r="A7144" s="105" t="s">
        <v>20</v>
      </c>
      <c r="B7144" s="19">
        <v>44190</v>
      </c>
      <c r="C7144" s="4">
        <v>79</v>
      </c>
      <c r="D7144" s="21">
        <f t="shared" si="573"/>
        <v>39181</v>
      </c>
      <c r="E7144" s="4">
        <v>0</v>
      </c>
      <c r="F7144" s="95">
        <f t="shared" si="574"/>
        <v>688</v>
      </c>
    </row>
    <row r="7145" spans="1:6" x14ac:dyDescent="0.25">
      <c r="A7145" s="105" t="s">
        <v>19</v>
      </c>
      <c r="B7145" s="19">
        <v>44190</v>
      </c>
      <c r="C7145" s="4">
        <v>89</v>
      </c>
      <c r="D7145" s="21">
        <f t="shared" si="573"/>
        <v>36951</v>
      </c>
      <c r="E7145" s="4">
        <v>1</v>
      </c>
      <c r="F7145" s="95">
        <f t="shared" si="574"/>
        <v>881</v>
      </c>
    </row>
    <row r="7146" spans="1:6" x14ac:dyDescent="0.25">
      <c r="A7146" s="105" t="s">
        <v>35</v>
      </c>
      <c r="B7146" s="19">
        <v>44190</v>
      </c>
      <c r="C7146" s="4">
        <v>12</v>
      </c>
      <c r="D7146" s="21">
        <f t="shared" si="573"/>
        <v>22146</v>
      </c>
      <c r="E7146" s="4">
        <v>0</v>
      </c>
      <c r="F7146" s="95">
        <f t="shared" si="574"/>
        <v>1013</v>
      </c>
    </row>
    <row r="7147" spans="1:6" x14ac:dyDescent="0.25">
      <c r="A7147" s="105" t="s">
        <v>36</v>
      </c>
      <c r="B7147" s="19">
        <v>44190</v>
      </c>
      <c r="C7147" s="4">
        <v>2</v>
      </c>
      <c r="D7147" s="21">
        <f t="shared" si="573"/>
        <v>10878</v>
      </c>
      <c r="E7147" s="4">
        <v>0</v>
      </c>
      <c r="F7147" s="95">
        <f t="shared" si="574"/>
        <v>196</v>
      </c>
    </row>
    <row r="7148" spans="1:6" x14ac:dyDescent="0.25">
      <c r="A7148" s="105" t="s">
        <v>37</v>
      </c>
      <c r="B7148" s="19">
        <v>44190</v>
      </c>
      <c r="C7148" s="4">
        <v>3</v>
      </c>
      <c r="D7148" s="21">
        <f t="shared" si="573"/>
        <v>15988</v>
      </c>
      <c r="E7148" s="4">
        <v>0</v>
      </c>
      <c r="F7148" s="95">
        <f t="shared" si="574"/>
        <v>293</v>
      </c>
    </row>
    <row r="7149" spans="1:6" x14ac:dyDescent="0.25">
      <c r="A7149" s="105" t="s">
        <v>38</v>
      </c>
      <c r="B7149" s="19">
        <v>44190</v>
      </c>
      <c r="C7149" s="4">
        <v>92</v>
      </c>
      <c r="D7149" s="21">
        <f t="shared" si="573"/>
        <v>21838</v>
      </c>
      <c r="E7149" s="4">
        <v>0</v>
      </c>
      <c r="F7149" s="95">
        <f t="shared" si="574"/>
        <v>360</v>
      </c>
    </row>
    <row r="7150" spans="1:6" x14ac:dyDescent="0.25">
      <c r="A7150" s="105" t="s">
        <v>23</v>
      </c>
      <c r="B7150" s="19">
        <v>44190</v>
      </c>
      <c r="C7150" s="4">
        <v>228</v>
      </c>
      <c r="D7150" s="21">
        <f t="shared" si="573"/>
        <v>170941</v>
      </c>
      <c r="E7150" s="4">
        <v>0</v>
      </c>
      <c r="F7150" s="95">
        <f t="shared" si="574"/>
        <v>2810</v>
      </c>
    </row>
    <row r="7151" spans="1:6" x14ac:dyDescent="0.25">
      <c r="A7151" s="105" t="s">
        <v>39</v>
      </c>
      <c r="B7151" s="19">
        <v>44190</v>
      </c>
      <c r="C7151" s="4">
        <v>45</v>
      </c>
      <c r="D7151" s="21">
        <f t="shared" si="573"/>
        <v>17000</v>
      </c>
      <c r="E7151" s="4">
        <v>0</v>
      </c>
      <c r="F7151" s="95">
        <f t="shared" si="574"/>
        <v>214</v>
      </c>
    </row>
    <row r="7152" spans="1:6" x14ac:dyDescent="0.25">
      <c r="A7152" s="105" t="s">
        <v>40</v>
      </c>
      <c r="B7152" s="19">
        <v>44190</v>
      </c>
      <c r="C7152" s="4">
        <v>91</v>
      </c>
      <c r="D7152" s="21">
        <f t="shared" si="573"/>
        <v>18527</v>
      </c>
      <c r="E7152" s="4">
        <v>0</v>
      </c>
      <c r="F7152" s="95">
        <f t="shared" si="574"/>
        <v>246</v>
      </c>
    </row>
    <row r="7153" spans="1:6" ht="15.75" thickBot="1" x14ac:dyDescent="0.3">
      <c r="A7153" s="106" t="s">
        <v>41</v>
      </c>
      <c r="B7153" s="19">
        <v>44190</v>
      </c>
      <c r="C7153" s="4">
        <v>23</v>
      </c>
      <c r="D7153" s="98">
        <f t="shared" si="573"/>
        <v>70279</v>
      </c>
      <c r="E7153" s="4">
        <v>0</v>
      </c>
      <c r="F7153" s="96">
        <f t="shared" si="574"/>
        <v>1334</v>
      </c>
    </row>
    <row r="7154" spans="1:6" x14ac:dyDescent="0.25">
      <c r="A7154" s="45" t="s">
        <v>17</v>
      </c>
      <c r="B7154" s="19">
        <v>44191</v>
      </c>
      <c r="C7154" s="4">
        <v>1343</v>
      </c>
      <c r="D7154" s="97">
        <f t="shared" si="573"/>
        <v>665994</v>
      </c>
      <c r="E7154" s="4">
        <v>39</v>
      </c>
      <c r="F7154" s="94">
        <f t="shared" si="574"/>
        <v>21988</v>
      </c>
    </row>
    <row r="7155" spans="1:6" x14ac:dyDescent="0.25">
      <c r="A7155" s="105" t="s">
        <v>44</v>
      </c>
      <c r="B7155" s="19">
        <v>44191</v>
      </c>
      <c r="C7155" s="4">
        <v>375</v>
      </c>
      <c r="D7155" s="21">
        <f t="shared" si="573"/>
        <v>169599</v>
      </c>
      <c r="E7155" s="4">
        <v>2</v>
      </c>
      <c r="F7155" s="95">
        <f t="shared" si="574"/>
        <v>5450</v>
      </c>
    </row>
    <row r="7156" spans="1:6" x14ac:dyDescent="0.25">
      <c r="A7156" s="105" t="s">
        <v>29</v>
      </c>
      <c r="B7156" s="19">
        <v>44191</v>
      </c>
      <c r="C7156" s="4">
        <v>23</v>
      </c>
      <c r="D7156" s="21">
        <f t="shared" si="573"/>
        <v>2530</v>
      </c>
      <c r="E7156" s="4">
        <v>0</v>
      </c>
      <c r="F7156" s="95">
        <f t="shared" si="574"/>
        <v>17</v>
      </c>
    </row>
    <row r="7157" spans="1:6" x14ac:dyDescent="0.25">
      <c r="A7157" s="105" t="s">
        <v>16</v>
      </c>
      <c r="B7157" s="19">
        <v>44191</v>
      </c>
      <c r="C7157" s="4">
        <v>63</v>
      </c>
      <c r="D7157" s="21">
        <f t="shared" si="573"/>
        <v>23777</v>
      </c>
      <c r="E7157" s="4">
        <v>4</v>
      </c>
      <c r="F7157" s="95">
        <f t="shared" si="574"/>
        <v>673</v>
      </c>
    </row>
    <row r="7158" spans="1:6" x14ac:dyDescent="0.25">
      <c r="A7158" s="105" t="s">
        <v>30</v>
      </c>
      <c r="B7158" s="19">
        <v>44191</v>
      </c>
      <c r="C7158" s="4">
        <v>215</v>
      </c>
      <c r="D7158" s="21">
        <f t="shared" si="573"/>
        <v>29726</v>
      </c>
      <c r="E7158" s="4">
        <v>0</v>
      </c>
      <c r="F7158" s="95">
        <f t="shared" si="574"/>
        <v>486</v>
      </c>
    </row>
    <row r="7159" spans="1:6" x14ac:dyDescent="0.25">
      <c r="A7159" s="105" t="s">
        <v>21</v>
      </c>
      <c r="B7159" s="19">
        <v>44191</v>
      </c>
      <c r="C7159" s="4">
        <v>163</v>
      </c>
      <c r="D7159" s="21">
        <f t="shared" si="573"/>
        <v>124866</v>
      </c>
      <c r="E7159" s="4">
        <v>4</v>
      </c>
      <c r="F7159" s="95">
        <f t="shared" si="574"/>
        <v>2452</v>
      </c>
    </row>
    <row r="7160" spans="1:6" x14ac:dyDescent="0.25">
      <c r="A7160" s="105" t="s">
        <v>31</v>
      </c>
      <c r="B7160" s="19">
        <v>44191</v>
      </c>
      <c r="C7160" s="4">
        <v>24</v>
      </c>
      <c r="D7160" s="21">
        <f t="shared" si="573"/>
        <v>11148</v>
      </c>
      <c r="E7160" s="4">
        <v>3</v>
      </c>
      <c r="F7160" s="95">
        <f t="shared" si="574"/>
        <v>157</v>
      </c>
    </row>
    <row r="7161" spans="1:6" x14ac:dyDescent="0.25">
      <c r="A7161" s="105" t="s">
        <v>32</v>
      </c>
      <c r="B7161" s="19">
        <v>44191</v>
      </c>
      <c r="C7161" s="4">
        <v>85</v>
      </c>
      <c r="D7161" s="21">
        <f t="shared" si="573"/>
        <v>27923</v>
      </c>
      <c r="E7161" s="4">
        <v>0</v>
      </c>
      <c r="F7161" s="95">
        <f t="shared" si="574"/>
        <v>571</v>
      </c>
    </row>
    <row r="7162" spans="1:6" x14ac:dyDescent="0.25">
      <c r="A7162" s="105" t="s">
        <v>42</v>
      </c>
      <c r="B7162" s="19">
        <v>44191</v>
      </c>
      <c r="C7162" s="4">
        <v>0</v>
      </c>
      <c r="D7162" s="21">
        <f t="shared" si="573"/>
        <v>213</v>
      </c>
      <c r="E7162" s="4">
        <v>0</v>
      </c>
      <c r="F7162" s="95">
        <f t="shared" si="574"/>
        <v>3</v>
      </c>
    </row>
    <row r="7163" spans="1:6" x14ac:dyDescent="0.25">
      <c r="A7163" s="105" t="s">
        <v>33</v>
      </c>
      <c r="B7163" s="19">
        <v>44191</v>
      </c>
      <c r="C7163" s="4">
        <v>2</v>
      </c>
      <c r="D7163" s="21">
        <f t="shared" si="573"/>
        <v>18500</v>
      </c>
      <c r="E7163" s="4">
        <v>0</v>
      </c>
      <c r="F7163" s="95">
        <f t="shared" si="574"/>
        <v>857</v>
      </c>
    </row>
    <row r="7164" spans="1:6" x14ac:dyDescent="0.25">
      <c r="A7164" s="105" t="s">
        <v>34</v>
      </c>
      <c r="B7164" s="19">
        <v>44191</v>
      </c>
      <c r="C7164" s="4">
        <v>182</v>
      </c>
      <c r="D7164" s="21">
        <f t="shared" si="573"/>
        <v>9517</v>
      </c>
      <c r="E7164" s="4">
        <v>0</v>
      </c>
      <c r="F7164" s="95">
        <f t="shared" si="574"/>
        <v>116</v>
      </c>
    </row>
    <row r="7165" spans="1:6" x14ac:dyDescent="0.25">
      <c r="A7165" s="105" t="s">
        <v>22</v>
      </c>
      <c r="B7165" s="19">
        <v>44191</v>
      </c>
      <c r="C7165" s="4">
        <v>4</v>
      </c>
      <c r="D7165" s="21">
        <f t="shared" si="573"/>
        <v>9061</v>
      </c>
      <c r="E7165" s="4">
        <v>6</v>
      </c>
      <c r="F7165" s="95">
        <f t="shared" si="574"/>
        <v>385</v>
      </c>
    </row>
    <row r="7166" spans="1:6" x14ac:dyDescent="0.25">
      <c r="A7166" s="105" t="s">
        <v>18</v>
      </c>
      <c r="B7166" s="19">
        <v>44191</v>
      </c>
      <c r="C7166" s="4">
        <v>53</v>
      </c>
      <c r="D7166" s="21">
        <f t="shared" si="573"/>
        <v>59558</v>
      </c>
      <c r="E7166" s="4">
        <v>1</v>
      </c>
      <c r="F7166" s="95">
        <f t="shared" si="574"/>
        <v>1219</v>
      </c>
    </row>
    <row r="7167" spans="1:6" x14ac:dyDescent="0.25">
      <c r="A7167" s="105" t="s">
        <v>24</v>
      </c>
      <c r="B7167" s="19">
        <v>44191</v>
      </c>
      <c r="C7167" s="4">
        <v>43</v>
      </c>
      <c r="D7167" s="21">
        <f t="shared" si="573"/>
        <v>988</v>
      </c>
      <c r="E7167" s="4">
        <v>0</v>
      </c>
      <c r="F7167" s="95">
        <f t="shared" si="574"/>
        <v>11</v>
      </c>
    </row>
    <row r="7168" spans="1:6" x14ac:dyDescent="0.25">
      <c r="A7168" s="105" t="s">
        <v>20</v>
      </c>
      <c r="B7168" s="19">
        <v>44191</v>
      </c>
      <c r="C7168" s="4">
        <v>102</v>
      </c>
      <c r="D7168" s="21">
        <f t="shared" si="573"/>
        <v>39283</v>
      </c>
      <c r="E7168" s="4">
        <v>0</v>
      </c>
      <c r="F7168" s="95">
        <f t="shared" si="574"/>
        <v>688</v>
      </c>
    </row>
    <row r="7169" spans="1:6" x14ac:dyDescent="0.25">
      <c r="A7169" s="105" t="s">
        <v>19</v>
      </c>
      <c r="B7169" s="19">
        <v>44191</v>
      </c>
      <c r="C7169" s="4">
        <v>163</v>
      </c>
      <c r="D7169" s="21">
        <f t="shared" si="573"/>
        <v>37114</v>
      </c>
      <c r="E7169" s="4">
        <v>2</v>
      </c>
      <c r="F7169" s="95">
        <f t="shared" si="574"/>
        <v>883</v>
      </c>
    </row>
    <row r="7170" spans="1:6" x14ac:dyDescent="0.25">
      <c r="A7170" s="105" t="s">
        <v>35</v>
      </c>
      <c r="B7170" s="19">
        <v>44191</v>
      </c>
      <c r="C7170" s="4">
        <v>25</v>
      </c>
      <c r="D7170" s="21">
        <f t="shared" si="573"/>
        <v>22171</v>
      </c>
      <c r="E7170" s="4">
        <v>0</v>
      </c>
      <c r="F7170" s="95">
        <f t="shared" si="574"/>
        <v>1013</v>
      </c>
    </row>
    <row r="7171" spans="1:6" x14ac:dyDescent="0.25">
      <c r="A7171" s="105" t="s">
        <v>36</v>
      </c>
      <c r="B7171" s="19">
        <v>44191</v>
      </c>
      <c r="C7171" s="4">
        <v>12</v>
      </c>
      <c r="D7171" s="21">
        <f t="shared" si="573"/>
        <v>10890</v>
      </c>
      <c r="E7171" s="4">
        <v>0</v>
      </c>
      <c r="F7171" s="95">
        <f t="shared" si="574"/>
        <v>196</v>
      </c>
    </row>
    <row r="7172" spans="1:6" x14ac:dyDescent="0.25">
      <c r="A7172" s="105" t="s">
        <v>37</v>
      </c>
      <c r="B7172" s="19">
        <v>44191</v>
      </c>
      <c r="C7172" s="4">
        <v>6</v>
      </c>
      <c r="D7172" s="21">
        <f t="shared" si="573"/>
        <v>15994</v>
      </c>
      <c r="E7172" s="4">
        <v>0</v>
      </c>
      <c r="F7172" s="95">
        <f t="shared" si="574"/>
        <v>293</v>
      </c>
    </row>
    <row r="7173" spans="1:6" x14ac:dyDescent="0.25">
      <c r="A7173" s="105" t="s">
        <v>38</v>
      </c>
      <c r="B7173" s="19">
        <v>44191</v>
      </c>
      <c r="C7173" s="4">
        <v>159</v>
      </c>
      <c r="D7173" s="21">
        <f t="shared" si="573"/>
        <v>21997</v>
      </c>
      <c r="E7173" s="4">
        <v>1</v>
      </c>
      <c r="F7173" s="95">
        <f t="shared" si="574"/>
        <v>361</v>
      </c>
    </row>
    <row r="7174" spans="1:6" x14ac:dyDescent="0.25">
      <c r="A7174" s="105" t="s">
        <v>23</v>
      </c>
      <c r="B7174" s="19">
        <v>44191</v>
      </c>
      <c r="C7174" s="4">
        <v>423</v>
      </c>
      <c r="D7174" s="21">
        <f t="shared" si="573"/>
        <v>171364</v>
      </c>
      <c r="E7174" s="4">
        <v>17</v>
      </c>
      <c r="F7174" s="95">
        <f t="shared" si="574"/>
        <v>2827</v>
      </c>
    </row>
    <row r="7175" spans="1:6" x14ac:dyDescent="0.25">
      <c r="A7175" s="105" t="s">
        <v>39</v>
      </c>
      <c r="B7175" s="19">
        <v>44191</v>
      </c>
      <c r="C7175" s="4">
        <v>47</v>
      </c>
      <c r="D7175" s="21">
        <f t="shared" si="573"/>
        <v>17047</v>
      </c>
      <c r="E7175" s="4">
        <v>0</v>
      </c>
      <c r="F7175" s="95">
        <f t="shared" si="574"/>
        <v>214</v>
      </c>
    </row>
    <row r="7176" spans="1:6" x14ac:dyDescent="0.25">
      <c r="A7176" s="105" t="s">
        <v>40</v>
      </c>
      <c r="B7176" s="19">
        <v>44191</v>
      </c>
      <c r="C7176" s="4">
        <v>124</v>
      </c>
      <c r="D7176" s="21">
        <f t="shared" si="573"/>
        <v>18651</v>
      </c>
      <c r="E7176" s="4">
        <v>0</v>
      </c>
      <c r="F7176" s="95">
        <f t="shared" si="574"/>
        <v>246</v>
      </c>
    </row>
    <row r="7177" spans="1:6" ht="15.75" thickBot="1" x14ac:dyDescent="0.3">
      <c r="A7177" s="106" t="s">
        <v>41</v>
      </c>
      <c r="B7177" s="19">
        <v>44191</v>
      </c>
      <c r="C7177" s="4">
        <v>77</v>
      </c>
      <c r="D7177" s="98">
        <f t="shared" si="573"/>
        <v>70356</v>
      </c>
      <c r="E7177" s="4">
        <v>0</v>
      </c>
      <c r="F7177" s="96">
        <f t="shared" si="574"/>
        <v>1334</v>
      </c>
    </row>
    <row r="7178" spans="1:6" x14ac:dyDescent="0.25">
      <c r="A7178" s="45" t="s">
        <v>17</v>
      </c>
      <c r="B7178" s="19">
        <v>44192</v>
      </c>
      <c r="C7178" s="4">
        <v>1996</v>
      </c>
      <c r="D7178" s="97">
        <f t="shared" si="573"/>
        <v>667990</v>
      </c>
      <c r="E7178" s="4">
        <v>111</v>
      </c>
      <c r="F7178" s="94">
        <f t="shared" si="574"/>
        <v>22099</v>
      </c>
    </row>
    <row r="7179" spans="1:6" x14ac:dyDescent="0.25">
      <c r="A7179" s="105" t="s">
        <v>44</v>
      </c>
      <c r="B7179" s="19">
        <v>44192</v>
      </c>
      <c r="C7179" s="4">
        <v>728</v>
      </c>
      <c r="D7179" s="21">
        <f t="shared" si="573"/>
        <v>170327</v>
      </c>
      <c r="E7179" s="4">
        <v>3</v>
      </c>
      <c r="F7179" s="95">
        <f t="shared" si="574"/>
        <v>5453</v>
      </c>
    </row>
    <row r="7180" spans="1:6" x14ac:dyDescent="0.25">
      <c r="A7180" s="105" t="s">
        <v>29</v>
      </c>
      <c r="B7180" s="19">
        <v>44192</v>
      </c>
      <c r="C7180" s="4">
        <v>46</v>
      </c>
      <c r="D7180" s="21">
        <f t="shared" si="573"/>
        <v>2576</v>
      </c>
      <c r="E7180" s="4">
        <v>0</v>
      </c>
      <c r="F7180" s="95">
        <f t="shared" si="574"/>
        <v>17</v>
      </c>
    </row>
    <row r="7181" spans="1:6" x14ac:dyDescent="0.25">
      <c r="A7181" s="105" t="s">
        <v>16</v>
      </c>
      <c r="B7181" s="19">
        <v>44192</v>
      </c>
      <c r="C7181" s="4">
        <v>70</v>
      </c>
      <c r="D7181" s="21">
        <f t="shared" si="573"/>
        <v>23847</v>
      </c>
      <c r="E7181" s="4">
        <v>1</v>
      </c>
      <c r="F7181" s="95">
        <f t="shared" si="574"/>
        <v>674</v>
      </c>
    </row>
    <row r="7182" spans="1:6" x14ac:dyDescent="0.25">
      <c r="A7182" s="105" t="s">
        <v>30</v>
      </c>
      <c r="B7182" s="19">
        <v>44192</v>
      </c>
      <c r="C7182" s="4">
        <v>155</v>
      </c>
      <c r="D7182" s="21">
        <f t="shared" si="573"/>
        <v>29881</v>
      </c>
      <c r="E7182" s="4">
        <v>1</v>
      </c>
      <c r="F7182" s="95">
        <f t="shared" si="574"/>
        <v>487</v>
      </c>
    </row>
    <row r="7183" spans="1:6" x14ac:dyDescent="0.25">
      <c r="A7183" s="105" t="s">
        <v>21</v>
      </c>
      <c r="B7183" s="19">
        <v>44192</v>
      </c>
      <c r="C7183" s="4">
        <v>227</v>
      </c>
      <c r="D7183" s="21">
        <f t="shared" si="573"/>
        <v>125093</v>
      </c>
      <c r="E7183" s="4">
        <v>0</v>
      </c>
      <c r="F7183" s="95">
        <f t="shared" si="574"/>
        <v>2452</v>
      </c>
    </row>
    <row r="7184" spans="1:6" x14ac:dyDescent="0.25">
      <c r="A7184" s="105" t="s">
        <v>31</v>
      </c>
      <c r="B7184" s="19">
        <v>44192</v>
      </c>
      <c r="C7184" s="4">
        <v>235</v>
      </c>
      <c r="D7184" s="21">
        <f t="shared" si="573"/>
        <v>11383</v>
      </c>
      <c r="E7184" s="4">
        <v>0</v>
      </c>
      <c r="F7184" s="95">
        <f t="shared" si="574"/>
        <v>157</v>
      </c>
    </row>
    <row r="7185" spans="1:6" x14ac:dyDescent="0.25">
      <c r="A7185" s="105" t="s">
        <v>32</v>
      </c>
      <c r="B7185" s="19">
        <v>44192</v>
      </c>
      <c r="C7185" s="4">
        <v>155</v>
      </c>
      <c r="D7185" s="21">
        <f t="shared" si="573"/>
        <v>28078</v>
      </c>
      <c r="E7185" s="4">
        <v>1</v>
      </c>
      <c r="F7185" s="95">
        <f t="shared" si="574"/>
        <v>572</v>
      </c>
    </row>
    <row r="7186" spans="1:6" x14ac:dyDescent="0.25">
      <c r="A7186" s="105" t="s">
        <v>42</v>
      </c>
      <c r="B7186" s="19">
        <v>44192</v>
      </c>
      <c r="C7186" s="4">
        <v>1</v>
      </c>
      <c r="D7186" s="21">
        <f t="shared" si="573"/>
        <v>214</v>
      </c>
      <c r="E7186" s="4">
        <v>0</v>
      </c>
      <c r="F7186" s="95">
        <f t="shared" si="574"/>
        <v>3</v>
      </c>
    </row>
    <row r="7187" spans="1:6" x14ac:dyDescent="0.25">
      <c r="A7187" s="105" t="s">
        <v>33</v>
      </c>
      <c r="B7187" s="19">
        <v>44192</v>
      </c>
      <c r="C7187" s="4">
        <v>6</v>
      </c>
      <c r="D7187" s="21">
        <f t="shared" si="573"/>
        <v>18506</v>
      </c>
      <c r="E7187" s="4">
        <v>0</v>
      </c>
      <c r="F7187" s="95">
        <f t="shared" si="574"/>
        <v>857</v>
      </c>
    </row>
    <row r="7188" spans="1:6" x14ac:dyDescent="0.25">
      <c r="A7188" s="105" t="s">
        <v>34</v>
      </c>
      <c r="B7188" s="19">
        <v>44192</v>
      </c>
      <c r="C7188" s="4">
        <v>189</v>
      </c>
      <c r="D7188" s="21">
        <f t="shared" si="573"/>
        <v>9706</v>
      </c>
      <c r="E7188" s="4">
        <v>0</v>
      </c>
      <c r="F7188" s="95">
        <f t="shared" si="574"/>
        <v>116</v>
      </c>
    </row>
    <row r="7189" spans="1:6" x14ac:dyDescent="0.25">
      <c r="A7189" s="105" t="s">
        <v>22</v>
      </c>
      <c r="B7189" s="19">
        <v>44192</v>
      </c>
      <c r="C7189" s="4">
        <v>7</v>
      </c>
      <c r="D7189" s="21">
        <f t="shared" si="573"/>
        <v>9068</v>
      </c>
      <c r="E7189" s="4">
        <v>3</v>
      </c>
      <c r="F7189" s="95">
        <f t="shared" si="574"/>
        <v>388</v>
      </c>
    </row>
    <row r="7190" spans="1:6" x14ac:dyDescent="0.25">
      <c r="A7190" s="105" t="s">
        <v>18</v>
      </c>
      <c r="B7190" s="19">
        <v>44192</v>
      </c>
      <c r="C7190" s="4">
        <v>51</v>
      </c>
      <c r="D7190" s="21">
        <f t="shared" si="573"/>
        <v>59609</v>
      </c>
      <c r="E7190" s="4">
        <v>0</v>
      </c>
      <c r="F7190" s="95">
        <f t="shared" si="574"/>
        <v>1219</v>
      </c>
    </row>
    <row r="7191" spans="1:6" x14ac:dyDescent="0.25">
      <c r="A7191" s="105" t="s">
        <v>24</v>
      </c>
      <c r="B7191" s="19">
        <v>44192</v>
      </c>
      <c r="C7191" s="4">
        <v>23</v>
      </c>
      <c r="D7191" s="21">
        <f t="shared" si="573"/>
        <v>1011</v>
      </c>
      <c r="E7191" s="4">
        <v>0</v>
      </c>
      <c r="F7191" s="95">
        <f t="shared" si="574"/>
        <v>11</v>
      </c>
    </row>
    <row r="7192" spans="1:6" x14ac:dyDescent="0.25">
      <c r="A7192" s="105" t="s">
        <v>20</v>
      </c>
      <c r="B7192" s="19">
        <v>44192</v>
      </c>
      <c r="C7192" s="4">
        <v>82</v>
      </c>
      <c r="D7192" s="21">
        <f t="shared" si="573"/>
        <v>39365</v>
      </c>
      <c r="E7192" s="4">
        <v>0</v>
      </c>
      <c r="F7192" s="95">
        <f t="shared" si="574"/>
        <v>688</v>
      </c>
    </row>
    <row r="7193" spans="1:6" x14ac:dyDescent="0.25">
      <c r="A7193" s="105" t="s">
        <v>19</v>
      </c>
      <c r="B7193" s="19">
        <v>44192</v>
      </c>
      <c r="C7193" s="4">
        <v>163</v>
      </c>
      <c r="D7193" s="21">
        <f t="shared" si="573"/>
        <v>37277</v>
      </c>
      <c r="E7193" s="4">
        <v>1</v>
      </c>
      <c r="F7193" s="95">
        <f t="shared" si="574"/>
        <v>884</v>
      </c>
    </row>
    <row r="7194" spans="1:6" x14ac:dyDescent="0.25">
      <c r="A7194" s="105" t="s">
        <v>35</v>
      </c>
      <c r="B7194" s="19">
        <v>44192</v>
      </c>
      <c r="C7194" s="4">
        <v>37</v>
      </c>
      <c r="D7194" s="21">
        <f t="shared" si="573"/>
        <v>22208</v>
      </c>
      <c r="E7194" s="4">
        <v>1</v>
      </c>
      <c r="F7194" s="95">
        <f t="shared" si="574"/>
        <v>1014</v>
      </c>
    </row>
    <row r="7195" spans="1:6" x14ac:dyDescent="0.25">
      <c r="A7195" s="105" t="s">
        <v>36</v>
      </c>
      <c r="B7195" s="19">
        <v>44192</v>
      </c>
      <c r="C7195" s="4">
        <v>10</v>
      </c>
      <c r="D7195" s="21">
        <f t="shared" si="573"/>
        <v>10900</v>
      </c>
      <c r="E7195" s="4">
        <v>0</v>
      </c>
      <c r="F7195" s="95">
        <f t="shared" si="574"/>
        <v>196</v>
      </c>
    </row>
    <row r="7196" spans="1:6" x14ac:dyDescent="0.25">
      <c r="A7196" s="105" t="s">
        <v>37</v>
      </c>
      <c r="B7196" s="19">
        <v>44192</v>
      </c>
      <c r="C7196" s="4">
        <v>38</v>
      </c>
      <c r="D7196" s="21">
        <f t="shared" si="573"/>
        <v>16032</v>
      </c>
      <c r="E7196" s="4">
        <v>2</v>
      </c>
      <c r="F7196" s="95">
        <f t="shared" si="574"/>
        <v>295</v>
      </c>
    </row>
    <row r="7197" spans="1:6" x14ac:dyDescent="0.25">
      <c r="A7197" s="105" t="s">
        <v>38</v>
      </c>
      <c r="B7197" s="19">
        <v>44192</v>
      </c>
      <c r="C7197" s="4">
        <v>242</v>
      </c>
      <c r="D7197" s="21">
        <f t="shared" si="573"/>
        <v>22239</v>
      </c>
      <c r="E7197" s="4">
        <v>3</v>
      </c>
      <c r="F7197" s="95">
        <f t="shared" si="574"/>
        <v>364</v>
      </c>
    </row>
    <row r="7198" spans="1:6" x14ac:dyDescent="0.25">
      <c r="A7198" s="105" t="s">
        <v>23</v>
      </c>
      <c r="B7198" s="19">
        <v>44192</v>
      </c>
      <c r="C7198" s="4">
        <v>406</v>
      </c>
      <c r="D7198" s="21">
        <f t="shared" si="573"/>
        <v>171770</v>
      </c>
      <c r="E7198" s="4">
        <v>16</v>
      </c>
      <c r="F7198" s="95">
        <f t="shared" si="574"/>
        <v>2843</v>
      </c>
    </row>
    <row r="7199" spans="1:6" x14ac:dyDescent="0.25">
      <c r="A7199" s="105" t="s">
        <v>39</v>
      </c>
      <c r="B7199" s="19">
        <v>44192</v>
      </c>
      <c r="C7199" s="4">
        <v>24</v>
      </c>
      <c r="D7199" s="21">
        <f t="shared" si="573"/>
        <v>17071</v>
      </c>
      <c r="E7199" s="4">
        <v>3</v>
      </c>
      <c r="F7199" s="95">
        <f t="shared" si="574"/>
        <v>217</v>
      </c>
    </row>
    <row r="7200" spans="1:6" x14ac:dyDescent="0.25">
      <c r="A7200" s="105" t="s">
        <v>40</v>
      </c>
      <c r="B7200" s="19">
        <v>44192</v>
      </c>
      <c r="C7200" s="4">
        <v>88</v>
      </c>
      <c r="D7200" s="21">
        <f t="shared" si="573"/>
        <v>18739</v>
      </c>
      <c r="E7200" s="4">
        <v>2</v>
      </c>
      <c r="F7200" s="95">
        <f t="shared" si="574"/>
        <v>248</v>
      </c>
    </row>
    <row r="7201" spans="1:6" ht="15.75" thickBot="1" x14ac:dyDescent="0.3">
      <c r="A7201" s="107" t="s">
        <v>41</v>
      </c>
      <c r="B7201" s="29">
        <v>44192</v>
      </c>
      <c r="C7201" s="30">
        <v>51</v>
      </c>
      <c r="D7201" s="59">
        <f t="shared" si="573"/>
        <v>70407</v>
      </c>
      <c r="E7201" s="30">
        <v>1</v>
      </c>
      <c r="F7201" s="104">
        <f t="shared" si="574"/>
        <v>1335</v>
      </c>
    </row>
    <row r="7202" spans="1:6" x14ac:dyDescent="0.25">
      <c r="A7202" s="45" t="s">
        <v>17</v>
      </c>
      <c r="B7202" s="32">
        <v>44193</v>
      </c>
      <c r="C7202" s="33">
        <v>2873</v>
      </c>
      <c r="D7202" s="97">
        <f t="shared" si="573"/>
        <v>670863</v>
      </c>
      <c r="E7202" s="33">
        <v>90</v>
      </c>
      <c r="F7202" s="94">
        <f t="shared" si="574"/>
        <v>22189</v>
      </c>
    </row>
    <row r="7203" spans="1:6" x14ac:dyDescent="0.25">
      <c r="A7203" s="105" t="s">
        <v>44</v>
      </c>
      <c r="B7203" s="19">
        <v>44193</v>
      </c>
      <c r="C7203" s="4">
        <v>863</v>
      </c>
      <c r="D7203" s="21">
        <f t="shared" ref="D7203:D7249" si="575">C7203+D7179</f>
        <v>171190</v>
      </c>
      <c r="E7203" s="4">
        <v>20</v>
      </c>
      <c r="F7203" s="95">
        <f t="shared" ref="F7203:F7249" si="576">E7203+F7179</f>
        <v>5473</v>
      </c>
    </row>
    <row r="7204" spans="1:6" x14ac:dyDescent="0.25">
      <c r="A7204" s="105" t="s">
        <v>29</v>
      </c>
      <c r="B7204" s="19">
        <v>44193</v>
      </c>
      <c r="C7204" s="4">
        <v>31</v>
      </c>
      <c r="D7204" s="21">
        <f t="shared" si="575"/>
        <v>2607</v>
      </c>
      <c r="E7204" s="4">
        <v>0</v>
      </c>
      <c r="F7204" s="95">
        <f t="shared" si="576"/>
        <v>17</v>
      </c>
    </row>
    <row r="7205" spans="1:6" x14ac:dyDescent="0.25">
      <c r="A7205" s="105" t="s">
        <v>16</v>
      </c>
      <c r="B7205" s="19">
        <v>44193</v>
      </c>
      <c r="C7205" s="4">
        <v>121</v>
      </c>
      <c r="D7205" s="21">
        <f t="shared" si="575"/>
        <v>23968</v>
      </c>
      <c r="E7205" s="4">
        <v>7</v>
      </c>
      <c r="F7205" s="95">
        <f t="shared" si="576"/>
        <v>681</v>
      </c>
    </row>
    <row r="7206" spans="1:6" x14ac:dyDescent="0.25">
      <c r="A7206" s="105" t="s">
        <v>30</v>
      </c>
      <c r="B7206" s="19">
        <v>44193</v>
      </c>
      <c r="C7206" s="4">
        <v>451</v>
      </c>
      <c r="D7206" s="21">
        <f t="shared" si="575"/>
        <v>30332</v>
      </c>
      <c r="E7206" s="4">
        <v>4</v>
      </c>
      <c r="F7206" s="95">
        <f t="shared" si="576"/>
        <v>491</v>
      </c>
    </row>
    <row r="7207" spans="1:6" x14ac:dyDescent="0.25">
      <c r="A7207" s="105" t="s">
        <v>21</v>
      </c>
      <c r="B7207" s="19">
        <v>44193</v>
      </c>
      <c r="C7207" s="4">
        <v>286</v>
      </c>
      <c r="D7207" s="21">
        <f t="shared" si="575"/>
        <v>125379</v>
      </c>
      <c r="E7207" s="4">
        <v>7</v>
      </c>
      <c r="F7207" s="95">
        <f t="shared" si="576"/>
        <v>2459</v>
      </c>
    </row>
    <row r="7208" spans="1:6" x14ac:dyDescent="0.25">
      <c r="A7208" s="105" t="s">
        <v>31</v>
      </c>
      <c r="B7208" s="19">
        <v>44193</v>
      </c>
      <c r="C7208" s="4">
        <v>183</v>
      </c>
      <c r="D7208" s="21">
        <f t="shared" si="575"/>
        <v>11566</v>
      </c>
      <c r="E7208" s="4">
        <v>1</v>
      </c>
      <c r="F7208" s="95">
        <f t="shared" si="576"/>
        <v>158</v>
      </c>
    </row>
    <row r="7209" spans="1:6" x14ac:dyDescent="0.25">
      <c r="A7209" s="105" t="s">
        <v>32</v>
      </c>
      <c r="B7209" s="19">
        <v>44193</v>
      </c>
      <c r="C7209" s="4">
        <v>178</v>
      </c>
      <c r="D7209" s="21">
        <f t="shared" si="575"/>
        <v>28256</v>
      </c>
      <c r="E7209" s="4">
        <v>2</v>
      </c>
      <c r="F7209" s="95">
        <f t="shared" si="576"/>
        <v>574</v>
      </c>
    </row>
    <row r="7210" spans="1:6" x14ac:dyDescent="0.25">
      <c r="A7210" s="105" t="s">
        <v>42</v>
      </c>
      <c r="B7210" s="19">
        <v>44193</v>
      </c>
      <c r="C7210" s="4">
        <v>7</v>
      </c>
      <c r="D7210" s="21">
        <f t="shared" si="575"/>
        <v>221</v>
      </c>
      <c r="E7210" s="4">
        <v>0</v>
      </c>
      <c r="F7210" s="95">
        <f t="shared" si="576"/>
        <v>3</v>
      </c>
    </row>
    <row r="7211" spans="1:6" x14ac:dyDescent="0.25">
      <c r="A7211" s="105" t="s">
        <v>33</v>
      </c>
      <c r="B7211" s="19">
        <v>44193</v>
      </c>
      <c r="C7211" s="4">
        <v>3</v>
      </c>
      <c r="D7211" s="21">
        <f t="shared" si="575"/>
        <v>18509</v>
      </c>
      <c r="E7211" s="4">
        <v>1</v>
      </c>
      <c r="F7211" s="95">
        <f t="shared" si="576"/>
        <v>858</v>
      </c>
    </row>
    <row r="7212" spans="1:6" x14ac:dyDescent="0.25">
      <c r="A7212" s="105" t="s">
        <v>34</v>
      </c>
      <c r="B7212" s="19">
        <v>44193</v>
      </c>
      <c r="C7212" s="4">
        <v>208</v>
      </c>
      <c r="D7212" s="21">
        <f t="shared" si="575"/>
        <v>9914</v>
      </c>
      <c r="E7212" s="4">
        <v>8</v>
      </c>
      <c r="F7212" s="95">
        <f t="shared" si="576"/>
        <v>124</v>
      </c>
    </row>
    <row r="7213" spans="1:6" x14ac:dyDescent="0.25">
      <c r="A7213" s="105" t="s">
        <v>22</v>
      </c>
      <c r="B7213" s="19">
        <v>44193</v>
      </c>
      <c r="C7213" s="4">
        <v>4</v>
      </c>
      <c r="D7213" s="21">
        <f t="shared" si="575"/>
        <v>9072</v>
      </c>
      <c r="E7213" s="4">
        <v>0</v>
      </c>
      <c r="F7213" s="95">
        <f t="shared" si="576"/>
        <v>388</v>
      </c>
    </row>
    <row r="7214" spans="1:6" x14ac:dyDescent="0.25">
      <c r="A7214" s="105" t="s">
        <v>18</v>
      </c>
      <c r="B7214" s="19">
        <v>44193</v>
      </c>
      <c r="C7214" s="4">
        <v>77</v>
      </c>
      <c r="D7214" s="21">
        <f t="shared" si="575"/>
        <v>59686</v>
      </c>
      <c r="E7214" s="4">
        <v>3</v>
      </c>
      <c r="F7214" s="95">
        <f t="shared" si="576"/>
        <v>1222</v>
      </c>
    </row>
    <row r="7215" spans="1:6" x14ac:dyDescent="0.25">
      <c r="A7215" s="105" t="s">
        <v>24</v>
      </c>
      <c r="B7215" s="19">
        <v>44193</v>
      </c>
      <c r="C7215" s="4">
        <v>3</v>
      </c>
      <c r="D7215" s="21">
        <f t="shared" si="575"/>
        <v>1014</v>
      </c>
      <c r="E7215" s="4">
        <v>0</v>
      </c>
      <c r="F7215" s="95">
        <f t="shared" si="576"/>
        <v>11</v>
      </c>
    </row>
    <row r="7216" spans="1:6" x14ac:dyDescent="0.25">
      <c r="A7216" s="105" t="s">
        <v>20</v>
      </c>
      <c r="B7216" s="19">
        <v>44193</v>
      </c>
      <c r="C7216" s="4">
        <v>206</v>
      </c>
      <c r="D7216" s="21">
        <f t="shared" si="575"/>
        <v>39571</v>
      </c>
      <c r="E7216" s="4">
        <v>0</v>
      </c>
      <c r="F7216" s="95">
        <f t="shared" si="576"/>
        <v>688</v>
      </c>
    </row>
    <row r="7217" spans="1:6" x14ac:dyDescent="0.25">
      <c r="A7217" s="105" t="s">
        <v>19</v>
      </c>
      <c r="B7217" s="19">
        <v>44193</v>
      </c>
      <c r="C7217" s="4">
        <v>263</v>
      </c>
      <c r="D7217" s="21">
        <f t="shared" si="575"/>
        <v>37540</v>
      </c>
      <c r="E7217" s="4">
        <v>6</v>
      </c>
      <c r="F7217" s="95">
        <f t="shared" si="576"/>
        <v>890</v>
      </c>
    </row>
    <row r="7218" spans="1:6" x14ac:dyDescent="0.25">
      <c r="A7218" s="105" t="s">
        <v>35</v>
      </c>
      <c r="B7218" s="19">
        <v>44193</v>
      </c>
      <c r="C7218" s="4">
        <v>8</v>
      </c>
      <c r="D7218" s="21">
        <f t="shared" si="575"/>
        <v>22216</v>
      </c>
      <c r="E7218" s="4">
        <v>1</v>
      </c>
      <c r="F7218" s="95">
        <f t="shared" si="576"/>
        <v>1015</v>
      </c>
    </row>
    <row r="7219" spans="1:6" x14ac:dyDescent="0.25">
      <c r="A7219" s="105" t="s">
        <v>36</v>
      </c>
      <c r="B7219" s="19">
        <v>44193</v>
      </c>
      <c r="C7219" s="4">
        <v>150</v>
      </c>
      <c r="D7219" s="21">
        <f t="shared" si="575"/>
        <v>11050</v>
      </c>
      <c r="E7219" s="4">
        <v>1</v>
      </c>
      <c r="F7219" s="95">
        <f t="shared" si="576"/>
        <v>197</v>
      </c>
    </row>
    <row r="7220" spans="1:6" x14ac:dyDescent="0.25">
      <c r="A7220" s="105" t="s">
        <v>37</v>
      </c>
      <c r="B7220" s="19">
        <v>44193</v>
      </c>
      <c r="C7220" s="4">
        <v>34</v>
      </c>
      <c r="D7220" s="21">
        <f t="shared" si="575"/>
        <v>16066</v>
      </c>
      <c r="E7220" s="4">
        <v>1</v>
      </c>
      <c r="F7220" s="95">
        <f t="shared" si="576"/>
        <v>296</v>
      </c>
    </row>
    <row r="7221" spans="1:6" x14ac:dyDescent="0.25">
      <c r="A7221" s="105" t="s">
        <v>38</v>
      </c>
      <c r="B7221" s="19">
        <v>44193</v>
      </c>
      <c r="C7221" s="4">
        <v>265</v>
      </c>
      <c r="D7221" s="21">
        <f t="shared" si="575"/>
        <v>22504</v>
      </c>
      <c r="E7221" s="4">
        <v>9</v>
      </c>
      <c r="F7221" s="95">
        <f t="shared" si="576"/>
        <v>373</v>
      </c>
    </row>
    <row r="7222" spans="1:6" x14ac:dyDescent="0.25">
      <c r="A7222" s="105" t="s">
        <v>23</v>
      </c>
      <c r="B7222" s="19">
        <v>44193</v>
      </c>
      <c r="C7222" s="4">
        <v>718</v>
      </c>
      <c r="D7222" s="21">
        <f t="shared" si="575"/>
        <v>172488</v>
      </c>
      <c r="E7222" s="4">
        <v>55</v>
      </c>
      <c r="F7222" s="95">
        <f t="shared" si="576"/>
        <v>2898</v>
      </c>
    </row>
    <row r="7223" spans="1:6" x14ac:dyDescent="0.25">
      <c r="A7223" s="105" t="s">
        <v>39</v>
      </c>
      <c r="B7223" s="19">
        <v>44193</v>
      </c>
      <c r="C7223" s="4">
        <v>61</v>
      </c>
      <c r="D7223" s="21">
        <f t="shared" si="575"/>
        <v>17132</v>
      </c>
      <c r="E7223" s="4">
        <v>0</v>
      </c>
      <c r="F7223" s="95">
        <f t="shared" si="576"/>
        <v>217</v>
      </c>
    </row>
    <row r="7224" spans="1:6" x14ac:dyDescent="0.25">
      <c r="A7224" s="105" t="s">
        <v>40</v>
      </c>
      <c r="B7224" s="19">
        <v>44193</v>
      </c>
      <c r="C7224" s="4">
        <v>63</v>
      </c>
      <c r="D7224" s="21">
        <f t="shared" si="575"/>
        <v>18802</v>
      </c>
      <c r="E7224" s="4">
        <v>0</v>
      </c>
      <c r="F7224" s="95">
        <f t="shared" si="576"/>
        <v>248</v>
      </c>
    </row>
    <row r="7225" spans="1:6" x14ac:dyDescent="0.25">
      <c r="A7225" s="107" t="s">
        <v>41</v>
      </c>
      <c r="B7225" s="29">
        <v>44193</v>
      </c>
      <c r="C7225" s="30">
        <v>160</v>
      </c>
      <c r="D7225" s="59">
        <f t="shared" si="575"/>
        <v>70567</v>
      </c>
      <c r="E7225" s="30">
        <v>1</v>
      </c>
      <c r="F7225" s="104">
        <f t="shared" si="576"/>
        <v>1336</v>
      </c>
    </row>
    <row r="7226" spans="1:6" x14ac:dyDescent="0.25">
      <c r="A7226" s="42" t="s">
        <v>17</v>
      </c>
      <c r="B7226" s="19">
        <v>44194</v>
      </c>
      <c r="C7226" s="4">
        <v>4417</v>
      </c>
      <c r="D7226" s="21">
        <f t="shared" si="575"/>
        <v>675280</v>
      </c>
      <c r="E7226" s="4">
        <v>67</v>
      </c>
      <c r="F7226" s="57">
        <f t="shared" si="576"/>
        <v>22256</v>
      </c>
    </row>
    <row r="7227" spans="1:6" x14ac:dyDescent="0.25">
      <c r="A7227" s="42" t="s">
        <v>44</v>
      </c>
      <c r="B7227" s="19">
        <v>44194</v>
      </c>
      <c r="C7227" s="4">
        <v>996</v>
      </c>
      <c r="D7227" s="21">
        <f t="shared" si="575"/>
        <v>172186</v>
      </c>
      <c r="E7227" s="4">
        <v>11</v>
      </c>
      <c r="F7227" s="57">
        <f t="shared" si="576"/>
        <v>5484</v>
      </c>
    </row>
    <row r="7228" spans="1:6" x14ac:dyDescent="0.25">
      <c r="A7228" s="42" t="s">
        <v>29</v>
      </c>
      <c r="B7228" s="19">
        <v>44194</v>
      </c>
      <c r="C7228" s="4">
        <v>16</v>
      </c>
      <c r="D7228" s="21">
        <f t="shared" si="575"/>
        <v>2623</v>
      </c>
      <c r="E7228" s="4">
        <v>0</v>
      </c>
      <c r="F7228" s="57">
        <f t="shared" si="576"/>
        <v>17</v>
      </c>
    </row>
    <row r="7229" spans="1:6" x14ac:dyDescent="0.25">
      <c r="A7229" s="42" t="s">
        <v>16</v>
      </c>
      <c r="B7229" s="19">
        <v>44194</v>
      </c>
      <c r="C7229" s="4">
        <v>306</v>
      </c>
      <c r="D7229" s="21">
        <f t="shared" si="575"/>
        <v>24274</v>
      </c>
      <c r="E7229" s="4">
        <v>5</v>
      </c>
      <c r="F7229" s="57">
        <f t="shared" si="576"/>
        <v>686</v>
      </c>
    </row>
    <row r="7230" spans="1:6" x14ac:dyDescent="0.25">
      <c r="A7230" s="42" t="s">
        <v>30</v>
      </c>
      <c r="B7230" s="19">
        <v>44194</v>
      </c>
      <c r="C7230" s="4">
        <v>606</v>
      </c>
      <c r="D7230" s="21">
        <f t="shared" si="575"/>
        <v>30938</v>
      </c>
      <c r="E7230" s="4">
        <v>2</v>
      </c>
      <c r="F7230" s="57">
        <f t="shared" si="576"/>
        <v>493</v>
      </c>
    </row>
    <row r="7231" spans="1:6" x14ac:dyDescent="0.25">
      <c r="A7231" s="42" t="s">
        <v>21</v>
      </c>
      <c r="B7231" s="19">
        <v>44194</v>
      </c>
      <c r="C7231" s="4">
        <v>775</v>
      </c>
      <c r="D7231" s="21">
        <f t="shared" si="575"/>
        <v>126154</v>
      </c>
      <c r="E7231" s="4">
        <v>2</v>
      </c>
      <c r="F7231" s="57">
        <f t="shared" si="576"/>
        <v>2461</v>
      </c>
    </row>
    <row r="7232" spans="1:6" x14ac:dyDescent="0.25">
      <c r="A7232" s="42" t="s">
        <v>31</v>
      </c>
      <c r="B7232" s="19">
        <v>44194</v>
      </c>
      <c r="C7232" s="4">
        <v>216</v>
      </c>
      <c r="D7232" s="21">
        <f t="shared" si="575"/>
        <v>11782</v>
      </c>
      <c r="E7232" s="4">
        <v>5</v>
      </c>
      <c r="F7232" s="57">
        <f t="shared" si="576"/>
        <v>163</v>
      </c>
    </row>
    <row r="7233" spans="1:6" x14ac:dyDescent="0.25">
      <c r="A7233" s="42" t="s">
        <v>32</v>
      </c>
      <c r="B7233" s="19">
        <v>44194</v>
      </c>
      <c r="C7233" s="4">
        <v>327</v>
      </c>
      <c r="D7233" s="21">
        <f t="shared" si="575"/>
        <v>28583</v>
      </c>
      <c r="E7233" s="4">
        <v>2</v>
      </c>
      <c r="F7233" s="57">
        <f t="shared" si="576"/>
        <v>576</v>
      </c>
    </row>
    <row r="7234" spans="1:6" x14ac:dyDescent="0.25">
      <c r="A7234" s="42" t="s">
        <v>42</v>
      </c>
      <c r="B7234" s="19">
        <v>44194</v>
      </c>
      <c r="C7234" s="4">
        <v>-9</v>
      </c>
      <c r="D7234" s="21">
        <f t="shared" si="575"/>
        <v>212</v>
      </c>
      <c r="E7234" s="4">
        <v>0</v>
      </c>
      <c r="F7234" s="57">
        <f t="shared" si="576"/>
        <v>3</v>
      </c>
    </row>
    <row r="7235" spans="1:6" x14ac:dyDescent="0.25">
      <c r="A7235" s="42" t="s">
        <v>33</v>
      </c>
      <c r="B7235" s="19">
        <v>44194</v>
      </c>
      <c r="C7235" s="4">
        <v>14</v>
      </c>
      <c r="D7235" s="21">
        <f t="shared" si="575"/>
        <v>18523</v>
      </c>
      <c r="E7235" s="4">
        <v>0</v>
      </c>
      <c r="F7235" s="57">
        <f t="shared" si="576"/>
        <v>858</v>
      </c>
    </row>
    <row r="7236" spans="1:6" x14ac:dyDescent="0.25">
      <c r="A7236" s="42" t="s">
        <v>34</v>
      </c>
      <c r="B7236" s="19">
        <v>44194</v>
      </c>
      <c r="C7236" s="4">
        <v>314</v>
      </c>
      <c r="D7236" s="21">
        <f t="shared" si="575"/>
        <v>10228</v>
      </c>
      <c r="E7236" s="4">
        <v>0</v>
      </c>
      <c r="F7236" s="57">
        <f t="shared" si="576"/>
        <v>124</v>
      </c>
    </row>
    <row r="7237" spans="1:6" x14ac:dyDescent="0.25">
      <c r="A7237" s="42" t="s">
        <v>22</v>
      </c>
      <c r="B7237" s="19">
        <v>44194</v>
      </c>
      <c r="C7237" s="4">
        <v>3</v>
      </c>
      <c r="D7237" s="21">
        <f t="shared" si="575"/>
        <v>9075</v>
      </c>
      <c r="E7237" s="4">
        <v>0</v>
      </c>
      <c r="F7237" s="57">
        <f t="shared" si="576"/>
        <v>388</v>
      </c>
    </row>
    <row r="7238" spans="1:6" x14ac:dyDescent="0.25">
      <c r="A7238" s="42" t="s">
        <v>18</v>
      </c>
      <c r="B7238" s="19">
        <v>44194</v>
      </c>
      <c r="C7238" s="4">
        <v>161</v>
      </c>
      <c r="D7238" s="21">
        <f t="shared" si="575"/>
        <v>59847</v>
      </c>
      <c r="E7238" s="4">
        <v>7</v>
      </c>
      <c r="F7238" s="57">
        <f t="shared" si="576"/>
        <v>1229</v>
      </c>
    </row>
    <row r="7239" spans="1:6" x14ac:dyDescent="0.25">
      <c r="A7239" s="42" t="s">
        <v>24</v>
      </c>
      <c r="B7239" s="19">
        <v>44194</v>
      </c>
      <c r="C7239" s="4">
        <v>30</v>
      </c>
      <c r="D7239" s="21">
        <f t="shared" si="575"/>
        <v>1044</v>
      </c>
      <c r="E7239" s="4">
        <v>0</v>
      </c>
      <c r="F7239" s="57">
        <f t="shared" si="576"/>
        <v>11</v>
      </c>
    </row>
    <row r="7240" spans="1:6" x14ac:dyDescent="0.25">
      <c r="A7240" s="42" t="s">
        <v>20</v>
      </c>
      <c r="B7240" s="19">
        <v>44194</v>
      </c>
      <c r="C7240" s="4">
        <v>558</v>
      </c>
      <c r="D7240" s="21">
        <f t="shared" si="575"/>
        <v>40129</v>
      </c>
      <c r="E7240" s="4">
        <v>0</v>
      </c>
      <c r="F7240" s="57">
        <f t="shared" si="576"/>
        <v>688</v>
      </c>
    </row>
    <row r="7241" spans="1:6" x14ac:dyDescent="0.25">
      <c r="A7241" s="42" t="s">
        <v>19</v>
      </c>
      <c r="B7241" s="19">
        <v>44194</v>
      </c>
      <c r="C7241" s="4">
        <v>387</v>
      </c>
      <c r="D7241" s="21">
        <f t="shared" si="575"/>
        <v>37927</v>
      </c>
      <c r="E7241" s="4">
        <v>3</v>
      </c>
      <c r="F7241" s="57">
        <f t="shared" si="576"/>
        <v>893</v>
      </c>
    </row>
    <row r="7242" spans="1:6" x14ac:dyDescent="0.25">
      <c r="A7242" s="42" t="s">
        <v>35</v>
      </c>
      <c r="B7242" s="19">
        <v>44194</v>
      </c>
      <c r="C7242" s="4">
        <v>40</v>
      </c>
      <c r="D7242" s="21">
        <f t="shared" si="575"/>
        <v>22256</v>
      </c>
      <c r="E7242" s="4">
        <v>3</v>
      </c>
      <c r="F7242" s="57">
        <f t="shared" si="576"/>
        <v>1018</v>
      </c>
    </row>
    <row r="7243" spans="1:6" x14ac:dyDescent="0.25">
      <c r="A7243" s="42" t="s">
        <v>36</v>
      </c>
      <c r="B7243" s="19">
        <v>44194</v>
      </c>
      <c r="C7243" s="4">
        <v>305</v>
      </c>
      <c r="D7243" s="21">
        <f t="shared" si="575"/>
        <v>11355</v>
      </c>
      <c r="E7243" s="4">
        <v>1</v>
      </c>
      <c r="F7243" s="57">
        <f t="shared" si="576"/>
        <v>198</v>
      </c>
    </row>
    <row r="7244" spans="1:6" x14ac:dyDescent="0.25">
      <c r="A7244" s="42" t="s">
        <v>37</v>
      </c>
      <c r="B7244" s="19">
        <v>44194</v>
      </c>
      <c r="C7244" s="4">
        <v>55</v>
      </c>
      <c r="D7244" s="21">
        <f t="shared" si="575"/>
        <v>16121</v>
      </c>
      <c r="E7244" s="4">
        <v>4</v>
      </c>
      <c r="F7244" s="57">
        <f t="shared" si="576"/>
        <v>300</v>
      </c>
    </row>
    <row r="7245" spans="1:6" x14ac:dyDescent="0.25">
      <c r="A7245" s="42" t="s">
        <v>38</v>
      </c>
      <c r="B7245" s="19">
        <v>44194</v>
      </c>
      <c r="C7245" s="4">
        <v>397</v>
      </c>
      <c r="D7245" s="21">
        <f t="shared" si="575"/>
        <v>22901</v>
      </c>
      <c r="E7245" s="4">
        <v>4</v>
      </c>
      <c r="F7245" s="57">
        <f t="shared" si="576"/>
        <v>377</v>
      </c>
    </row>
    <row r="7246" spans="1:6" x14ac:dyDescent="0.25">
      <c r="A7246" s="42" t="s">
        <v>23</v>
      </c>
      <c r="B7246" s="19">
        <v>44194</v>
      </c>
      <c r="C7246" s="4">
        <v>1226</v>
      </c>
      <c r="D7246" s="21">
        <f t="shared" si="575"/>
        <v>173714</v>
      </c>
      <c r="E7246" s="4">
        <v>17</v>
      </c>
      <c r="F7246" s="57">
        <f t="shared" si="576"/>
        <v>2915</v>
      </c>
    </row>
    <row r="7247" spans="1:6" x14ac:dyDescent="0.25">
      <c r="A7247" s="42" t="s">
        <v>39</v>
      </c>
      <c r="B7247" s="19">
        <v>44194</v>
      </c>
      <c r="C7247" s="4">
        <v>75</v>
      </c>
      <c r="D7247" s="21">
        <f t="shared" si="575"/>
        <v>17207</v>
      </c>
      <c r="E7247" s="4">
        <v>1</v>
      </c>
      <c r="F7247" s="57">
        <f t="shared" si="576"/>
        <v>218</v>
      </c>
    </row>
    <row r="7248" spans="1:6" x14ac:dyDescent="0.25">
      <c r="A7248" s="42" t="s">
        <v>40</v>
      </c>
      <c r="B7248" s="19">
        <v>44194</v>
      </c>
      <c r="C7248" s="4">
        <v>159</v>
      </c>
      <c r="D7248" s="21">
        <f t="shared" si="575"/>
        <v>18961</v>
      </c>
      <c r="E7248" s="4">
        <v>0</v>
      </c>
      <c r="F7248" s="57">
        <f t="shared" si="576"/>
        <v>248</v>
      </c>
    </row>
    <row r="7249" spans="1:6" x14ac:dyDescent="0.25">
      <c r="A7249" s="42" t="s">
        <v>41</v>
      </c>
      <c r="B7249" s="19">
        <v>44194</v>
      </c>
      <c r="C7249" s="4">
        <v>276</v>
      </c>
      <c r="D7249" s="21">
        <f t="shared" si="575"/>
        <v>70843</v>
      </c>
      <c r="E7249" s="4">
        <v>17</v>
      </c>
      <c r="F7249" s="57">
        <f t="shared" si="576"/>
        <v>1353</v>
      </c>
    </row>
    <row r="7250" spans="1:6" x14ac:dyDescent="0.25">
      <c r="A7250" s="42" t="s">
        <v>17</v>
      </c>
      <c r="B7250" s="19">
        <v>44195</v>
      </c>
      <c r="C7250" s="4">
        <v>4761</v>
      </c>
      <c r="D7250" s="21">
        <f t="shared" ref="D7250:D7313" si="577">C7250+D7226</f>
        <v>680041</v>
      </c>
      <c r="E7250" s="4">
        <v>36</v>
      </c>
      <c r="F7250" s="57">
        <f t="shared" ref="F7250:F7313" si="578">E7250+F7226</f>
        <v>22292</v>
      </c>
    </row>
    <row r="7251" spans="1:6" x14ac:dyDescent="0.25">
      <c r="A7251" s="42" t="s">
        <v>44</v>
      </c>
      <c r="B7251" s="19">
        <v>44195</v>
      </c>
      <c r="C7251" s="4">
        <v>1076</v>
      </c>
      <c r="D7251" s="21">
        <f t="shared" si="577"/>
        <v>173262</v>
      </c>
      <c r="E7251" s="4">
        <v>15</v>
      </c>
      <c r="F7251" s="57">
        <f t="shared" si="578"/>
        <v>5499</v>
      </c>
    </row>
    <row r="7252" spans="1:6" x14ac:dyDescent="0.25">
      <c r="A7252" s="42" t="s">
        <v>29</v>
      </c>
      <c r="B7252" s="19">
        <v>44195</v>
      </c>
      <c r="C7252" s="4">
        <v>62</v>
      </c>
      <c r="D7252" s="21">
        <f t="shared" si="577"/>
        <v>2685</v>
      </c>
      <c r="E7252" s="4">
        <v>0</v>
      </c>
      <c r="F7252" s="57">
        <f t="shared" si="578"/>
        <v>17</v>
      </c>
    </row>
    <row r="7253" spans="1:6" x14ac:dyDescent="0.25">
      <c r="A7253" s="42" t="s">
        <v>16</v>
      </c>
      <c r="B7253" s="19">
        <v>44195</v>
      </c>
      <c r="C7253" s="4">
        <v>249</v>
      </c>
      <c r="D7253" s="21">
        <f t="shared" si="577"/>
        <v>24523</v>
      </c>
      <c r="E7253" s="4">
        <v>6</v>
      </c>
      <c r="F7253" s="57">
        <f t="shared" si="578"/>
        <v>692</v>
      </c>
    </row>
    <row r="7254" spans="1:6" x14ac:dyDescent="0.25">
      <c r="A7254" s="42" t="s">
        <v>30</v>
      </c>
      <c r="B7254" s="19">
        <v>44195</v>
      </c>
      <c r="C7254" s="4">
        <v>538</v>
      </c>
      <c r="D7254" s="21">
        <f t="shared" si="577"/>
        <v>31476</v>
      </c>
      <c r="E7254" s="4">
        <v>0</v>
      </c>
      <c r="F7254" s="57">
        <f t="shared" si="578"/>
        <v>493</v>
      </c>
    </row>
    <row r="7255" spans="1:6" x14ac:dyDescent="0.25">
      <c r="A7255" s="42" t="s">
        <v>21</v>
      </c>
      <c r="B7255" s="19">
        <v>44195</v>
      </c>
      <c r="C7255" s="4">
        <v>763</v>
      </c>
      <c r="D7255" s="21">
        <f t="shared" si="577"/>
        <v>126917</v>
      </c>
      <c r="E7255" s="4">
        <v>3</v>
      </c>
      <c r="F7255" s="57">
        <f t="shared" si="578"/>
        <v>2464</v>
      </c>
    </row>
    <row r="7256" spans="1:6" x14ac:dyDescent="0.25">
      <c r="A7256" s="42" t="s">
        <v>31</v>
      </c>
      <c r="B7256" s="19">
        <v>44195</v>
      </c>
      <c r="C7256" s="4">
        <v>118</v>
      </c>
      <c r="D7256" s="21">
        <f t="shared" si="577"/>
        <v>11900</v>
      </c>
      <c r="E7256" s="4">
        <v>6</v>
      </c>
      <c r="F7256" s="57">
        <f t="shared" si="578"/>
        <v>169</v>
      </c>
    </row>
    <row r="7257" spans="1:6" x14ac:dyDescent="0.25">
      <c r="A7257" s="42" t="s">
        <v>32</v>
      </c>
      <c r="B7257" s="19">
        <v>44195</v>
      </c>
      <c r="C7257" s="4">
        <v>419</v>
      </c>
      <c r="D7257" s="21">
        <f t="shared" si="577"/>
        <v>29002</v>
      </c>
      <c r="E7257" s="4">
        <v>4</v>
      </c>
      <c r="F7257" s="57">
        <f t="shared" si="578"/>
        <v>580</v>
      </c>
    </row>
    <row r="7258" spans="1:6" x14ac:dyDescent="0.25">
      <c r="A7258" s="42" t="s">
        <v>42</v>
      </c>
      <c r="B7258" s="19">
        <v>44195</v>
      </c>
      <c r="C7258" s="4">
        <v>0</v>
      </c>
      <c r="D7258" s="21">
        <f t="shared" si="577"/>
        <v>212</v>
      </c>
      <c r="E7258" s="4">
        <v>0</v>
      </c>
      <c r="F7258" s="57">
        <f t="shared" si="578"/>
        <v>3</v>
      </c>
    </row>
    <row r="7259" spans="1:6" x14ac:dyDescent="0.25">
      <c r="A7259" s="42" t="s">
        <v>33</v>
      </c>
      <c r="B7259" s="19">
        <v>44195</v>
      </c>
      <c r="C7259" s="4">
        <v>22</v>
      </c>
      <c r="D7259" s="21">
        <f t="shared" si="577"/>
        <v>18545</v>
      </c>
      <c r="E7259" s="4">
        <v>0</v>
      </c>
      <c r="F7259" s="57">
        <f t="shared" si="578"/>
        <v>858</v>
      </c>
    </row>
    <row r="7260" spans="1:6" x14ac:dyDescent="0.25">
      <c r="A7260" s="42" t="s">
        <v>34</v>
      </c>
      <c r="B7260" s="19">
        <v>44195</v>
      </c>
      <c r="C7260" s="4">
        <v>321</v>
      </c>
      <c r="D7260" s="21">
        <f t="shared" si="577"/>
        <v>10549</v>
      </c>
      <c r="E7260" s="4">
        <v>0</v>
      </c>
      <c r="F7260" s="57">
        <f t="shared" si="578"/>
        <v>124</v>
      </c>
    </row>
    <row r="7261" spans="1:6" x14ac:dyDescent="0.25">
      <c r="A7261" s="42" t="s">
        <v>22</v>
      </c>
      <c r="B7261" s="19">
        <v>44195</v>
      </c>
      <c r="C7261" s="4">
        <v>10</v>
      </c>
      <c r="D7261" s="21">
        <f t="shared" si="577"/>
        <v>9085</v>
      </c>
      <c r="E7261" s="4">
        <v>0</v>
      </c>
      <c r="F7261" s="57">
        <f t="shared" si="578"/>
        <v>388</v>
      </c>
    </row>
    <row r="7262" spans="1:6" x14ac:dyDescent="0.25">
      <c r="A7262" s="42" t="s">
        <v>18</v>
      </c>
      <c r="B7262" s="19">
        <v>44195</v>
      </c>
      <c r="C7262" s="4">
        <v>169</v>
      </c>
      <c r="D7262" s="21">
        <f t="shared" si="577"/>
        <v>60016</v>
      </c>
      <c r="E7262" s="4">
        <v>2</v>
      </c>
      <c r="F7262" s="57">
        <f t="shared" si="578"/>
        <v>1231</v>
      </c>
    </row>
    <row r="7263" spans="1:6" x14ac:dyDescent="0.25">
      <c r="A7263" s="42" t="s">
        <v>24</v>
      </c>
      <c r="B7263" s="19">
        <v>44195</v>
      </c>
      <c r="C7263" s="4">
        <v>32</v>
      </c>
      <c r="D7263" s="21">
        <f t="shared" si="577"/>
        <v>1076</v>
      </c>
      <c r="E7263" s="4">
        <v>0</v>
      </c>
      <c r="F7263" s="57">
        <f t="shared" si="578"/>
        <v>11</v>
      </c>
    </row>
    <row r="7264" spans="1:6" x14ac:dyDescent="0.25">
      <c r="A7264" s="42" t="s">
        <v>20</v>
      </c>
      <c r="B7264" s="19">
        <v>44195</v>
      </c>
      <c r="C7264" s="4">
        <v>518</v>
      </c>
      <c r="D7264" s="21">
        <f t="shared" si="577"/>
        <v>40647</v>
      </c>
      <c r="E7264" s="4">
        <v>23</v>
      </c>
      <c r="F7264" s="57">
        <f t="shared" si="578"/>
        <v>711</v>
      </c>
    </row>
    <row r="7265" spans="1:7" x14ac:dyDescent="0.25">
      <c r="A7265" s="42" t="s">
        <v>19</v>
      </c>
      <c r="B7265" s="19">
        <v>44195</v>
      </c>
      <c r="C7265" s="4">
        <v>387</v>
      </c>
      <c r="D7265" s="21">
        <f t="shared" si="577"/>
        <v>38314</v>
      </c>
      <c r="E7265" s="4">
        <v>7</v>
      </c>
      <c r="F7265" s="57">
        <f t="shared" si="578"/>
        <v>900</v>
      </c>
    </row>
    <row r="7266" spans="1:7" x14ac:dyDescent="0.25">
      <c r="A7266" s="42" t="s">
        <v>35</v>
      </c>
      <c r="B7266" s="19">
        <v>44195</v>
      </c>
      <c r="C7266" s="4">
        <v>52</v>
      </c>
      <c r="D7266" s="21">
        <f t="shared" si="577"/>
        <v>22308</v>
      </c>
      <c r="E7266" s="4">
        <v>1</v>
      </c>
      <c r="F7266" s="57">
        <f t="shared" si="578"/>
        <v>1019</v>
      </c>
    </row>
    <row r="7267" spans="1:7" x14ac:dyDescent="0.25">
      <c r="A7267" s="42" t="s">
        <v>36</v>
      </c>
      <c r="B7267" s="19">
        <v>44195</v>
      </c>
      <c r="C7267" s="4">
        <v>148</v>
      </c>
      <c r="D7267" s="21">
        <f t="shared" si="577"/>
        <v>11503</v>
      </c>
      <c r="E7267" s="4">
        <v>0</v>
      </c>
      <c r="F7267" s="57">
        <f t="shared" si="578"/>
        <v>198</v>
      </c>
    </row>
    <row r="7268" spans="1:7" x14ac:dyDescent="0.25">
      <c r="A7268" s="42" t="s">
        <v>37</v>
      </c>
      <c r="B7268" s="19">
        <v>44195</v>
      </c>
      <c r="C7268" s="4">
        <v>38</v>
      </c>
      <c r="D7268" s="21">
        <f t="shared" si="577"/>
        <v>16159</v>
      </c>
      <c r="E7268" s="4">
        <v>0</v>
      </c>
      <c r="F7268" s="57">
        <f t="shared" si="578"/>
        <v>300</v>
      </c>
    </row>
    <row r="7269" spans="1:7" x14ac:dyDescent="0.25">
      <c r="A7269" s="42" t="s">
        <v>38</v>
      </c>
      <c r="B7269" s="19">
        <v>44195</v>
      </c>
      <c r="C7269" s="4">
        <v>434</v>
      </c>
      <c r="D7269" s="21">
        <f t="shared" si="577"/>
        <v>23335</v>
      </c>
      <c r="E7269" s="4">
        <v>1</v>
      </c>
      <c r="F7269" s="57">
        <f t="shared" si="578"/>
        <v>378</v>
      </c>
    </row>
    <row r="7270" spans="1:7" x14ac:dyDescent="0.25">
      <c r="A7270" s="42" t="s">
        <v>23</v>
      </c>
      <c r="B7270" s="19">
        <v>44195</v>
      </c>
      <c r="C7270" s="4">
        <v>1307</v>
      </c>
      <c r="D7270" s="21">
        <f t="shared" si="577"/>
        <v>175021</v>
      </c>
      <c r="E7270" s="4">
        <v>25</v>
      </c>
      <c r="F7270" s="57">
        <f t="shared" si="578"/>
        <v>2940</v>
      </c>
    </row>
    <row r="7271" spans="1:7" x14ac:dyDescent="0.25">
      <c r="A7271" s="42" t="s">
        <v>39</v>
      </c>
      <c r="B7271" s="19">
        <v>44195</v>
      </c>
      <c r="C7271" s="4">
        <v>123</v>
      </c>
      <c r="D7271" s="21">
        <f t="shared" si="577"/>
        <v>17330</v>
      </c>
      <c r="E7271" s="4">
        <v>0</v>
      </c>
      <c r="F7271" s="57">
        <f t="shared" si="578"/>
        <v>218</v>
      </c>
    </row>
    <row r="7272" spans="1:7" x14ac:dyDescent="0.25">
      <c r="A7272" s="42" t="s">
        <v>40</v>
      </c>
      <c r="B7272" s="19">
        <v>44195</v>
      </c>
      <c r="C7272" s="4">
        <v>67</v>
      </c>
      <c r="D7272" s="21">
        <f t="shared" si="577"/>
        <v>19028</v>
      </c>
      <c r="E7272" s="4">
        <v>3</v>
      </c>
      <c r="F7272" s="57">
        <f t="shared" si="578"/>
        <v>251</v>
      </c>
    </row>
    <row r="7273" spans="1:7" x14ac:dyDescent="0.25">
      <c r="A7273" s="42" t="s">
        <v>41</v>
      </c>
      <c r="B7273" s="19">
        <v>44195</v>
      </c>
      <c r="C7273" s="30">
        <v>151</v>
      </c>
      <c r="D7273" s="21">
        <f t="shared" si="577"/>
        <v>70994</v>
      </c>
      <c r="E7273" s="4">
        <v>13</v>
      </c>
      <c r="F7273" s="57">
        <f t="shared" si="578"/>
        <v>1366</v>
      </c>
    </row>
    <row r="7274" spans="1:7" x14ac:dyDescent="0.25">
      <c r="A7274" s="42" t="s">
        <v>17</v>
      </c>
      <c r="B7274" s="182">
        <v>44196</v>
      </c>
      <c r="C7274" s="186">
        <v>4724</v>
      </c>
      <c r="D7274" s="183">
        <f t="shared" si="577"/>
        <v>684765</v>
      </c>
      <c r="E7274" s="4">
        <v>57</v>
      </c>
      <c r="F7274" s="57">
        <f t="shared" si="578"/>
        <v>22349</v>
      </c>
    </row>
    <row r="7275" spans="1:7" x14ac:dyDescent="0.25">
      <c r="A7275" s="42" t="s">
        <v>44</v>
      </c>
      <c r="B7275" s="182">
        <v>44196</v>
      </c>
      <c r="C7275" s="186">
        <v>1337</v>
      </c>
      <c r="D7275" s="183">
        <f t="shared" si="577"/>
        <v>174599</v>
      </c>
      <c r="E7275" s="4">
        <v>5</v>
      </c>
      <c r="F7275" s="57">
        <f t="shared" si="578"/>
        <v>5504</v>
      </c>
      <c r="G7275" s="62"/>
    </row>
    <row r="7276" spans="1:7" x14ac:dyDescent="0.25">
      <c r="A7276" s="42" t="s">
        <v>29</v>
      </c>
      <c r="B7276" s="182">
        <v>44196</v>
      </c>
      <c r="C7276" s="186">
        <v>82</v>
      </c>
      <c r="D7276" s="183">
        <f t="shared" si="577"/>
        <v>2767</v>
      </c>
      <c r="F7276" s="57">
        <f t="shared" si="578"/>
        <v>17</v>
      </c>
      <c r="G7276" s="62"/>
    </row>
    <row r="7277" spans="1:7" x14ac:dyDescent="0.25">
      <c r="A7277" s="42" t="s">
        <v>16</v>
      </c>
      <c r="B7277" s="182">
        <v>44196</v>
      </c>
      <c r="C7277" s="186">
        <v>259</v>
      </c>
      <c r="D7277" s="183">
        <f t="shared" si="577"/>
        <v>24782</v>
      </c>
      <c r="E7277" s="4">
        <v>2</v>
      </c>
      <c r="F7277" s="57">
        <f t="shared" si="578"/>
        <v>694</v>
      </c>
      <c r="G7277" s="62"/>
    </row>
    <row r="7278" spans="1:7" x14ac:dyDescent="0.25">
      <c r="A7278" s="42" t="s">
        <v>30</v>
      </c>
      <c r="B7278" s="182">
        <v>44196</v>
      </c>
      <c r="C7278" s="186">
        <v>455</v>
      </c>
      <c r="D7278" s="183">
        <f t="shared" si="577"/>
        <v>31931</v>
      </c>
      <c r="F7278" s="57">
        <f t="shared" si="578"/>
        <v>493</v>
      </c>
      <c r="G7278" s="62"/>
    </row>
    <row r="7279" spans="1:7" x14ac:dyDescent="0.25">
      <c r="A7279" s="42" t="s">
        <v>21</v>
      </c>
      <c r="B7279" s="182">
        <v>44196</v>
      </c>
      <c r="C7279" s="186">
        <v>780</v>
      </c>
      <c r="D7279" s="183">
        <f t="shared" si="577"/>
        <v>127697</v>
      </c>
      <c r="E7279" s="4">
        <v>5</v>
      </c>
      <c r="F7279" s="57">
        <f t="shared" si="578"/>
        <v>2469</v>
      </c>
      <c r="G7279" s="62"/>
    </row>
    <row r="7280" spans="1:7" x14ac:dyDescent="0.25">
      <c r="A7280" s="42" t="s">
        <v>31</v>
      </c>
      <c r="B7280" s="182">
        <v>44196</v>
      </c>
      <c r="C7280" s="186">
        <v>75</v>
      </c>
      <c r="D7280" s="183">
        <f t="shared" si="577"/>
        <v>11975</v>
      </c>
      <c r="F7280" s="57">
        <f t="shared" si="578"/>
        <v>169</v>
      </c>
      <c r="G7280" s="62"/>
    </row>
    <row r="7281" spans="1:7" x14ac:dyDescent="0.25">
      <c r="A7281" s="42" t="s">
        <v>32</v>
      </c>
      <c r="B7281" s="182">
        <v>44196</v>
      </c>
      <c r="C7281" s="186">
        <v>491</v>
      </c>
      <c r="D7281" s="183">
        <f t="shared" si="577"/>
        <v>29493</v>
      </c>
      <c r="E7281" s="4">
        <v>3</v>
      </c>
      <c r="F7281" s="57">
        <f t="shared" si="578"/>
        <v>583</v>
      </c>
      <c r="G7281" s="62"/>
    </row>
    <row r="7282" spans="1:7" x14ac:dyDescent="0.25">
      <c r="A7282" s="42" t="s">
        <v>42</v>
      </c>
      <c r="B7282" s="182">
        <v>44196</v>
      </c>
      <c r="C7282" s="186">
        <v>6</v>
      </c>
      <c r="D7282" s="183">
        <f t="shared" si="577"/>
        <v>218</v>
      </c>
      <c r="F7282" s="57">
        <f t="shared" si="578"/>
        <v>3</v>
      </c>
      <c r="G7282" s="62"/>
    </row>
    <row r="7283" spans="1:7" x14ac:dyDescent="0.25">
      <c r="A7283" s="42" t="s">
        <v>33</v>
      </c>
      <c r="B7283" s="182">
        <v>44196</v>
      </c>
      <c r="C7283" s="186">
        <v>6</v>
      </c>
      <c r="D7283" s="183">
        <f t="shared" si="577"/>
        <v>18551</v>
      </c>
      <c r="F7283" s="57">
        <f t="shared" si="578"/>
        <v>858</v>
      </c>
      <c r="G7283" s="62"/>
    </row>
    <row r="7284" spans="1:7" x14ac:dyDescent="0.25">
      <c r="A7284" s="42" t="s">
        <v>34</v>
      </c>
      <c r="B7284" s="182">
        <v>44196</v>
      </c>
      <c r="C7284" s="186">
        <v>302</v>
      </c>
      <c r="D7284" s="183">
        <f t="shared" si="577"/>
        <v>10851</v>
      </c>
      <c r="F7284" s="57">
        <f t="shared" si="578"/>
        <v>124</v>
      </c>
      <c r="G7284" s="62"/>
    </row>
    <row r="7285" spans="1:7" x14ac:dyDescent="0.25">
      <c r="A7285" s="42" t="s">
        <v>22</v>
      </c>
      <c r="B7285" s="182">
        <v>44196</v>
      </c>
      <c r="C7285" s="186">
        <v>9</v>
      </c>
      <c r="D7285" s="183">
        <f t="shared" si="577"/>
        <v>9094</v>
      </c>
      <c r="F7285" s="57">
        <f t="shared" si="578"/>
        <v>388</v>
      </c>
      <c r="G7285" s="62"/>
    </row>
    <row r="7286" spans="1:7" x14ac:dyDescent="0.25">
      <c r="A7286" s="42" t="s">
        <v>18</v>
      </c>
      <c r="B7286" s="182">
        <v>44196</v>
      </c>
      <c r="C7286" s="186">
        <v>131</v>
      </c>
      <c r="D7286" s="183">
        <f t="shared" si="577"/>
        <v>60147</v>
      </c>
      <c r="F7286" s="57">
        <f t="shared" si="578"/>
        <v>1231</v>
      </c>
      <c r="G7286" s="62"/>
    </row>
    <row r="7287" spans="1:7" x14ac:dyDescent="0.25">
      <c r="A7287" s="42" t="s">
        <v>24</v>
      </c>
      <c r="B7287" s="182">
        <v>44196</v>
      </c>
      <c r="C7287" s="186">
        <v>6</v>
      </c>
      <c r="D7287" s="183">
        <f t="shared" si="577"/>
        <v>1082</v>
      </c>
      <c r="E7287" s="4">
        <v>1</v>
      </c>
      <c r="F7287" s="57">
        <f t="shared" si="578"/>
        <v>12</v>
      </c>
      <c r="G7287" s="62"/>
    </row>
    <row r="7288" spans="1:7" x14ac:dyDescent="0.25">
      <c r="A7288" s="42" t="s">
        <v>20</v>
      </c>
      <c r="B7288" s="182">
        <v>44196</v>
      </c>
      <c r="C7288" s="186">
        <v>403</v>
      </c>
      <c r="D7288" s="183">
        <f t="shared" si="577"/>
        <v>41050</v>
      </c>
      <c r="F7288" s="57">
        <f t="shared" si="578"/>
        <v>711</v>
      </c>
      <c r="G7288" s="62"/>
    </row>
    <row r="7289" spans="1:7" x14ac:dyDescent="0.25">
      <c r="A7289" s="42" t="s">
        <v>19</v>
      </c>
      <c r="B7289" s="182">
        <v>44196</v>
      </c>
      <c r="C7289" s="186">
        <v>272</v>
      </c>
      <c r="D7289" s="183">
        <f t="shared" si="577"/>
        <v>38586</v>
      </c>
      <c r="E7289" s="4">
        <v>1</v>
      </c>
      <c r="F7289" s="57">
        <f t="shared" si="578"/>
        <v>901</v>
      </c>
      <c r="G7289" s="62"/>
    </row>
    <row r="7290" spans="1:7" x14ac:dyDescent="0.25">
      <c r="A7290" s="42" t="s">
        <v>35</v>
      </c>
      <c r="B7290" s="182">
        <v>44196</v>
      </c>
      <c r="C7290" s="186">
        <v>71</v>
      </c>
      <c r="D7290" s="183">
        <f t="shared" si="577"/>
        <v>22379</v>
      </c>
      <c r="E7290" s="4">
        <v>1</v>
      </c>
      <c r="F7290" s="57">
        <f t="shared" si="578"/>
        <v>1020</v>
      </c>
      <c r="G7290" s="62"/>
    </row>
    <row r="7291" spans="1:7" x14ac:dyDescent="0.25">
      <c r="A7291" s="42" t="s">
        <v>36</v>
      </c>
      <c r="B7291" s="182">
        <v>44196</v>
      </c>
      <c r="C7291" s="186">
        <v>45</v>
      </c>
      <c r="D7291" s="183">
        <f t="shared" si="577"/>
        <v>11548</v>
      </c>
      <c r="F7291" s="57">
        <f t="shared" si="578"/>
        <v>198</v>
      </c>
      <c r="G7291" s="62"/>
    </row>
    <row r="7292" spans="1:7" x14ac:dyDescent="0.25">
      <c r="A7292" s="42" t="s">
        <v>37</v>
      </c>
      <c r="B7292" s="182">
        <v>44196</v>
      </c>
      <c r="C7292" s="186">
        <v>32</v>
      </c>
      <c r="D7292" s="183">
        <f t="shared" si="577"/>
        <v>16191</v>
      </c>
      <c r="F7292" s="57">
        <f t="shared" si="578"/>
        <v>300</v>
      </c>
      <c r="G7292" s="62"/>
    </row>
    <row r="7293" spans="1:7" x14ac:dyDescent="0.25">
      <c r="A7293" s="42" t="s">
        <v>38</v>
      </c>
      <c r="B7293" s="182">
        <v>44196</v>
      </c>
      <c r="C7293" s="186">
        <v>420</v>
      </c>
      <c r="D7293" s="183">
        <f t="shared" si="577"/>
        <v>23755</v>
      </c>
      <c r="E7293" s="4">
        <v>1</v>
      </c>
      <c r="F7293" s="57">
        <f t="shared" si="578"/>
        <v>379</v>
      </c>
      <c r="G7293" s="62"/>
    </row>
    <row r="7294" spans="1:7" x14ac:dyDescent="0.25">
      <c r="A7294" s="42" t="s">
        <v>23</v>
      </c>
      <c r="B7294" s="182">
        <v>44196</v>
      </c>
      <c r="C7294" s="186">
        <v>1354</v>
      </c>
      <c r="D7294" s="183">
        <f t="shared" si="577"/>
        <v>176375</v>
      </c>
      <c r="E7294" s="4">
        <v>6</v>
      </c>
      <c r="F7294" s="57">
        <f t="shared" si="578"/>
        <v>2946</v>
      </c>
      <c r="G7294" s="62"/>
    </row>
    <row r="7295" spans="1:7" x14ac:dyDescent="0.25">
      <c r="A7295" s="42" t="s">
        <v>39</v>
      </c>
      <c r="B7295" s="182">
        <v>44196</v>
      </c>
      <c r="C7295" s="186">
        <v>100</v>
      </c>
      <c r="D7295" s="183">
        <f t="shared" si="577"/>
        <v>17430</v>
      </c>
      <c r="F7295" s="57">
        <f t="shared" si="578"/>
        <v>218</v>
      </c>
      <c r="G7295" s="62"/>
    </row>
    <row r="7296" spans="1:7" x14ac:dyDescent="0.25">
      <c r="A7296" s="42" t="s">
        <v>40</v>
      </c>
      <c r="B7296" s="182">
        <v>44196</v>
      </c>
      <c r="C7296" s="186">
        <v>111</v>
      </c>
      <c r="D7296" s="183">
        <f t="shared" si="577"/>
        <v>19139</v>
      </c>
      <c r="E7296" s="4">
        <v>1</v>
      </c>
      <c r="F7296" s="57">
        <f t="shared" si="578"/>
        <v>252</v>
      </c>
      <c r="G7296" s="62"/>
    </row>
    <row r="7297" spans="1:7" x14ac:dyDescent="0.25">
      <c r="A7297" s="42" t="s">
        <v>41</v>
      </c>
      <c r="B7297" s="182">
        <v>44196</v>
      </c>
      <c r="C7297" s="186">
        <v>116</v>
      </c>
      <c r="D7297" s="183">
        <f t="shared" si="577"/>
        <v>71110</v>
      </c>
      <c r="F7297" s="57">
        <f t="shared" si="578"/>
        <v>1366</v>
      </c>
      <c r="G7297" s="62"/>
    </row>
    <row r="7298" spans="1:7" x14ac:dyDescent="0.25">
      <c r="A7298" s="42" t="s">
        <v>17</v>
      </c>
      <c r="B7298" s="182">
        <v>44197</v>
      </c>
      <c r="C7298" s="31">
        <v>1486</v>
      </c>
      <c r="D7298" s="183">
        <f t="shared" si="577"/>
        <v>686251</v>
      </c>
      <c r="E7298" s="4">
        <v>64</v>
      </c>
      <c r="F7298" s="57">
        <f t="shared" si="578"/>
        <v>22413</v>
      </c>
    </row>
    <row r="7299" spans="1:7" x14ac:dyDescent="0.25">
      <c r="A7299" s="42" t="s">
        <v>44</v>
      </c>
      <c r="B7299" s="182">
        <v>44197</v>
      </c>
      <c r="C7299" s="4">
        <v>574</v>
      </c>
      <c r="D7299" s="183">
        <f t="shared" si="577"/>
        <v>175173</v>
      </c>
      <c r="E7299" s="4">
        <v>6</v>
      </c>
      <c r="F7299" s="57">
        <f t="shared" si="578"/>
        <v>5510</v>
      </c>
      <c r="G7299" s="62"/>
    </row>
    <row r="7300" spans="1:7" x14ac:dyDescent="0.25">
      <c r="A7300" s="42" t="s">
        <v>29</v>
      </c>
      <c r="B7300" s="182">
        <v>44197</v>
      </c>
      <c r="C7300" s="4">
        <v>0</v>
      </c>
      <c r="D7300" s="183">
        <f t="shared" si="577"/>
        <v>2767</v>
      </c>
      <c r="F7300" s="57">
        <f t="shared" si="578"/>
        <v>17</v>
      </c>
      <c r="G7300" s="62"/>
    </row>
    <row r="7301" spans="1:7" x14ac:dyDescent="0.25">
      <c r="A7301" s="42" t="s">
        <v>16</v>
      </c>
      <c r="B7301" s="182">
        <v>44197</v>
      </c>
      <c r="C7301" s="4">
        <v>101</v>
      </c>
      <c r="D7301" s="183">
        <f t="shared" si="577"/>
        <v>24883</v>
      </c>
      <c r="E7301" s="4">
        <v>1</v>
      </c>
      <c r="F7301" s="57">
        <f t="shared" si="578"/>
        <v>695</v>
      </c>
      <c r="G7301" s="62"/>
    </row>
    <row r="7302" spans="1:7" x14ac:dyDescent="0.25">
      <c r="A7302" s="42" t="s">
        <v>30</v>
      </c>
      <c r="B7302" s="182">
        <v>44197</v>
      </c>
      <c r="C7302" s="4">
        <v>117</v>
      </c>
      <c r="D7302" s="183">
        <f t="shared" si="577"/>
        <v>32048</v>
      </c>
      <c r="F7302" s="57">
        <f t="shared" si="578"/>
        <v>493</v>
      </c>
      <c r="G7302" s="62"/>
    </row>
    <row r="7303" spans="1:7" x14ac:dyDescent="0.25">
      <c r="A7303" s="42" t="s">
        <v>21</v>
      </c>
      <c r="B7303" s="182">
        <v>44197</v>
      </c>
      <c r="C7303" s="4">
        <v>244</v>
      </c>
      <c r="D7303" s="183">
        <f t="shared" si="577"/>
        <v>127941</v>
      </c>
      <c r="F7303" s="57">
        <f t="shared" si="578"/>
        <v>2469</v>
      </c>
      <c r="G7303" s="62"/>
    </row>
    <row r="7304" spans="1:7" x14ac:dyDescent="0.25">
      <c r="A7304" s="42" t="s">
        <v>31</v>
      </c>
      <c r="B7304" s="182">
        <v>44197</v>
      </c>
      <c r="C7304" s="4">
        <v>40</v>
      </c>
      <c r="D7304" s="183">
        <f t="shared" si="577"/>
        <v>12015</v>
      </c>
      <c r="F7304" s="57">
        <f t="shared" si="578"/>
        <v>169</v>
      </c>
      <c r="G7304" s="62"/>
    </row>
    <row r="7305" spans="1:7" x14ac:dyDescent="0.25">
      <c r="A7305" s="42" t="s">
        <v>32</v>
      </c>
      <c r="B7305" s="182">
        <v>44197</v>
      </c>
      <c r="C7305" s="4">
        <v>259</v>
      </c>
      <c r="D7305" s="183">
        <f t="shared" si="577"/>
        <v>29752</v>
      </c>
      <c r="F7305" s="57">
        <f t="shared" si="578"/>
        <v>583</v>
      </c>
      <c r="G7305" s="62"/>
    </row>
    <row r="7306" spans="1:7" x14ac:dyDescent="0.25">
      <c r="A7306" s="42" t="s">
        <v>42</v>
      </c>
      <c r="B7306" s="182">
        <v>44197</v>
      </c>
      <c r="C7306" s="4">
        <v>1</v>
      </c>
      <c r="D7306" s="183">
        <f t="shared" si="577"/>
        <v>219</v>
      </c>
      <c r="F7306" s="57">
        <f t="shared" si="578"/>
        <v>3</v>
      </c>
      <c r="G7306" s="62"/>
    </row>
    <row r="7307" spans="1:7" x14ac:dyDescent="0.25">
      <c r="A7307" s="42" t="s">
        <v>33</v>
      </c>
      <c r="B7307" s="182">
        <v>44197</v>
      </c>
      <c r="C7307" s="4">
        <v>12</v>
      </c>
      <c r="D7307" s="183">
        <f t="shared" si="577"/>
        <v>18563</v>
      </c>
      <c r="F7307" s="57">
        <f t="shared" si="578"/>
        <v>858</v>
      </c>
      <c r="G7307" s="62"/>
    </row>
    <row r="7308" spans="1:7" x14ac:dyDescent="0.25">
      <c r="A7308" s="42" t="s">
        <v>34</v>
      </c>
      <c r="B7308" s="182">
        <v>44197</v>
      </c>
      <c r="C7308" s="4">
        <v>226</v>
      </c>
      <c r="D7308" s="183">
        <f t="shared" si="577"/>
        <v>11077</v>
      </c>
      <c r="F7308" s="57">
        <f t="shared" si="578"/>
        <v>124</v>
      </c>
      <c r="G7308" s="62"/>
    </row>
    <row r="7309" spans="1:7" x14ac:dyDescent="0.25">
      <c r="A7309" s="42" t="s">
        <v>22</v>
      </c>
      <c r="B7309" s="182">
        <v>44197</v>
      </c>
      <c r="C7309" s="4">
        <v>18</v>
      </c>
      <c r="D7309" s="183">
        <f t="shared" si="577"/>
        <v>9112</v>
      </c>
      <c r="F7309" s="57">
        <f t="shared" si="578"/>
        <v>388</v>
      </c>
      <c r="G7309" s="62"/>
    </row>
    <row r="7310" spans="1:7" x14ac:dyDescent="0.25">
      <c r="A7310" s="42" t="s">
        <v>18</v>
      </c>
      <c r="B7310" s="182">
        <v>44197</v>
      </c>
      <c r="C7310" s="4">
        <v>41</v>
      </c>
      <c r="D7310" s="183">
        <f t="shared" si="577"/>
        <v>60188</v>
      </c>
      <c r="F7310" s="57">
        <f t="shared" si="578"/>
        <v>1231</v>
      </c>
      <c r="G7310" s="62"/>
    </row>
    <row r="7311" spans="1:7" x14ac:dyDescent="0.25">
      <c r="A7311" s="42" t="s">
        <v>24</v>
      </c>
      <c r="B7311" s="182">
        <v>44197</v>
      </c>
      <c r="C7311" s="4">
        <v>0</v>
      </c>
      <c r="D7311" s="183">
        <f t="shared" si="577"/>
        <v>1082</v>
      </c>
      <c r="F7311" s="57">
        <f t="shared" si="578"/>
        <v>12</v>
      </c>
      <c r="G7311" s="62"/>
    </row>
    <row r="7312" spans="1:7" x14ac:dyDescent="0.25">
      <c r="A7312" s="42" t="s">
        <v>20</v>
      </c>
      <c r="B7312" s="182">
        <v>44197</v>
      </c>
      <c r="C7312" s="4">
        <v>199</v>
      </c>
      <c r="D7312" s="183">
        <f t="shared" si="577"/>
        <v>41249</v>
      </c>
      <c r="F7312" s="57">
        <f t="shared" si="578"/>
        <v>711</v>
      </c>
      <c r="G7312" s="62"/>
    </row>
    <row r="7313" spans="1:7" x14ac:dyDescent="0.25">
      <c r="A7313" s="42" t="s">
        <v>19</v>
      </c>
      <c r="B7313" s="182">
        <v>44197</v>
      </c>
      <c r="C7313" s="4">
        <v>114</v>
      </c>
      <c r="D7313" s="183">
        <f t="shared" si="577"/>
        <v>38700</v>
      </c>
      <c r="F7313" s="57">
        <f t="shared" si="578"/>
        <v>901</v>
      </c>
      <c r="G7313" s="62"/>
    </row>
    <row r="7314" spans="1:7" x14ac:dyDescent="0.25">
      <c r="A7314" s="42" t="s">
        <v>35</v>
      </c>
      <c r="B7314" s="182">
        <v>44197</v>
      </c>
      <c r="C7314" s="4">
        <v>14</v>
      </c>
      <c r="D7314" s="183">
        <f t="shared" ref="D7314:D7377" si="579">C7314+D7290</f>
        <v>22393</v>
      </c>
      <c r="F7314" s="57">
        <f t="shared" ref="F7314:F7377" si="580">E7314+F7290</f>
        <v>1020</v>
      </c>
      <c r="G7314" s="62"/>
    </row>
    <row r="7315" spans="1:7" x14ac:dyDescent="0.25">
      <c r="A7315" s="42" t="s">
        <v>36</v>
      </c>
      <c r="B7315" s="182">
        <v>44197</v>
      </c>
      <c r="C7315" s="4">
        <v>13</v>
      </c>
      <c r="D7315" s="183">
        <f t="shared" si="579"/>
        <v>11561</v>
      </c>
      <c r="F7315" s="57">
        <f t="shared" si="580"/>
        <v>198</v>
      </c>
      <c r="G7315" s="62"/>
    </row>
    <row r="7316" spans="1:7" x14ac:dyDescent="0.25">
      <c r="A7316" s="42" t="s">
        <v>37</v>
      </c>
      <c r="B7316" s="182">
        <v>44197</v>
      </c>
      <c r="C7316" s="4">
        <v>8</v>
      </c>
      <c r="D7316" s="183">
        <f t="shared" si="579"/>
        <v>16199</v>
      </c>
      <c r="F7316" s="57">
        <f t="shared" si="580"/>
        <v>300</v>
      </c>
      <c r="G7316" s="62"/>
    </row>
    <row r="7317" spans="1:7" x14ac:dyDescent="0.25">
      <c r="A7317" s="42" t="s">
        <v>38</v>
      </c>
      <c r="B7317" s="182">
        <v>44197</v>
      </c>
      <c r="C7317" s="4">
        <v>134</v>
      </c>
      <c r="D7317" s="183">
        <f t="shared" si="579"/>
        <v>23889</v>
      </c>
      <c r="E7317" s="4">
        <v>1</v>
      </c>
      <c r="F7317" s="57">
        <f t="shared" si="580"/>
        <v>380</v>
      </c>
      <c r="G7317" s="62"/>
    </row>
    <row r="7318" spans="1:7" x14ac:dyDescent="0.25">
      <c r="A7318" s="42" t="s">
        <v>23</v>
      </c>
      <c r="B7318" s="182">
        <v>44197</v>
      </c>
      <c r="C7318" s="4">
        <v>352</v>
      </c>
      <c r="D7318" s="183">
        <f t="shared" si="579"/>
        <v>176727</v>
      </c>
      <c r="F7318" s="57">
        <f t="shared" si="580"/>
        <v>2946</v>
      </c>
      <c r="G7318" s="62"/>
    </row>
    <row r="7319" spans="1:7" x14ac:dyDescent="0.25">
      <c r="A7319" s="42" t="s">
        <v>39</v>
      </c>
      <c r="B7319" s="182">
        <v>44197</v>
      </c>
      <c r="C7319" s="4">
        <v>9</v>
      </c>
      <c r="D7319" s="183">
        <f t="shared" si="579"/>
        <v>17439</v>
      </c>
      <c r="F7319" s="57">
        <f t="shared" si="580"/>
        <v>218</v>
      </c>
      <c r="G7319" s="62"/>
    </row>
    <row r="7320" spans="1:7" x14ac:dyDescent="0.25">
      <c r="A7320" s="42" t="s">
        <v>40</v>
      </c>
      <c r="B7320" s="182">
        <v>44197</v>
      </c>
      <c r="C7320" s="4">
        <v>82</v>
      </c>
      <c r="D7320" s="183">
        <f t="shared" si="579"/>
        <v>19221</v>
      </c>
      <c r="F7320" s="57">
        <f t="shared" si="580"/>
        <v>252</v>
      </c>
      <c r="G7320" s="62"/>
    </row>
    <row r="7321" spans="1:7" x14ac:dyDescent="0.25">
      <c r="A7321" s="42" t="s">
        <v>41</v>
      </c>
      <c r="B7321" s="182">
        <v>44197</v>
      </c>
      <c r="C7321" s="4">
        <v>35</v>
      </c>
      <c r="D7321" s="183">
        <f t="shared" si="579"/>
        <v>71145</v>
      </c>
      <c r="F7321" s="57">
        <f t="shared" si="580"/>
        <v>1366</v>
      </c>
      <c r="G7321" s="62"/>
    </row>
    <row r="7322" spans="1:7" x14ac:dyDescent="0.25">
      <c r="A7322" s="42" t="s">
        <v>17</v>
      </c>
      <c r="B7322" s="182">
        <v>44198</v>
      </c>
      <c r="C7322" s="4">
        <v>2098</v>
      </c>
      <c r="D7322" s="183">
        <f t="shared" si="579"/>
        <v>688349</v>
      </c>
      <c r="E7322" s="4">
        <v>13</v>
      </c>
      <c r="F7322" s="57">
        <f t="shared" si="580"/>
        <v>22426</v>
      </c>
    </row>
    <row r="7323" spans="1:7" x14ac:dyDescent="0.25">
      <c r="A7323" s="42" t="s">
        <v>44</v>
      </c>
      <c r="B7323" s="182">
        <v>44198</v>
      </c>
      <c r="C7323" s="4">
        <v>495</v>
      </c>
      <c r="D7323" s="183">
        <f t="shared" si="579"/>
        <v>175668</v>
      </c>
      <c r="E7323" s="4">
        <v>13</v>
      </c>
      <c r="F7323" s="57">
        <f t="shared" si="580"/>
        <v>5523</v>
      </c>
    </row>
    <row r="7324" spans="1:7" x14ac:dyDescent="0.25">
      <c r="A7324" s="42" t="s">
        <v>29</v>
      </c>
      <c r="B7324" s="182">
        <v>44198</v>
      </c>
      <c r="C7324" s="4">
        <v>51</v>
      </c>
      <c r="D7324" s="183">
        <f t="shared" si="579"/>
        <v>2818</v>
      </c>
      <c r="E7324" s="4">
        <v>0</v>
      </c>
      <c r="F7324" s="57">
        <f t="shared" si="580"/>
        <v>17</v>
      </c>
    </row>
    <row r="7325" spans="1:7" x14ac:dyDescent="0.25">
      <c r="A7325" s="42" t="s">
        <v>16</v>
      </c>
      <c r="B7325" s="182">
        <v>44198</v>
      </c>
      <c r="C7325" s="4">
        <v>152</v>
      </c>
      <c r="D7325" s="183">
        <f t="shared" si="579"/>
        <v>25035</v>
      </c>
      <c r="E7325" s="4">
        <v>4</v>
      </c>
      <c r="F7325" s="57">
        <f t="shared" si="580"/>
        <v>699</v>
      </c>
    </row>
    <row r="7326" spans="1:7" x14ac:dyDescent="0.25">
      <c r="A7326" s="42" t="s">
        <v>30</v>
      </c>
      <c r="B7326" s="182">
        <v>44198</v>
      </c>
      <c r="C7326" s="4">
        <v>204</v>
      </c>
      <c r="D7326" s="183">
        <f t="shared" si="579"/>
        <v>32252</v>
      </c>
      <c r="E7326" s="4">
        <v>1</v>
      </c>
      <c r="F7326" s="57">
        <f t="shared" si="580"/>
        <v>494</v>
      </c>
    </row>
    <row r="7327" spans="1:7" x14ac:dyDescent="0.25">
      <c r="A7327" s="42" t="s">
        <v>21</v>
      </c>
      <c r="B7327" s="182">
        <v>44198</v>
      </c>
      <c r="C7327" s="4">
        <v>83</v>
      </c>
      <c r="D7327" s="183">
        <f t="shared" si="579"/>
        <v>128024</v>
      </c>
      <c r="E7327" s="4">
        <v>2</v>
      </c>
      <c r="F7327" s="57">
        <f t="shared" si="580"/>
        <v>2471</v>
      </c>
    </row>
    <row r="7328" spans="1:7" x14ac:dyDescent="0.25">
      <c r="A7328" s="42" t="s">
        <v>31</v>
      </c>
      <c r="B7328" s="182">
        <v>44198</v>
      </c>
      <c r="C7328" s="4">
        <v>103</v>
      </c>
      <c r="D7328" s="183">
        <f t="shared" si="579"/>
        <v>12118</v>
      </c>
      <c r="E7328" s="4">
        <v>0</v>
      </c>
      <c r="F7328" s="57">
        <f t="shared" si="580"/>
        <v>169</v>
      </c>
    </row>
    <row r="7329" spans="1:6" x14ac:dyDescent="0.25">
      <c r="A7329" s="42" t="s">
        <v>32</v>
      </c>
      <c r="B7329" s="182">
        <v>44198</v>
      </c>
      <c r="C7329" s="4">
        <v>143</v>
      </c>
      <c r="D7329" s="183">
        <f t="shared" si="579"/>
        <v>29895</v>
      </c>
      <c r="E7329" s="4">
        <v>4</v>
      </c>
      <c r="F7329" s="57">
        <f t="shared" si="580"/>
        <v>587</v>
      </c>
    </row>
    <row r="7330" spans="1:6" x14ac:dyDescent="0.25">
      <c r="A7330" s="42" t="s">
        <v>42</v>
      </c>
      <c r="B7330" s="182">
        <v>44198</v>
      </c>
      <c r="C7330" s="4">
        <v>1</v>
      </c>
      <c r="D7330" s="183">
        <f t="shared" si="579"/>
        <v>220</v>
      </c>
      <c r="E7330" s="4">
        <v>0</v>
      </c>
      <c r="F7330" s="57">
        <f t="shared" si="580"/>
        <v>3</v>
      </c>
    </row>
    <row r="7331" spans="1:6" x14ac:dyDescent="0.25">
      <c r="A7331" s="42" t="s">
        <v>33</v>
      </c>
      <c r="B7331" s="182">
        <v>44198</v>
      </c>
      <c r="C7331" s="4">
        <v>-1</v>
      </c>
      <c r="D7331" s="183">
        <f t="shared" si="579"/>
        <v>18562</v>
      </c>
      <c r="E7331" s="4">
        <v>0</v>
      </c>
      <c r="F7331" s="57">
        <f t="shared" si="580"/>
        <v>858</v>
      </c>
    </row>
    <row r="7332" spans="1:6" x14ac:dyDescent="0.25">
      <c r="A7332" s="42" t="s">
        <v>34</v>
      </c>
      <c r="B7332" s="182">
        <v>44198</v>
      </c>
      <c r="C7332" s="4">
        <v>197</v>
      </c>
      <c r="D7332" s="183">
        <f t="shared" si="579"/>
        <v>11274</v>
      </c>
      <c r="E7332" s="4">
        <v>0</v>
      </c>
      <c r="F7332" s="57">
        <f t="shared" si="580"/>
        <v>124</v>
      </c>
    </row>
    <row r="7333" spans="1:6" x14ac:dyDescent="0.25">
      <c r="A7333" s="42" t="s">
        <v>22</v>
      </c>
      <c r="B7333" s="182">
        <v>44198</v>
      </c>
      <c r="C7333" s="4">
        <v>9</v>
      </c>
      <c r="D7333" s="183">
        <f t="shared" si="579"/>
        <v>9121</v>
      </c>
      <c r="E7333" s="4">
        <v>0</v>
      </c>
      <c r="F7333" s="57">
        <f t="shared" si="580"/>
        <v>388</v>
      </c>
    </row>
    <row r="7334" spans="1:6" x14ac:dyDescent="0.25">
      <c r="A7334" s="42" t="s">
        <v>18</v>
      </c>
      <c r="B7334" s="182">
        <v>44198</v>
      </c>
      <c r="C7334" s="4">
        <v>65</v>
      </c>
      <c r="D7334" s="183">
        <f t="shared" si="579"/>
        <v>60253</v>
      </c>
      <c r="E7334" s="4">
        <v>0</v>
      </c>
      <c r="F7334" s="57">
        <f t="shared" si="580"/>
        <v>1231</v>
      </c>
    </row>
    <row r="7335" spans="1:6" x14ac:dyDescent="0.25">
      <c r="A7335" s="42" t="s">
        <v>24</v>
      </c>
      <c r="B7335" s="182">
        <v>44198</v>
      </c>
      <c r="C7335" s="4">
        <v>2</v>
      </c>
      <c r="D7335" s="183">
        <f t="shared" si="579"/>
        <v>1084</v>
      </c>
      <c r="E7335" s="4">
        <v>0</v>
      </c>
      <c r="F7335" s="57">
        <f t="shared" si="580"/>
        <v>12</v>
      </c>
    </row>
    <row r="7336" spans="1:6" x14ac:dyDescent="0.25">
      <c r="A7336" s="42" t="s">
        <v>20</v>
      </c>
      <c r="B7336" s="182">
        <v>44198</v>
      </c>
      <c r="C7336" s="4">
        <v>305</v>
      </c>
      <c r="D7336" s="183">
        <f t="shared" si="579"/>
        <v>41554</v>
      </c>
      <c r="E7336" s="4">
        <v>0</v>
      </c>
      <c r="F7336" s="57">
        <f t="shared" si="580"/>
        <v>711</v>
      </c>
    </row>
    <row r="7337" spans="1:6" x14ac:dyDescent="0.25">
      <c r="A7337" s="42" t="s">
        <v>19</v>
      </c>
      <c r="B7337" s="182">
        <v>44198</v>
      </c>
      <c r="C7337" s="4">
        <v>160</v>
      </c>
      <c r="D7337" s="183">
        <f t="shared" si="579"/>
        <v>38860</v>
      </c>
      <c r="E7337" s="4">
        <v>3</v>
      </c>
      <c r="F7337" s="57">
        <f t="shared" si="580"/>
        <v>904</v>
      </c>
    </row>
    <row r="7338" spans="1:6" x14ac:dyDescent="0.25">
      <c r="A7338" s="42" t="s">
        <v>35</v>
      </c>
      <c r="B7338" s="182">
        <v>44198</v>
      </c>
      <c r="C7338" s="4">
        <v>12</v>
      </c>
      <c r="D7338" s="183">
        <f t="shared" si="579"/>
        <v>22405</v>
      </c>
      <c r="E7338" s="4">
        <v>0</v>
      </c>
      <c r="F7338" s="57">
        <f t="shared" si="580"/>
        <v>1020</v>
      </c>
    </row>
    <row r="7339" spans="1:6" x14ac:dyDescent="0.25">
      <c r="A7339" s="42" t="s">
        <v>36</v>
      </c>
      <c r="B7339" s="182">
        <v>44198</v>
      </c>
      <c r="C7339" s="4">
        <v>4</v>
      </c>
      <c r="D7339" s="183">
        <f t="shared" si="579"/>
        <v>11565</v>
      </c>
      <c r="E7339" s="4">
        <v>0</v>
      </c>
      <c r="F7339" s="57">
        <f t="shared" si="580"/>
        <v>198</v>
      </c>
    </row>
    <row r="7340" spans="1:6" x14ac:dyDescent="0.25">
      <c r="A7340" s="42" t="s">
        <v>37</v>
      </c>
      <c r="B7340" s="182">
        <v>44198</v>
      </c>
      <c r="C7340" s="4">
        <v>2</v>
      </c>
      <c r="D7340" s="183">
        <f t="shared" si="579"/>
        <v>16201</v>
      </c>
      <c r="E7340" s="4">
        <v>0</v>
      </c>
      <c r="F7340" s="57">
        <f t="shared" si="580"/>
        <v>300</v>
      </c>
    </row>
    <row r="7341" spans="1:6" x14ac:dyDescent="0.25">
      <c r="A7341" s="42" t="s">
        <v>38</v>
      </c>
      <c r="B7341" s="182">
        <v>44198</v>
      </c>
      <c r="C7341" s="4">
        <v>305</v>
      </c>
      <c r="D7341" s="183">
        <f t="shared" si="579"/>
        <v>24194</v>
      </c>
      <c r="E7341" s="4">
        <v>2</v>
      </c>
      <c r="F7341" s="57">
        <f t="shared" si="580"/>
        <v>382</v>
      </c>
    </row>
    <row r="7342" spans="1:6" x14ac:dyDescent="0.25">
      <c r="A7342" s="42" t="s">
        <v>23</v>
      </c>
      <c r="B7342" s="182">
        <v>44198</v>
      </c>
      <c r="C7342" s="4">
        <v>568</v>
      </c>
      <c r="D7342" s="183">
        <f t="shared" si="579"/>
        <v>177295</v>
      </c>
      <c r="E7342" s="4">
        <v>14</v>
      </c>
      <c r="F7342" s="57">
        <f t="shared" si="580"/>
        <v>2960</v>
      </c>
    </row>
    <row r="7343" spans="1:6" x14ac:dyDescent="0.25">
      <c r="A7343" s="42" t="s">
        <v>39</v>
      </c>
      <c r="B7343" s="182">
        <v>44198</v>
      </c>
      <c r="C7343" s="4">
        <v>128</v>
      </c>
      <c r="D7343" s="183">
        <f t="shared" si="579"/>
        <v>17567</v>
      </c>
      <c r="E7343" s="4">
        <v>0</v>
      </c>
      <c r="F7343" s="57">
        <f t="shared" si="580"/>
        <v>218</v>
      </c>
    </row>
    <row r="7344" spans="1:6" x14ac:dyDescent="0.25">
      <c r="A7344" s="42" t="s">
        <v>40</v>
      </c>
      <c r="B7344" s="182">
        <v>44198</v>
      </c>
      <c r="C7344" s="4">
        <v>108</v>
      </c>
      <c r="D7344" s="183">
        <f t="shared" si="579"/>
        <v>19329</v>
      </c>
      <c r="E7344" s="4">
        <v>1</v>
      </c>
      <c r="F7344" s="57">
        <f t="shared" si="580"/>
        <v>253</v>
      </c>
    </row>
    <row r="7345" spans="1:6" x14ac:dyDescent="0.25">
      <c r="A7345" s="42" t="s">
        <v>41</v>
      </c>
      <c r="B7345" s="182">
        <v>44198</v>
      </c>
      <c r="C7345" s="4">
        <v>46</v>
      </c>
      <c r="D7345" s="183">
        <f t="shared" si="579"/>
        <v>71191</v>
      </c>
      <c r="E7345" s="4">
        <v>0</v>
      </c>
      <c r="F7345" s="57">
        <f t="shared" si="580"/>
        <v>1366</v>
      </c>
    </row>
    <row r="7346" spans="1:6" x14ac:dyDescent="0.25">
      <c r="A7346" s="42" t="s">
        <v>17</v>
      </c>
      <c r="B7346" s="182">
        <v>44199</v>
      </c>
      <c r="C7346" s="4">
        <v>2034</v>
      </c>
      <c r="D7346" s="183">
        <f t="shared" si="579"/>
        <v>690383</v>
      </c>
      <c r="E7346" s="4">
        <v>63</v>
      </c>
      <c r="F7346" s="57">
        <f t="shared" si="580"/>
        <v>22489</v>
      </c>
    </row>
    <row r="7347" spans="1:6" x14ac:dyDescent="0.25">
      <c r="A7347" s="42" t="s">
        <v>44</v>
      </c>
      <c r="B7347" s="182">
        <v>44199</v>
      </c>
      <c r="C7347" s="4">
        <v>827</v>
      </c>
      <c r="D7347" s="183">
        <f t="shared" si="579"/>
        <v>176495</v>
      </c>
      <c r="E7347" s="4">
        <v>2</v>
      </c>
      <c r="F7347" s="57">
        <f t="shared" si="580"/>
        <v>5525</v>
      </c>
    </row>
    <row r="7348" spans="1:6" x14ac:dyDescent="0.25">
      <c r="A7348" s="42" t="s">
        <v>29</v>
      </c>
      <c r="B7348" s="182">
        <v>44199</v>
      </c>
      <c r="C7348" s="4">
        <v>33</v>
      </c>
      <c r="D7348" s="183">
        <f t="shared" si="579"/>
        <v>2851</v>
      </c>
      <c r="E7348" s="4">
        <v>0</v>
      </c>
      <c r="F7348" s="57">
        <f t="shared" si="580"/>
        <v>17</v>
      </c>
    </row>
    <row r="7349" spans="1:6" x14ac:dyDescent="0.25">
      <c r="A7349" s="42" t="s">
        <v>16</v>
      </c>
      <c r="B7349" s="182">
        <v>44199</v>
      </c>
      <c r="C7349" s="4">
        <v>113</v>
      </c>
      <c r="D7349" s="183">
        <f t="shared" si="579"/>
        <v>25148</v>
      </c>
      <c r="E7349" s="4">
        <v>2</v>
      </c>
      <c r="F7349" s="57">
        <f t="shared" si="580"/>
        <v>701</v>
      </c>
    </row>
    <row r="7350" spans="1:6" x14ac:dyDescent="0.25">
      <c r="A7350" s="42" t="s">
        <v>30</v>
      </c>
      <c r="B7350" s="182">
        <v>44199</v>
      </c>
      <c r="C7350" s="4">
        <v>202</v>
      </c>
      <c r="D7350" s="183">
        <f t="shared" si="579"/>
        <v>32454</v>
      </c>
      <c r="E7350" s="4">
        <v>0</v>
      </c>
      <c r="F7350" s="57">
        <f t="shared" si="580"/>
        <v>494</v>
      </c>
    </row>
    <row r="7351" spans="1:6" x14ac:dyDescent="0.25">
      <c r="A7351" s="42" t="s">
        <v>21</v>
      </c>
      <c r="B7351" s="182">
        <v>44199</v>
      </c>
      <c r="C7351" s="4">
        <v>356</v>
      </c>
      <c r="D7351" s="183">
        <f t="shared" si="579"/>
        <v>128380</v>
      </c>
      <c r="E7351" s="4">
        <v>6</v>
      </c>
      <c r="F7351" s="57">
        <f t="shared" si="580"/>
        <v>2477</v>
      </c>
    </row>
    <row r="7352" spans="1:6" x14ac:dyDescent="0.25">
      <c r="A7352" s="42" t="s">
        <v>31</v>
      </c>
      <c r="B7352" s="182">
        <v>44199</v>
      </c>
      <c r="C7352" s="4">
        <v>104</v>
      </c>
      <c r="D7352" s="183">
        <f t="shared" si="579"/>
        <v>12222</v>
      </c>
      <c r="E7352" s="4">
        <v>0</v>
      </c>
      <c r="F7352" s="57">
        <f t="shared" si="580"/>
        <v>169</v>
      </c>
    </row>
    <row r="7353" spans="1:6" x14ac:dyDescent="0.25">
      <c r="A7353" s="42" t="s">
        <v>32</v>
      </c>
      <c r="B7353" s="182">
        <v>44199</v>
      </c>
      <c r="C7353" s="4">
        <v>264</v>
      </c>
      <c r="D7353" s="183">
        <f t="shared" si="579"/>
        <v>30159</v>
      </c>
      <c r="E7353" s="4">
        <v>0</v>
      </c>
      <c r="F7353" s="57">
        <f t="shared" si="580"/>
        <v>587</v>
      </c>
    </row>
    <row r="7354" spans="1:6" x14ac:dyDescent="0.25">
      <c r="A7354" s="42" t="s">
        <v>42</v>
      </c>
      <c r="B7354" s="182">
        <v>44199</v>
      </c>
      <c r="C7354" s="4">
        <v>1</v>
      </c>
      <c r="D7354" s="183">
        <f t="shared" si="579"/>
        <v>221</v>
      </c>
      <c r="E7354" s="4">
        <v>0</v>
      </c>
      <c r="F7354" s="57">
        <f t="shared" si="580"/>
        <v>3</v>
      </c>
    </row>
    <row r="7355" spans="1:6" x14ac:dyDescent="0.25">
      <c r="A7355" s="42" t="s">
        <v>33</v>
      </c>
      <c r="B7355" s="182">
        <v>44199</v>
      </c>
      <c r="C7355" s="4">
        <v>5</v>
      </c>
      <c r="D7355" s="183">
        <f t="shared" si="579"/>
        <v>18567</v>
      </c>
      <c r="E7355" s="4">
        <v>0</v>
      </c>
      <c r="F7355" s="57">
        <f t="shared" si="580"/>
        <v>858</v>
      </c>
    </row>
    <row r="7356" spans="1:6" x14ac:dyDescent="0.25">
      <c r="A7356" s="42" t="s">
        <v>34</v>
      </c>
      <c r="B7356" s="182">
        <v>44199</v>
      </c>
      <c r="C7356" s="4">
        <v>194</v>
      </c>
      <c r="D7356" s="183">
        <f t="shared" si="579"/>
        <v>11468</v>
      </c>
      <c r="E7356" s="4">
        <v>0</v>
      </c>
      <c r="F7356" s="57">
        <f t="shared" si="580"/>
        <v>124</v>
      </c>
    </row>
    <row r="7357" spans="1:6" x14ac:dyDescent="0.25">
      <c r="A7357" s="42" t="s">
        <v>22</v>
      </c>
      <c r="B7357" s="182">
        <v>44199</v>
      </c>
      <c r="C7357" s="4">
        <v>3</v>
      </c>
      <c r="D7357" s="183">
        <f t="shared" si="579"/>
        <v>9124</v>
      </c>
      <c r="E7357" s="4">
        <v>9</v>
      </c>
      <c r="F7357" s="57">
        <f t="shared" si="580"/>
        <v>397</v>
      </c>
    </row>
    <row r="7358" spans="1:6" x14ac:dyDescent="0.25">
      <c r="A7358" s="42" t="s">
        <v>18</v>
      </c>
      <c r="B7358" s="182">
        <v>44199</v>
      </c>
      <c r="C7358" s="4">
        <v>77</v>
      </c>
      <c r="D7358" s="183">
        <f t="shared" si="579"/>
        <v>60330</v>
      </c>
      <c r="E7358" s="4">
        <v>1</v>
      </c>
      <c r="F7358" s="57">
        <f t="shared" si="580"/>
        <v>1232</v>
      </c>
    </row>
    <row r="7359" spans="1:6" x14ac:dyDescent="0.25">
      <c r="A7359" s="42" t="s">
        <v>24</v>
      </c>
      <c r="B7359" s="182">
        <v>44199</v>
      </c>
      <c r="C7359" s="4">
        <v>40</v>
      </c>
      <c r="D7359" s="183">
        <f t="shared" si="579"/>
        <v>1124</v>
      </c>
      <c r="E7359" s="4">
        <v>0</v>
      </c>
      <c r="F7359" s="57">
        <f t="shared" si="580"/>
        <v>12</v>
      </c>
    </row>
    <row r="7360" spans="1:6" x14ac:dyDescent="0.25">
      <c r="A7360" s="42" t="s">
        <v>20</v>
      </c>
      <c r="B7360" s="182">
        <v>44199</v>
      </c>
      <c r="C7360" s="4">
        <v>372</v>
      </c>
      <c r="D7360" s="183">
        <f t="shared" si="579"/>
        <v>41926</v>
      </c>
      <c r="E7360" s="4">
        <v>2</v>
      </c>
      <c r="F7360" s="57">
        <f t="shared" si="580"/>
        <v>713</v>
      </c>
    </row>
    <row r="7361" spans="1:6" x14ac:dyDescent="0.25">
      <c r="A7361" s="42" t="s">
        <v>19</v>
      </c>
      <c r="B7361" s="182">
        <v>44199</v>
      </c>
      <c r="C7361" s="4">
        <v>212</v>
      </c>
      <c r="D7361" s="183">
        <f t="shared" si="579"/>
        <v>39072</v>
      </c>
      <c r="E7361" s="4">
        <v>6</v>
      </c>
      <c r="F7361" s="57">
        <f t="shared" si="580"/>
        <v>910</v>
      </c>
    </row>
    <row r="7362" spans="1:6" x14ac:dyDescent="0.25">
      <c r="A7362" s="42" t="s">
        <v>35</v>
      </c>
      <c r="B7362" s="182">
        <v>44199</v>
      </c>
      <c r="C7362" s="4">
        <v>8</v>
      </c>
      <c r="D7362" s="183">
        <f t="shared" si="579"/>
        <v>22413</v>
      </c>
      <c r="E7362" s="4">
        <v>0</v>
      </c>
      <c r="F7362" s="57">
        <f t="shared" si="580"/>
        <v>1020</v>
      </c>
    </row>
    <row r="7363" spans="1:6" x14ac:dyDescent="0.25">
      <c r="A7363" s="42" t="s">
        <v>36</v>
      </c>
      <c r="B7363" s="182">
        <v>44199</v>
      </c>
      <c r="C7363" s="4">
        <v>33</v>
      </c>
      <c r="D7363" s="183">
        <f t="shared" si="579"/>
        <v>11598</v>
      </c>
      <c r="E7363" s="4">
        <v>0</v>
      </c>
      <c r="F7363" s="57">
        <f t="shared" si="580"/>
        <v>198</v>
      </c>
    </row>
    <row r="7364" spans="1:6" x14ac:dyDescent="0.25">
      <c r="A7364" s="42" t="s">
        <v>37</v>
      </c>
      <c r="B7364" s="182">
        <v>44199</v>
      </c>
      <c r="C7364" s="4">
        <v>24</v>
      </c>
      <c r="D7364" s="183">
        <f t="shared" si="579"/>
        <v>16225</v>
      </c>
      <c r="E7364" s="4">
        <v>0</v>
      </c>
      <c r="F7364" s="57">
        <f t="shared" si="580"/>
        <v>300</v>
      </c>
    </row>
    <row r="7365" spans="1:6" x14ac:dyDescent="0.25">
      <c r="A7365" s="42" t="s">
        <v>38</v>
      </c>
      <c r="B7365" s="182">
        <v>44199</v>
      </c>
      <c r="C7365" s="4">
        <v>207</v>
      </c>
      <c r="D7365" s="183">
        <f t="shared" si="579"/>
        <v>24401</v>
      </c>
      <c r="E7365" s="4">
        <v>6</v>
      </c>
      <c r="F7365" s="57">
        <f t="shared" si="580"/>
        <v>388</v>
      </c>
    </row>
    <row r="7366" spans="1:6" x14ac:dyDescent="0.25">
      <c r="A7366" s="42" t="s">
        <v>23</v>
      </c>
      <c r="B7366" s="182">
        <v>44199</v>
      </c>
      <c r="C7366" s="4">
        <v>516</v>
      </c>
      <c r="D7366" s="183">
        <f t="shared" si="579"/>
        <v>177811</v>
      </c>
      <c r="E7366" s="4">
        <v>8</v>
      </c>
      <c r="F7366" s="57">
        <f t="shared" si="580"/>
        <v>2968</v>
      </c>
    </row>
    <row r="7367" spans="1:6" x14ac:dyDescent="0.25">
      <c r="A7367" s="42" t="s">
        <v>39</v>
      </c>
      <c r="B7367" s="182">
        <v>44199</v>
      </c>
      <c r="C7367" s="4">
        <v>50</v>
      </c>
      <c r="D7367" s="183">
        <f t="shared" si="579"/>
        <v>17617</v>
      </c>
      <c r="E7367" s="4">
        <v>1</v>
      </c>
      <c r="F7367" s="57">
        <f t="shared" si="580"/>
        <v>219</v>
      </c>
    </row>
    <row r="7368" spans="1:6" x14ac:dyDescent="0.25">
      <c r="A7368" s="42" t="s">
        <v>40</v>
      </c>
      <c r="B7368" s="182">
        <v>44199</v>
      </c>
      <c r="C7368" s="4">
        <v>103</v>
      </c>
      <c r="D7368" s="183">
        <f t="shared" si="579"/>
        <v>19432</v>
      </c>
      <c r="E7368" s="4">
        <v>1</v>
      </c>
      <c r="F7368" s="57">
        <f t="shared" si="580"/>
        <v>254</v>
      </c>
    </row>
    <row r="7369" spans="1:6" x14ac:dyDescent="0.25">
      <c r="A7369" s="42" t="s">
        <v>41</v>
      </c>
      <c r="B7369" s="182">
        <v>44199</v>
      </c>
      <c r="C7369" s="4">
        <v>106</v>
      </c>
      <c r="D7369" s="183">
        <f t="shared" si="579"/>
        <v>71297</v>
      </c>
      <c r="E7369" s="4">
        <v>0</v>
      </c>
      <c r="F7369" s="57">
        <f t="shared" si="580"/>
        <v>1366</v>
      </c>
    </row>
    <row r="7370" spans="1:6" x14ac:dyDescent="0.25">
      <c r="A7370" s="42" t="s">
        <v>17</v>
      </c>
      <c r="B7370" s="182">
        <v>44200</v>
      </c>
      <c r="C7370" s="4">
        <v>2961</v>
      </c>
      <c r="D7370" s="183">
        <f t="shared" si="579"/>
        <v>693344</v>
      </c>
      <c r="E7370" s="4">
        <v>46</v>
      </c>
      <c r="F7370" s="57">
        <f t="shared" si="580"/>
        <v>22535</v>
      </c>
    </row>
    <row r="7371" spans="1:6" x14ac:dyDescent="0.25">
      <c r="A7371" s="42" t="s">
        <v>44</v>
      </c>
      <c r="B7371" s="182">
        <v>44200</v>
      </c>
      <c r="C7371" s="4">
        <v>1075</v>
      </c>
      <c r="D7371" s="183">
        <f t="shared" si="579"/>
        <v>177570</v>
      </c>
      <c r="E7371" s="4">
        <v>10</v>
      </c>
      <c r="F7371" s="57">
        <f t="shared" si="580"/>
        <v>5535</v>
      </c>
    </row>
    <row r="7372" spans="1:6" x14ac:dyDescent="0.25">
      <c r="A7372" s="42" t="s">
        <v>29</v>
      </c>
      <c r="B7372" s="182">
        <v>44200</v>
      </c>
      <c r="C7372" s="4">
        <v>18</v>
      </c>
      <c r="D7372" s="183">
        <f t="shared" si="579"/>
        <v>2869</v>
      </c>
      <c r="E7372" s="4">
        <v>0</v>
      </c>
      <c r="F7372" s="57">
        <f t="shared" si="580"/>
        <v>17</v>
      </c>
    </row>
    <row r="7373" spans="1:6" x14ac:dyDescent="0.25">
      <c r="A7373" s="42" t="s">
        <v>16</v>
      </c>
      <c r="B7373" s="182">
        <v>44200</v>
      </c>
      <c r="C7373" s="4">
        <v>175</v>
      </c>
      <c r="D7373" s="183">
        <f t="shared" si="579"/>
        <v>25323</v>
      </c>
      <c r="E7373" s="4">
        <v>9</v>
      </c>
      <c r="F7373" s="57">
        <f t="shared" si="580"/>
        <v>710</v>
      </c>
    </row>
    <row r="7374" spans="1:6" x14ac:dyDescent="0.25">
      <c r="A7374" s="42" t="s">
        <v>30</v>
      </c>
      <c r="B7374" s="182">
        <v>44200</v>
      </c>
      <c r="C7374" s="4">
        <v>315</v>
      </c>
      <c r="D7374" s="183">
        <f t="shared" si="579"/>
        <v>32769</v>
      </c>
      <c r="E7374" s="4">
        <v>1</v>
      </c>
      <c r="F7374" s="57">
        <f t="shared" si="580"/>
        <v>495</v>
      </c>
    </row>
    <row r="7375" spans="1:6" x14ac:dyDescent="0.25">
      <c r="A7375" s="42" t="s">
        <v>21</v>
      </c>
      <c r="B7375" s="182">
        <v>44200</v>
      </c>
      <c r="C7375" s="4">
        <v>302</v>
      </c>
      <c r="D7375" s="183">
        <f t="shared" si="579"/>
        <v>128682</v>
      </c>
      <c r="E7375" s="4">
        <v>12</v>
      </c>
      <c r="F7375" s="57">
        <f t="shared" si="580"/>
        <v>2489</v>
      </c>
    </row>
    <row r="7376" spans="1:6" x14ac:dyDescent="0.25">
      <c r="A7376" s="42" t="s">
        <v>31</v>
      </c>
      <c r="B7376" s="182">
        <v>44200</v>
      </c>
      <c r="C7376" s="4">
        <v>237</v>
      </c>
      <c r="D7376" s="183">
        <f t="shared" si="579"/>
        <v>12459</v>
      </c>
      <c r="E7376" s="4">
        <v>0</v>
      </c>
      <c r="F7376" s="57">
        <f t="shared" si="580"/>
        <v>169</v>
      </c>
    </row>
    <row r="7377" spans="1:6" x14ac:dyDescent="0.25">
      <c r="A7377" s="42" t="s">
        <v>32</v>
      </c>
      <c r="B7377" s="182">
        <v>44200</v>
      </c>
      <c r="C7377" s="4">
        <v>258</v>
      </c>
      <c r="D7377" s="183">
        <f t="shared" si="579"/>
        <v>30417</v>
      </c>
      <c r="E7377" s="4">
        <v>2</v>
      </c>
      <c r="F7377" s="57">
        <f t="shared" si="580"/>
        <v>589</v>
      </c>
    </row>
    <row r="7378" spans="1:6" x14ac:dyDescent="0.25">
      <c r="A7378" s="42" t="s">
        <v>42</v>
      </c>
      <c r="B7378" s="182">
        <v>44200</v>
      </c>
      <c r="C7378" s="4">
        <v>0</v>
      </c>
      <c r="D7378" s="183">
        <f t="shared" ref="D7378:D7442" si="581">C7378+D7354</f>
        <v>221</v>
      </c>
      <c r="E7378" s="4">
        <v>0</v>
      </c>
      <c r="F7378" s="57">
        <f t="shared" ref="F7378:F7442" si="582">E7378+F7354</f>
        <v>3</v>
      </c>
    </row>
    <row r="7379" spans="1:6" x14ac:dyDescent="0.25">
      <c r="A7379" s="42" t="s">
        <v>33</v>
      </c>
      <c r="B7379" s="182">
        <v>44200</v>
      </c>
      <c r="C7379" s="4">
        <v>2</v>
      </c>
      <c r="D7379" s="183">
        <f t="shared" si="581"/>
        <v>18569</v>
      </c>
      <c r="E7379" s="4">
        <v>1</v>
      </c>
      <c r="F7379" s="57">
        <f t="shared" si="582"/>
        <v>859</v>
      </c>
    </row>
    <row r="7380" spans="1:6" x14ac:dyDescent="0.25">
      <c r="A7380" s="42" t="s">
        <v>34</v>
      </c>
      <c r="B7380" s="182">
        <v>44200</v>
      </c>
      <c r="C7380" s="4">
        <v>171</v>
      </c>
      <c r="D7380" s="183">
        <f t="shared" si="581"/>
        <v>11639</v>
      </c>
      <c r="E7380" s="4">
        <v>8</v>
      </c>
      <c r="F7380" s="57">
        <f t="shared" si="582"/>
        <v>132</v>
      </c>
    </row>
    <row r="7381" spans="1:6" x14ac:dyDescent="0.25">
      <c r="A7381" s="42" t="s">
        <v>22</v>
      </c>
      <c r="B7381" s="182">
        <v>44200</v>
      </c>
      <c r="C7381" s="4">
        <v>3</v>
      </c>
      <c r="D7381" s="183">
        <f t="shared" si="581"/>
        <v>9127</v>
      </c>
      <c r="E7381" s="4">
        <v>1</v>
      </c>
      <c r="F7381" s="57">
        <f t="shared" si="582"/>
        <v>398</v>
      </c>
    </row>
    <row r="7382" spans="1:6" x14ac:dyDescent="0.25">
      <c r="A7382" s="42" t="s">
        <v>18</v>
      </c>
      <c r="B7382" s="182">
        <v>44200</v>
      </c>
      <c r="C7382" s="4">
        <v>69</v>
      </c>
      <c r="D7382" s="183">
        <f t="shared" si="581"/>
        <v>60399</v>
      </c>
      <c r="E7382" s="4">
        <v>0</v>
      </c>
      <c r="F7382" s="57">
        <f t="shared" si="582"/>
        <v>1232</v>
      </c>
    </row>
    <row r="7383" spans="1:6" x14ac:dyDescent="0.25">
      <c r="A7383" s="42" t="s">
        <v>24</v>
      </c>
      <c r="B7383" s="182">
        <v>44200</v>
      </c>
      <c r="C7383" s="4">
        <v>33</v>
      </c>
      <c r="D7383" s="183">
        <f t="shared" si="581"/>
        <v>1157</v>
      </c>
      <c r="E7383" s="4">
        <v>0</v>
      </c>
      <c r="F7383" s="57">
        <f t="shared" si="582"/>
        <v>12</v>
      </c>
    </row>
    <row r="7384" spans="1:6" x14ac:dyDescent="0.25">
      <c r="A7384" s="42" t="s">
        <v>20</v>
      </c>
      <c r="B7384" s="182">
        <v>44200</v>
      </c>
      <c r="C7384" s="4">
        <v>305</v>
      </c>
      <c r="D7384" s="183">
        <f t="shared" si="581"/>
        <v>42231</v>
      </c>
      <c r="E7384" s="4">
        <v>0</v>
      </c>
      <c r="F7384" s="57">
        <f t="shared" si="582"/>
        <v>713</v>
      </c>
    </row>
    <row r="7385" spans="1:6" x14ac:dyDescent="0.25">
      <c r="A7385" s="42" t="s">
        <v>19</v>
      </c>
      <c r="B7385" s="182">
        <v>44200</v>
      </c>
      <c r="C7385" s="4">
        <v>290</v>
      </c>
      <c r="D7385" s="183">
        <f t="shared" si="581"/>
        <v>39362</v>
      </c>
      <c r="E7385" s="4">
        <v>10</v>
      </c>
      <c r="F7385" s="57">
        <f t="shared" si="582"/>
        <v>920</v>
      </c>
    </row>
    <row r="7386" spans="1:6" x14ac:dyDescent="0.25">
      <c r="A7386" s="42" t="s">
        <v>35</v>
      </c>
      <c r="B7386" s="182">
        <v>44200</v>
      </c>
      <c r="C7386" s="4">
        <v>21</v>
      </c>
      <c r="D7386" s="183">
        <f t="shared" si="581"/>
        <v>22434</v>
      </c>
      <c r="E7386" s="4">
        <v>2</v>
      </c>
      <c r="F7386" s="57">
        <f t="shared" si="582"/>
        <v>1022</v>
      </c>
    </row>
    <row r="7387" spans="1:6" x14ac:dyDescent="0.25">
      <c r="A7387" s="42" t="s">
        <v>36</v>
      </c>
      <c r="B7387" s="182">
        <v>44200</v>
      </c>
      <c r="C7387" s="4">
        <v>79</v>
      </c>
      <c r="D7387" s="183">
        <f t="shared" si="581"/>
        <v>11677</v>
      </c>
      <c r="E7387" s="4">
        <v>4</v>
      </c>
      <c r="F7387" s="57">
        <f t="shared" si="582"/>
        <v>202</v>
      </c>
    </row>
    <row r="7388" spans="1:6" x14ac:dyDescent="0.25">
      <c r="A7388" s="42" t="s">
        <v>37</v>
      </c>
      <c r="B7388" s="182">
        <v>44200</v>
      </c>
      <c r="C7388" s="4">
        <v>48</v>
      </c>
      <c r="D7388" s="183">
        <f t="shared" si="581"/>
        <v>16273</v>
      </c>
      <c r="E7388" s="4">
        <v>1</v>
      </c>
      <c r="F7388" s="57">
        <f t="shared" si="582"/>
        <v>301</v>
      </c>
    </row>
    <row r="7389" spans="1:6" x14ac:dyDescent="0.25">
      <c r="A7389" s="42" t="s">
        <v>38</v>
      </c>
      <c r="B7389" s="182">
        <v>44200</v>
      </c>
      <c r="C7389" s="4">
        <v>309</v>
      </c>
      <c r="D7389" s="183">
        <f t="shared" si="581"/>
        <v>24710</v>
      </c>
      <c r="E7389" s="4">
        <v>11</v>
      </c>
      <c r="F7389" s="57">
        <f t="shared" si="582"/>
        <v>399</v>
      </c>
    </row>
    <row r="7390" spans="1:6" x14ac:dyDescent="0.25">
      <c r="A7390" s="42" t="s">
        <v>23</v>
      </c>
      <c r="B7390" s="182">
        <v>44200</v>
      </c>
      <c r="C7390" s="4">
        <v>1046</v>
      </c>
      <c r="D7390" s="183">
        <f t="shared" si="581"/>
        <v>178857</v>
      </c>
      <c r="E7390" s="4">
        <v>32</v>
      </c>
      <c r="F7390" s="57">
        <f t="shared" si="582"/>
        <v>3000</v>
      </c>
    </row>
    <row r="7391" spans="1:6" x14ac:dyDescent="0.25">
      <c r="A7391" s="42" t="s">
        <v>39</v>
      </c>
      <c r="B7391" s="182">
        <v>44200</v>
      </c>
      <c r="C7391" s="4">
        <v>116</v>
      </c>
      <c r="D7391" s="183">
        <f t="shared" si="581"/>
        <v>17733</v>
      </c>
      <c r="E7391" s="4">
        <v>0</v>
      </c>
      <c r="F7391" s="57">
        <f t="shared" si="582"/>
        <v>219</v>
      </c>
    </row>
    <row r="7392" spans="1:6" x14ac:dyDescent="0.25">
      <c r="A7392" s="42" t="s">
        <v>40</v>
      </c>
      <c r="B7392" s="182">
        <v>44200</v>
      </c>
      <c r="C7392" s="4">
        <v>100</v>
      </c>
      <c r="D7392" s="183">
        <f t="shared" si="581"/>
        <v>19532</v>
      </c>
      <c r="E7392" s="4">
        <v>0</v>
      </c>
      <c r="F7392" s="57">
        <f t="shared" si="582"/>
        <v>254</v>
      </c>
    </row>
    <row r="7393" spans="1:6" x14ac:dyDescent="0.25">
      <c r="A7393" s="42" t="s">
        <v>41</v>
      </c>
      <c r="B7393" s="182">
        <v>44200</v>
      </c>
      <c r="C7393" s="4">
        <v>289</v>
      </c>
      <c r="D7393" s="183">
        <f t="shared" si="581"/>
        <v>71586</v>
      </c>
      <c r="E7393" s="4">
        <v>2</v>
      </c>
      <c r="F7393" s="57">
        <f t="shared" si="582"/>
        <v>1368</v>
      </c>
    </row>
    <row r="7394" spans="1:6" x14ac:dyDescent="0.25">
      <c r="A7394" s="42" t="s">
        <v>17</v>
      </c>
      <c r="B7394" s="182">
        <v>44201</v>
      </c>
      <c r="C7394" s="4">
        <v>5419</v>
      </c>
      <c r="D7394" s="183">
        <f t="shared" si="581"/>
        <v>698763</v>
      </c>
      <c r="E7394" s="4">
        <v>44</v>
      </c>
      <c r="F7394" s="57">
        <f t="shared" si="582"/>
        <v>22579</v>
      </c>
    </row>
    <row r="7395" spans="1:6" x14ac:dyDescent="0.25">
      <c r="A7395" s="42" t="s">
        <v>44</v>
      </c>
      <c r="B7395" s="182">
        <v>44201</v>
      </c>
      <c r="C7395" s="4">
        <v>1445</v>
      </c>
      <c r="D7395" s="183">
        <f t="shared" si="581"/>
        <v>179015</v>
      </c>
      <c r="E7395" s="4">
        <v>10</v>
      </c>
      <c r="F7395" s="57">
        <f t="shared" si="582"/>
        <v>5545</v>
      </c>
    </row>
    <row r="7396" spans="1:6" x14ac:dyDescent="0.25">
      <c r="A7396" s="42" t="s">
        <v>29</v>
      </c>
      <c r="B7396" s="182">
        <v>44201</v>
      </c>
      <c r="C7396" s="4">
        <v>61</v>
      </c>
      <c r="D7396" s="183">
        <f t="shared" si="581"/>
        <v>2930</v>
      </c>
      <c r="E7396" s="4">
        <v>0</v>
      </c>
      <c r="F7396" s="57">
        <f t="shared" si="582"/>
        <v>17</v>
      </c>
    </row>
    <row r="7397" spans="1:6" x14ac:dyDescent="0.25">
      <c r="A7397" s="42" t="s">
        <v>16</v>
      </c>
      <c r="B7397" s="182">
        <v>44201</v>
      </c>
      <c r="C7397" s="4">
        <v>300</v>
      </c>
      <c r="D7397" s="183">
        <f t="shared" si="581"/>
        <v>25623</v>
      </c>
      <c r="E7397" s="4">
        <v>6</v>
      </c>
      <c r="F7397" s="57">
        <f t="shared" si="582"/>
        <v>716</v>
      </c>
    </row>
    <row r="7398" spans="1:6" x14ac:dyDescent="0.25">
      <c r="A7398" s="42" t="s">
        <v>30</v>
      </c>
      <c r="B7398" s="182">
        <v>44201</v>
      </c>
      <c r="C7398" s="4">
        <v>583</v>
      </c>
      <c r="D7398" s="183">
        <f t="shared" si="581"/>
        <v>33352</v>
      </c>
      <c r="E7398" s="4">
        <v>1</v>
      </c>
      <c r="F7398" s="57">
        <f t="shared" si="582"/>
        <v>496</v>
      </c>
    </row>
    <row r="7399" spans="1:6" x14ac:dyDescent="0.25">
      <c r="A7399" s="42" t="s">
        <v>21</v>
      </c>
      <c r="B7399" s="182">
        <v>44201</v>
      </c>
      <c r="C7399" s="4">
        <v>907</v>
      </c>
      <c r="D7399" s="183">
        <f t="shared" si="581"/>
        <v>129589</v>
      </c>
      <c r="E7399" s="4">
        <v>3</v>
      </c>
      <c r="F7399" s="57">
        <f t="shared" si="582"/>
        <v>2492</v>
      </c>
    </row>
    <row r="7400" spans="1:6" x14ac:dyDescent="0.25">
      <c r="A7400" s="42" t="s">
        <v>31</v>
      </c>
      <c r="B7400" s="182">
        <v>44201</v>
      </c>
      <c r="C7400" s="4">
        <v>176</v>
      </c>
      <c r="D7400" s="183">
        <f t="shared" si="581"/>
        <v>12635</v>
      </c>
      <c r="E7400" s="4">
        <v>0</v>
      </c>
      <c r="F7400" s="57">
        <f t="shared" si="582"/>
        <v>169</v>
      </c>
    </row>
    <row r="7401" spans="1:6" x14ac:dyDescent="0.25">
      <c r="A7401" s="42" t="s">
        <v>32</v>
      </c>
      <c r="B7401" s="182">
        <v>44201</v>
      </c>
      <c r="C7401" s="4">
        <v>550</v>
      </c>
      <c r="D7401" s="183">
        <f t="shared" si="581"/>
        <v>30967</v>
      </c>
      <c r="E7401" s="4">
        <v>4</v>
      </c>
      <c r="F7401" s="57">
        <f t="shared" si="582"/>
        <v>593</v>
      </c>
    </row>
    <row r="7402" spans="1:6" x14ac:dyDescent="0.25">
      <c r="A7402" s="42" t="s">
        <v>42</v>
      </c>
      <c r="B7402" s="182">
        <v>44201</v>
      </c>
      <c r="C7402" s="4">
        <v>5</v>
      </c>
      <c r="D7402" s="183">
        <f t="shared" si="581"/>
        <v>226</v>
      </c>
      <c r="E7402" s="4">
        <v>0</v>
      </c>
      <c r="F7402" s="57">
        <f t="shared" si="582"/>
        <v>3</v>
      </c>
    </row>
    <row r="7403" spans="1:6" x14ac:dyDescent="0.25">
      <c r="A7403" s="42" t="s">
        <v>33</v>
      </c>
      <c r="B7403" s="182">
        <v>44201</v>
      </c>
      <c r="C7403" s="4">
        <v>19</v>
      </c>
      <c r="D7403" s="183">
        <f t="shared" si="581"/>
        <v>18588</v>
      </c>
      <c r="E7403" s="4">
        <v>0</v>
      </c>
      <c r="F7403" s="57">
        <f t="shared" si="582"/>
        <v>859</v>
      </c>
    </row>
    <row r="7404" spans="1:6" x14ac:dyDescent="0.25">
      <c r="A7404" s="42" t="s">
        <v>34</v>
      </c>
      <c r="B7404" s="182">
        <v>44201</v>
      </c>
      <c r="C7404" s="4">
        <v>300</v>
      </c>
      <c r="D7404" s="183">
        <f t="shared" si="581"/>
        <v>11939</v>
      </c>
      <c r="E7404" s="4">
        <v>5</v>
      </c>
      <c r="F7404" s="57">
        <f t="shared" si="582"/>
        <v>137</v>
      </c>
    </row>
    <row r="7405" spans="1:6" x14ac:dyDescent="0.25">
      <c r="A7405" s="42" t="s">
        <v>22</v>
      </c>
      <c r="B7405" s="182">
        <v>44201</v>
      </c>
      <c r="C7405" s="4">
        <v>10</v>
      </c>
      <c r="D7405" s="183">
        <f t="shared" si="581"/>
        <v>9137</v>
      </c>
      <c r="E7405" s="4">
        <v>0</v>
      </c>
      <c r="F7405" s="57">
        <f t="shared" si="582"/>
        <v>398</v>
      </c>
    </row>
    <row r="7406" spans="1:6" x14ac:dyDescent="0.25">
      <c r="A7406" s="42" t="s">
        <v>18</v>
      </c>
      <c r="B7406" s="182">
        <v>44201</v>
      </c>
      <c r="C7406" s="4">
        <v>155</v>
      </c>
      <c r="D7406" s="183">
        <f t="shared" si="581"/>
        <v>60554</v>
      </c>
      <c r="E7406" s="4">
        <v>4</v>
      </c>
      <c r="F7406" s="57">
        <f t="shared" si="582"/>
        <v>1236</v>
      </c>
    </row>
    <row r="7407" spans="1:6" x14ac:dyDescent="0.25">
      <c r="A7407" s="42" t="s">
        <v>24</v>
      </c>
      <c r="B7407" s="182">
        <v>44201</v>
      </c>
      <c r="C7407" s="4">
        <v>5</v>
      </c>
      <c r="D7407" s="183">
        <f t="shared" si="581"/>
        <v>1162</v>
      </c>
      <c r="E7407" s="4">
        <v>0</v>
      </c>
      <c r="F7407" s="57">
        <f t="shared" si="582"/>
        <v>12</v>
      </c>
    </row>
    <row r="7408" spans="1:6" x14ac:dyDescent="0.25">
      <c r="A7408" s="42" t="s">
        <v>20</v>
      </c>
      <c r="B7408" s="182">
        <v>44201</v>
      </c>
      <c r="C7408" s="4">
        <v>673</v>
      </c>
      <c r="D7408" s="183">
        <f t="shared" si="581"/>
        <v>42904</v>
      </c>
      <c r="E7408" s="4">
        <v>2</v>
      </c>
      <c r="F7408" s="57">
        <f t="shared" si="582"/>
        <v>715</v>
      </c>
    </row>
    <row r="7409" spans="1:6" x14ac:dyDescent="0.25">
      <c r="A7409" s="42" t="s">
        <v>19</v>
      </c>
      <c r="B7409" s="182">
        <v>44201</v>
      </c>
      <c r="C7409" s="4">
        <v>382</v>
      </c>
      <c r="D7409" s="183">
        <f t="shared" si="581"/>
        <v>39744</v>
      </c>
      <c r="E7409" s="4">
        <v>10</v>
      </c>
      <c r="F7409" s="57">
        <f t="shared" si="582"/>
        <v>930</v>
      </c>
    </row>
    <row r="7410" spans="1:6" x14ac:dyDescent="0.25">
      <c r="A7410" s="42" t="s">
        <v>35</v>
      </c>
      <c r="B7410" s="182">
        <v>44201</v>
      </c>
      <c r="C7410" s="4">
        <v>25</v>
      </c>
      <c r="D7410" s="183">
        <f t="shared" si="581"/>
        <v>22459</v>
      </c>
      <c r="E7410" s="4">
        <v>0</v>
      </c>
      <c r="F7410" s="57">
        <f t="shared" si="582"/>
        <v>1022</v>
      </c>
    </row>
    <row r="7411" spans="1:6" x14ac:dyDescent="0.25">
      <c r="A7411" s="42" t="s">
        <v>36</v>
      </c>
      <c r="B7411" s="182">
        <v>44201</v>
      </c>
      <c r="C7411" s="4">
        <v>210</v>
      </c>
      <c r="D7411" s="183">
        <f t="shared" si="581"/>
        <v>11887</v>
      </c>
      <c r="E7411" s="4">
        <v>2</v>
      </c>
      <c r="F7411" s="57">
        <f t="shared" si="582"/>
        <v>204</v>
      </c>
    </row>
    <row r="7412" spans="1:6" x14ac:dyDescent="0.25">
      <c r="A7412" s="42" t="s">
        <v>37</v>
      </c>
      <c r="B7412" s="182">
        <v>44201</v>
      </c>
      <c r="C7412" s="4">
        <v>62</v>
      </c>
      <c r="D7412" s="183">
        <f t="shared" si="581"/>
        <v>16335</v>
      </c>
      <c r="E7412" s="4">
        <v>7</v>
      </c>
      <c r="F7412" s="57">
        <f t="shared" si="582"/>
        <v>308</v>
      </c>
    </row>
    <row r="7413" spans="1:6" x14ac:dyDescent="0.25">
      <c r="A7413" s="42" t="s">
        <v>38</v>
      </c>
      <c r="B7413" s="182">
        <v>44201</v>
      </c>
      <c r="C7413" s="4">
        <v>528</v>
      </c>
      <c r="D7413" s="183">
        <f t="shared" si="581"/>
        <v>25238</v>
      </c>
      <c r="E7413" s="4">
        <v>5</v>
      </c>
      <c r="F7413" s="57">
        <f t="shared" si="582"/>
        <v>404</v>
      </c>
    </row>
    <row r="7414" spans="1:6" x14ac:dyDescent="0.25">
      <c r="A7414" s="42" t="s">
        <v>23</v>
      </c>
      <c r="B7414" s="182">
        <v>44201</v>
      </c>
      <c r="C7414" s="4">
        <v>1477</v>
      </c>
      <c r="D7414" s="183">
        <f t="shared" si="581"/>
        <v>180334</v>
      </c>
      <c r="E7414" s="4">
        <v>42</v>
      </c>
      <c r="F7414" s="57">
        <f t="shared" si="582"/>
        <v>3042</v>
      </c>
    </row>
    <row r="7415" spans="1:6" x14ac:dyDescent="0.25">
      <c r="A7415" s="42" t="s">
        <v>39</v>
      </c>
      <c r="B7415" s="182">
        <v>44201</v>
      </c>
      <c r="C7415" s="4">
        <v>118</v>
      </c>
      <c r="D7415" s="183">
        <f t="shared" si="581"/>
        <v>17851</v>
      </c>
      <c r="E7415" s="4">
        <v>0</v>
      </c>
      <c r="F7415" s="57">
        <f t="shared" si="582"/>
        <v>219</v>
      </c>
    </row>
    <row r="7416" spans="1:6" x14ac:dyDescent="0.25">
      <c r="A7416" s="42" t="s">
        <v>40</v>
      </c>
      <c r="B7416" s="182">
        <v>44201</v>
      </c>
      <c r="C7416" s="4">
        <v>136</v>
      </c>
      <c r="D7416" s="183">
        <f t="shared" si="581"/>
        <v>19668</v>
      </c>
      <c r="E7416" s="4">
        <v>1</v>
      </c>
      <c r="F7416" s="57">
        <f t="shared" si="582"/>
        <v>255</v>
      </c>
    </row>
    <row r="7417" spans="1:6" x14ac:dyDescent="0.25">
      <c r="A7417" s="42" t="s">
        <v>41</v>
      </c>
      <c r="B7417" s="182">
        <v>44201</v>
      </c>
      <c r="C7417" s="4">
        <v>244</v>
      </c>
      <c r="D7417" s="183">
        <f t="shared" si="581"/>
        <v>71830</v>
      </c>
      <c r="E7417" s="4">
        <v>5</v>
      </c>
      <c r="F7417" s="57">
        <f t="shared" si="582"/>
        <v>1373</v>
      </c>
    </row>
    <row r="7418" spans="1:6" x14ac:dyDescent="0.25">
      <c r="A7418" s="42" t="s">
        <v>17</v>
      </c>
      <c r="B7418" s="182">
        <v>44202</v>
      </c>
      <c r="C7418" s="4">
        <v>5251</v>
      </c>
      <c r="D7418" s="183">
        <f t="shared" si="581"/>
        <v>704014</v>
      </c>
      <c r="E7418" s="4">
        <v>111</v>
      </c>
      <c r="F7418" s="57">
        <f t="shared" si="582"/>
        <v>22690</v>
      </c>
    </row>
    <row r="7419" spans="1:6" x14ac:dyDescent="0.25">
      <c r="A7419" s="42" t="s">
        <v>44</v>
      </c>
      <c r="B7419" s="182">
        <v>44202</v>
      </c>
      <c r="C7419" s="4">
        <v>1418</v>
      </c>
      <c r="D7419" s="183">
        <f t="shared" si="581"/>
        <v>180433</v>
      </c>
      <c r="E7419" s="4">
        <v>27</v>
      </c>
      <c r="F7419" s="57">
        <f t="shared" si="582"/>
        <v>5572</v>
      </c>
    </row>
    <row r="7420" spans="1:6" x14ac:dyDescent="0.25">
      <c r="A7420" s="42" t="s">
        <v>29</v>
      </c>
      <c r="B7420" s="182">
        <v>44202</v>
      </c>
      <c r="C7420" s="4">
        <v>39</v>
      </c>
      <c r="D7420" s="183">
        <f t="shared" si="581"/>
        <v>2969</v>
      </c>
      <c r="E7420" s="4">
        <v>0</v>
      </c>
      <c r="F7420" s="57">
        <f t="shared" si="582"/>
        <v>17</v>
      </c>
    </row>
    <row r="7421" spans="1:6" x14ac:dyDescent="0.25">
      <c r="A7421" s="42" t="s">
        <v>16</v>
      </c>
      <c r="B7421" s="182">
        <v>44202</v>
      </c>
      <c r="C7421" s="4">
        <v>274</v>
      </c>
      <c r="D7421" s="183">
        <f t="shared" si="581"/>
        <v>25897</v>
      </c>
      <c r="E7421" s="4">
        <v>3</v>
      </c>
      <c r="F7421" s="57">
        <f t="shared" si="582"/>
        <v>719</v>
      </c>
    </row>
    <row r="7422" spans="1:6" x14ac:dyDescent="0.25">
      <c r="A7422" s="42" t="s">
        <v>30</v>
      </c>
      <c r="B7422" s="182">
        <v>44202</v>
      </c>
      <c r="C7422" s="4">
        <v>486</v>
      </c>
      <c r="D7422" s="183">
        <f t="shared" si="581"/>
        <v>33838</v>
      </c>
      <c r="E7422" s="4">
        <v>0</v>
      </c>
      <c r="F7422" s="57">
        <f t="shared" si="582"/>
        <v>496</v>
      </c>
    </row>
    <row r="7423" spans="1:6" x14ac:dyDescent="0.25">
      <c r="A7423" s="42" t="s">
        <v>21</v>
      </c>
      <c r="B7423" s="182">
        <v>44202</v>
      </c>
      <c r="C7423" s="4">
        <v>914</v>
      </c>
      <c r="D7423" s="183">
        <f t="shared" si="581"/>
        <v>130503</v>
      </c>
      <c r="E7423" s="4">
        <v>5</v>
      </c>
      <c r="F7423" s="57">
        <f t="shared" si="582"/>
        <v>2497</v>
      </c>
    </row>
    <row r="7424" spans="1:6" x14ac:dyDescent="0.25">
      <c r="A7424" s="42" t="s">
        <v>31</v>
      </c>
      <c r="B7424" s="182">
        <v>44202</v>
      </c>
      <c r="C7424" s="4">
        <v>205</v>
      </c>
      <c r="D7424" s="183">
        <f t="shared" si="581"/>
        <v>12840</v>
      </c>
      <c r="E7424" s="4">
        <v>1</v>
      </c>
      <c r="F7424" s="57">
        <f t="shared" si="582"/>
        <v>170</v>
      </c>
    </row>
    <row r="7425" spans="1:6" x14ac:dyDescent="0.25">
      <c r="A7425" s="42" t="s">
        <v>32</v>
      </c>
      <c r="B7425" s="182">
        <v>44202</v>
      </c>
      <c r="C7425" s="4">
        <v>534</v>
      </c>
      <c r="D7425" s="183">
        <f t="shared" si="581"/>
        <v>31501</v>
      </c>
      <c r="E7425" s="4">
        <v>6</v>
      </c>
      <c r="F7425" s="57">
        <f t="shared" si="582"/>
        <v>599</v>
      </c>
    </row>
    <row r="7426" spans="1:6" x14ac:dyDescent="0.25">
      <c r="A7426" s="42" t="s">
        <v>42</v>
      </c>
      <c r="B7426" s="182">
        <v>44202</v>
      </c>
      <c r="C7426" s="4">
        <v>7</v>
      </c>
      <c r="D7426" s="183">
        <f t="shared" si="581"/>
        <v>233</v>
      </c>
      <c r="E7426" s="4">
        <v>0</v>
      </c>
      <c r="F7426" s="57">
        <f t="shared" si="582"/>
        <v>3</v>
      </c>
    </row>
    <row r="7427" spans="1:6" x14ac:dyDescent="0.25">
      <c r="A7427" s="42" t="s">
        <v>33</v>
      </c>
      <c r="B7427" s="182">
        <v>44202</v>
      </c>
      <c r="C7427" s="4">
        <v>14</v>
      </c>
      <c r="D7427" s="183">
        <f t="shared" si="581"/>
        <v>18602</v>
      </c>
      <c r="E7427" s="4">
        <v>0</v>
      </c>
      <c r="F7427" s="57">
        <f t="shared" si="582"/>
        <v>859</v>
      </c>
    </row>
    <row r="7428" spans="1:6" x14ac:dyDescent="0.25">
      <c r="A7428" s="42" t="s">
        <v>34</v>
      </c>
      <c r="B7428" s="182">
        <v>44202</v>
      </c>
      <c r="C7428" s="4">
        <v>402</v>
      </c>
      <c r="D7428" s="183">
        <f t="shared" si="581"/>
        <v>12341</v>
      </c>
      <c r="E7428" s="4">
        <v>0</v>
      </c>
      <c r="F7428" s="57">
        <f t="shared" si="582"/>
        <v>137</v>
      </c>
    </row>
    <row r="7429" spans="1:6" x14ac:dyDescent="0.25">
      <c r="A7429" s="42" t="s">
        <v>22</v>
      </c>
      <c r="B7429" s="182">
        <v>44202</v>
      </c>
      <c r="C7429" s="4">
        <v>9</v>
      </c>
      <c r="D7429" s="183">
        <f t="shared" si="581"/>
        <v>9146</v>
      </c>
      <c r="E7429" s="4">
        <v>0</v>
      </c>
      <c r="F7429" s="57">
        <f t="shared" si="582"/>
        <v>398</v>
      </c>
    </row>
    <row r="7430" spans="1:6" x14ac:dyDescent="0.25">
      <c r="A7430" s="42" t="s">
        <v>18</v>
      </c>
      <c r="B7430" s="182">
        <v>44202</v>
      </c>
      <c r="C7430" s="4">
        <v>157</v>
      </c>
      <c r="D7430" s="183">
        <f t="shared" si="581"/>
        <v>60711</v>
      </c>
      <c r="E7430" s="4">
        <v>2</v>
      </c>
      <c r="F7430" s="57">
        <f t="shared" si="582"/>
        <v>1238</v>
      </c>
    </row>
    <row r="7431" spans="1:6" x14ac:dyDescent="0.25">
      <c r="A7431" s="42" t="s">
        <v>24</v>
      </c>
      <c r="B7431" s="182">
        <v>44202</v>
      </c>
      <c r="C7431" s="4">
        <v>4</v>
      </c>
      <c r="D7431" s="183">
        <f t="shared" si="581"/>
        <v>1166</v>
      </c>
      <c r="E7431" s="4">
        <v>0</v>
      </c>
      <c r="F7431" s="57">
        <f t="shared" si="582"/>
        <v>12</v>
      </c>
    </row>
    <row r="7432" spans="1:6" x14ac:dyDescent="0.25">
      <c r="A7432" s="42" t="s">
        <v>20</v>
      </c>
      <c r="B7432" s="182">
        <v>44202</v>
      </c>
      <c r="C7432" s="4">
        <v>568</v>
      </c>
      <c r="D7432" s="183">
        <f t="shared" si="581"/>
        <v>43472</v>
      </c>
      <c r="E7432" s="4">
        <v>0</v>
      </c>
      <c r="F7432" s="57">
        <f t="shared" si="582"/>
        <v>715</v>
      </c>
    </row>
    <row r="7433" spans="1:6" x14ac:dyDescent="0.25">
      <c r="A7433" s="42" t="s">
        <v>19</v>
      </c>
      <c r="B7433" s="182">
        <v>44202</v>
      </c>
      <c r="C7433" s="4">
        <v>381</v>
      </c>
      <c r="D7433" s="183">
        <f t="shared" si="581"/>
        <v>40125</v>
      </c>
      <c r="E7433" s="4">
        <v>5</v>
      </c>
      <c r="F7433" s="57">
        <f t="shared" si="582"/>
        <v>935</v>
      </c>
    </row>
    <row r="7434" spans="1:6" x14ac:dyDescent="0.25">
      <c r="A7434" s="42" t="s">
        <v>35</v>
      </c>
      <c r="B7434" s="182">
        <v>44202</v>
      </c>
      <c r="C7434" s="4">
        <v>50</v>
      </c>
      <c r="D7434" s="183">
        <f t="shared" si="581"/>
        <v>22509</v>
      </c>
      <c r="E7434" s="4">
        <v>0</v>
      </c>
      <c r="F7434" s="57">
        <f t="shared" si="582"/>
        <v>1022</v>
      </c>
    </row>
    <row r="7435" spans="1:6" x14ac:dyDescent="0.25">
      <c r="A7435" s="42" t="s">
        <v>36</v>
      </c>
      <c r="B7435" s="182">
        <v>44202</v>
      </c>
      <c r="C7435" s="4">
        <v>113</v>
      </c>
      <c r="D7435" s="183">
        <f t="shared" si="581"/>
        <v>12000</v>
      </c>
      <c r="E7435" s="4">
        <v>2</v>
      </c>
      <c r="F7435" s="57">
        <f t="shared" si="582"/>
        <v>206</v>
      </c>
    </row>
    <row r="7436" spans="1:6" x14ac:dyDescent="0.25">
      <c r="A7436" s="42" t="s">
        <v>37</v>
      </c>
      <c r="B7436" s="182">
        <v>44202</v>
      </c>
      <c r="C7436" s="4">
        <v>62</v>
      </c>
      <c r="D7436" s="183">
        <f t="shared" si="581"/>
        <v>16397</v>
      </c>
      <c r="E7436" s="4">
        <v>0</v>
      </c>
      <c r="F7436" s="57">
        <f t="shared" si="582"/>
        <v>308</v>
      </c>
    </row>
    <row r="7437" spans="1:6" x14ac:dyDescent="0.25">
      <c r="A7437" s="42" t="s">
        <v>38</v>
      </c>
      <c r="B7437" s="182">
        <v>44202</v>
      </c>
      <c r="C7437" s="4">
        <v>461</v>
      </c>
      <c r="D7437" s="183">
        <f t="shared" si="581"/>
        <v>25699</v>
      </c>
      <c r="E7437" s="4">
        <v>7</v>
      </c>
      <c r="F7437" s="57">
        <f t="shared" si="582"/>
        <v>411</v>
      </c>
    </row>
    <row r="7438" spans="1:6" x14ac:dyDescent="0.25">
      <c r="A7438" s="42" t="s">
        <v>23</v>
      </c>
      <c r="B7438" s="182">
        <v>44202</v>
      </c>
      <c r="C7438" s="4">
        <v>1511</v>
      </c>
      <c r="D7438" s="183">
        <f t="shared" si="581"/>
        <v>181845</v>
      </c>
      <c r="E7438" s="4">
        <v>18</v>
      </c>
      <c r="F7438" s="57">
        <f t="shared" si="582"/>
        <v>3060</v>
      </c>
    </row>
    <row r="7439" spans="1:6" x14ac:dyDescent="0.25">
      <c r="A7439" s="42" t="s">
        <v>39</v>
      </c>
      <c r="B7439" s="182">
        <v>44202</v>
      </c>
      <c r="C7439" s="4">
        <v>181</v>
      </c>
      <c r="D7439" s="183">
        <f t="shared" si="581"/>
        <v>18032</v>
      </c>
      <c r="E7439" s="4">
        <v>0</v>
      </c>
      <c r="F7439" s="57">
        <f t="shared" si="582"/>
        <v>219</v>
      </c>
    </row>
    <row r="7440" spans="1:6" x14ac:dyDescent="0.25">
      <c r="A7440" s="42" t="s">
        <v>40</v>
      </c>
      <c r="B7440" s="182">
        <v>44202</v>
      </c>
      <c r="C7440" s="4">
        <v>171</v>
      </c>
      <c r="D7440" s="183">
        <f t="shared" si="581"/>
        <v>19839</v>
      </c>
      <c r="E7440" s="4">
        <v>4</v>
      </c>
      <c r="F7440" s="57">
        <f t="shared" si="582"/>
        <v>259</v>
      </c>
    </row>
    <row r="7441" spans="1:6" x14ac:dyDescent="0.25">
      <c r="A7441" s="42" t="s">
        <v>41</v>
      </c>
      <c r="B7441" s="182">
        <v>44202</v>
      </c>
      <c r="C7441" s="4">
        <v>229</v>
      </c>
      <c r="D7441" s="183">
        <f t="shared" si="581"/>
        <v>72059</v>
      </c>
      <c r="F7441" s="57">
        <f t="shared" si="582"/>
        <v>1373</v>
      </c>
    </row>
    <row r="7442" spans="1:6" x14ac:dyDescent="0.25">
      <c r="A7442" s="42" t="s">
        <v>17</v>
      </c>
      <c r="B7442" s="182">
        <v>44203</v>
      </c>
      <c r="C7442" s="4">
        <v>5319</v>
      </c>
      <c r="D7442" s="183">
        <f t="shared" si="581"/>
        <v>709333</v>
      </c>
      <c r="E7442" s="4">
        <v>43</v>
      </c>
      <c r="F7442" s="57">
        <f t="shared" si="582"/>
        <v>22733</v>
      </c>
    </row>
    <row r="7443" spans="1:6" x14ac:dyDescent="0.25">
      <c r="A7443" s="42" t="s">
        <v>44</v>
      </c>
      <c r="B7443" s="182">
        <v>44203</v>
      </c>
      <c r="C7443" s="4">
        <v>1556</v>
      </c>
      <c r="D7443" s="183">
        <f t="shared" ref="D7443:D7506" si="583">C7443+D7419</f>
        <v>181989</v>
      </c>
      <c r="E7443" s="4">
        <v>5</v>
      </c>
      <c r="F7443" s="57">
        <f t="shared" ref="F7443:F7506" si="584">E7443+F7419</f>
        <v>5577</v>
      </c>
    </row>
    <row r="7444" spans="1:6" x14ac:dyDescent="0.25">
      <c r="A7444" s="42" t="s">
        <v>29</v>
      </c>
      <c r="B7444" s="182">
        <v>44203</v>
      </c>
      <c r="C7444" s="4">
        <v>29</v>
      </c>
      <c r="D7444" s="183">
        <f t="shared" si="583"/>
        <v>2998</v>
      </c>
      <c r="E7444" s="4">
        <v>0</v>
      </c>
      <c r="F7444" s="57">
        <f t="shared" si="584"/>
        <v>17</v>
      </c>
    </row>
    <row r="7445" spans="1:6" x14ac:dyDescent="0.25">
      <c r="A7445" s="42" t="s">
        <v>16</v>
      </c>
      <c r="B7445" s="182">
        <v>44203</v>
      </c>
      <c r="C7445" s="4">
        <v>318</v>
      </c>
      <c r="D7445" s="183">
        <f t="shared" si="583"/>
        <v>26215</v>
      </c>
      <c r="E7445" s="4">
        <v>10</v>
      </c>
      <c r="F7445" s="57">
        <f t="shared" si="584"/>
        <v>729</v>
      </c>
    </row>
    <row r="7446" spans="1:6" x14ac:dyDescent="0.25">
      <c r="A7446" s="42" t="s">
        <v>30</v>
      </c>
      <c r="B7446" s="182">
        <v>44203</v>
      </c>
      <c r="C7446" s="4">
        <v>490</v>
      </c>
      <c r="D7446" s="183">
        <f t="shared" si="583"/>
        <v>34328</v>
      </c>
      <c r="E7446" s="4">
        <v>27</v>
      </c>
      <c r="F7446" s="57">
        <f t="shared" si="584"/>
        <v>523</v>
      </c>
    </row>
    <row r="7447" spans="1:6" x14ac:dyDescent="0.25">
      <c r="A7447" s="42" t="s">
        <v>21</v>
      </c>
      <c r="B7447" s="182">
        <v>44203</v>
      </c>
      <c r="C7447" s="4">
        <v>956</v>
      </c>
      <c r="D7447" s="183">
        <f t="shared" si="583"/>
        <v>131459</v>
      </c>
      <c r="E7447" s="4">
        <v>5</v>
      </c>
      <c r="F7447" s="57">
        <f t="shared" si="584"/>
        <v>2502</v>
      </c>
    </row>
    <row r="7448" spans="1:6" x14ac:dyDescent="0.25">
      <c r="A7448" s="42" t="s">
        <v>31</v>
      </c>
      <c r="B7448" s="182">
        <v>44203</v>
      </c>
      <c r="C7448" s="4">
        <v>210</v>
      </c>
      <c r="D7448" s="183">
        <f t="shared" si="583"/>
        <v>13050</v>
      </c>
      <c r="E7448" s="4">
        <v>0</v>
      </c>
      <c r="F7448" s="57">
        <f t="shared" si="584"/>
        <v>170</v>
      </c>
    </row>
    <row r="7449" spans="1:6" x14ac:dyDescent="0.25">
      <c r="A7449" s="42" t="s">
        <v>32</v>
      </c>
      <c r="B7449" s="182">
        <v>44203</v>
      </c>
      <c r="C7449" s="4">
        <v>587</v>
      </c>
      <c r="D7449" s="183">
        <f t="shared" si="583"/>
        <v>32088</v>
      </c>
      <c r="E7449" s="4">
        <v>3</v>
      </c>
      <c r="F7449" s="57">
        <f t="shared" si="584"/>
        <v>602</v>
      </c>
    </row>
    <row r="7450" spans="1:6" x14ac:dyDescent="0.25">
      <c r="A7450" s="42" t="s">
        <v>42</v>
      </c>
      <c r="B7450" s="182">
        <v>44203</v>
      </c>
      <c r="C7450" s="4">
        <v>5</v>
      </c>
      <c r="D7450" s="183">
        <f t="shared" si="583"/>
        <v>238</v>
      </c>
      <c r="E7450" s="4">
        <v>0</v>
      </c>
      <c r="F7450" s="57">
        <f t="shared" si="584"/>
        <v>3</v>
      </c>
    </row>
    <row r="7451" spans="1:6" x14ac:dyDescent="0.25">
      <c r="A7451" s="42" t="s">
        <v>33</v>
      </c>
      <c r="B7451" s="182">
        <v>44203</v>
      </c>
      <c r="C7451" s="4">
        <v>15</v>
      </c>
      <c r="D7451" s="183">
        <f t="shared" si="583"/>
        <v>18617</v>
      </c>
      <c r="E7451" s="4">
        <v>0</v>
      </c>
      <c r="F7451" s="57">
        <f t="shared" si="584"/>
        <v>859</v>
      </c>
    </row>
    <row r="7452" spans="1:6" x14ac:dyDescent="0.25">
      <c r="A7452" s="42" t="s">
        <v>34</v>
      </c>
      <c r="B7452" s="182">
        <v>44203</v>
      </c>
      <c r="C7452" s="4">
        <v>412</v>
      </c>
      <c r="D7452" s="183">
        <f t="shared" si="583"/>
        <v>12753</v>
      </c>
      <c r="E7452" s="4">
        <v>1</v>
      </c>
      <c r="F7452" s="57">
        <f t="shared" si="584"/>
        <v>138</v>
      </c>
    </row>
    <row r="7453" spans="1:6" x14ac:dyDescent="0.25">
      <c r="A7453" s="42" t="s">
        <v>22</v>
      </c>
      <c r="B7453" s="182">
        <v>44203</v>
      </c>
      <c r="C7453" s="4">
        <v>21</v>
      </c>
      <c r="D7453" s="183">
        <f t="shared" si="583"/>
        <v>9167</v>
      </c>
      <c r="E7453" s="4">
        <v>1</v>
      </c>
      <c r="F7453" s="57">
        <f t="shared" si="584"/>
        <v>399</v>
      </c>
    </row>
    <row r="7454" spans="1:6" x14ac:dyDescent="0.25">
      <c r="A7454" s="42" t="s">
        <v>18</v>
      </c>
      <c r="B7454" s="182">
        <v>44203</v>
      </c>
      <c r="C7454" s="4">
        <v>178</v>
      </c>
      <c r="D7454" s="183">
        <f t="shared" si="583"/>
        <v>60889</v>
      </c>
      <c r="E7454" s="4">
        <v>0</v>
      </c>
      <c r="F7454" s="57">
        <f t="shared" si="584"/>
        <v>1238</v>
      </c>
    </row>
    <row r="7455" spans="1:6" x14ac:dyDescent="0.25">
      <c r="A7455" s="42" t="s">
        <v>24</v>
      </c>
      <c r="B7455" s="182">
        <v>44203</v>
      </c>
      <c r="C7455" s="4">
        <v>9</v>
      </c>
      <c r="D7455" s="183">
        <f t="shared" si="583"/>
        <v>1175</v>
      </c>
      <c r="E7455" s="4">
        <v>3</v>
      </c>
      <c r="F7455" s="57">
        <f t="shared" si="584"/>
        <v>15</v>
      </c>
    </row>
    <row r="7456" spans="1:6" x14ac:dyDescent="0.25">
      <c r="A7456" s="42" t="s">
        <v>20</v>
      </c>
      <c r="B7456" s="182">
        <v>44203</v>
      </c>
      <c r="C7456" s="4">
        <v>592</v>
      </c>
      <c r="D7456" s="183">
        <f t="shared" si="583"/>
        <v>44064</v>
      </c>
      <c r="E7456" s="4">
        <v>0</v>
      </c>
      <c r="F7456" s="57">
        <f t="shared" si="584"/>
        <v>715</v>
      </c>
    </row>
    <row r="7457" spans="1:6" x14ac:dyDescent="0.25">
      <c r="A7457" s="42" t="s">
        <v>19</v>
      </c>
      <c r="B7457" s="182">
        <v>44203</v>
      </c>
      <c r="C7457" s="4">
        <v>457</v>
      </c>
      <c r="D7457" s="183">
        <f t="shared" si="583"/>
        <v>40582</v>
      </c>
      <c r="E7457" s="4">
        <v>8</v>
      </c>
      <c r="F7457" s="57">
        <f t="shared" si="584"/>
        <v>943</v>
      </c>
    </row>
    <row r="7458" spans="1:6" x14ac:dyDescent="0.25">
      <c r="A7458" s="42" t="s">
        <v>35</v>
      </c>
      <c r="B7458" s="182">
        <v>44203</v>
      </c>
      <c r="C7458" s="4">
        <v>69</v>
      </c>
      <c r="D7458" s="183">
        <f t="shared" si="583"/>
        <v>22578</v>
      </c>
      <c r="E7458" s="4">
        <v>0</v>
      </c>
      <c r="F7458" s="57">
        <f t="shared" si="584"/>
        <v>1022</v>
      </c>
    </row>
    <row r="7459" spans="1:6" x14ac:dyDescent="0.25">
      <c r="A7459" s="42" t="s">
        <v>36</v>
      </c>
      <c r="B7459" s="182">
        <v>44203</v>
      </c>
      <c r="C7459" s="4">
        <v>142</v>
      </c>
      <c r="D7459" s="183">
        <f t="shared" si="583"/>
        <v>12142</v>
      </c>
      <c r="E7459" s="4">
        <v>1</v>
      </c>
      <c r="F7459" s="57">
        <f t="shared" si="584"/>
        <v>207</v>
      </c>
    </row>
    <row r="7460" spans="1:6" x14ac:dyDescent="0.25">
      <c r="A7460" s="42" t="s">
        <v>37</v>
      </c>
      <c r="B7460" s="182">
        <v>44203</v>
      </c>
      <c r="C7460" s="4">
        <v>49</v>
      </c>
      <c r="D7460" s="183">
        <f t="shared" si="583"/>
        <v>16446</v>
      </c>
      <c r="E7460" s="4">
        <v>7</v>
      </c>
      <c r="F7460" s="57">
        <f t="shared" si="584"/>
        <v>315</v>
      </c>
    </row>
    <row r="7461" spans="1:6" x14ac:dyDescent="0.25">
      <c r="A7461" s="42" t="s">
        <v>38</v>
      </c>
      <c r="B7461" s="182">
        <v>44203</v>
      </c>
      <c r="C7461" s="4">
        <v>461</v>
      </c>
      <c r="D7461" s="183">
        <f t="shared" si="583"/>
        <v>26160</v>
      </c>
      <c r="E7461" s="4">
        <v>3</v>
      </c>
      <c r="F7461" s="57">
        <f t="shared" si="584"/>
        <v>414</v>
      </c>
    </row>
    <row r="7462" spans="1:6" x14ac:dyDescent="0.25">
      <c r="A7462" s="42" t="s">
        <v>23</v>
      </c>
      <c r="B7462" s="182">
        <v>44203</v>
      </c>
      <c r="C7462" s="4">
        <v>1446</v>
      </c>
      <c r="D7462" s="183">
        <f t="shared" si="583"/>
        <v>183291</v>
      </c>
      <c r="E7462" s="4">
        <v>12</v>
      </c>
      <c r="F7462" s="57">
        <f t="shared" si="584"/>
        <v>3072</v>
      </c>
    </row>
    <row r="7463" spans="1:6" x14ac:dyDescent="0.25">
      <c r="A7463" s="42" t="s">
        <v>39</v>
      </c>
      <c r="B7463" s="182">
        <v>44203</v>
      </c>
      <c r="C7463" s="4">
        <v>167</v>
      </c>
      <c r="D7463" s="183">
        <f t="shared" si="583"/>
        <v>18199</v>
      </c>
      <c r="E7463" s="4">
        <v>1</v>
      </c>
      <c r="F7463" s="57">
        <f t="shared" si="584"/>
        <v>220</v>
      </c>
    </row>
    <row r="7464" spans="1:6" x14ac:dyDescent="0.25">
      <c r="A7464" s="42" t="s">
        <v>40</v>
      </c>
      <c r="B7464" s="182">
        <v>44203</v>
      </c>
      <c r="C7464" s="4">
        <v>74</v>
      </c>
      <c r="D7464" s="183">
        <f t="shared" si="583"/>
        <v>19913</v>
      </c>
      <c r="E7464" s="4">
        <v>6</v>
      </c>
      <c r="F7464" s="57">
        <f t="shared" si="584"/>
        <v>265</v>
      </c>
    </row>
    <row r="7465" spans="1:6" x14ac:dyDescent="0.25">
      <c r="A7465" s="42" t="s">
        <v>41</v>
      </c>
      <c r="B7465" s="182">
        <v>44203</v>
      </c>
      <c r="C7465" s="4">
        <v>273</v>
      </c>
      <c r="D7465" s="183">
        <f t="shared" si="583"/>
        <v>72332</v>
      </c>
      <c r="E7465" s="4">
        <v>10</v>
      </c>
      <c r="F7465" s="57">
        <f t="shared" si="584"/>
        <v>1383</v>
      </c>
    </row>
    <row r="7466" spans="1:6" x14ac:dyDescent="0.25">
      <c r="A7466" s="42" t="s">
        <v>17</v>
      </c>
      <c r="B7466" s="182">
        <v>44204</v>
      </c>
      <c r="C7466" s="4">
        <v>4937</v>
      </c>
      <c r="D7466" s="183">
        <f t="shared" si="583"/>
        <v>714270</v>
      </c>
      <c r="E7466" s="4">
        <v>60</v>
      </c>
      <c r="F7466" s="57">
        <f t="shared" si="584"/>
        <v>22793</v>
      </c>
    </row>
    <row r="7467" spans="1:6" x14ac:dyDescent="0.25">
      <c r="A7467" s="42" t="s">
        <v>44</v>
      </c>
      <c r="B7467" s="182">
        <v>44204</v>
      </c>
      <c r="C7467" s="4">
        <v>1451</v>
      </c>
      <c r="D7467" s="183">
        <f t="shared" si="583"/>
        <v>183440</v>
      </c>
      <c r="E7467" s="4">
        <v>12</v>
      </c>
      <c r="F7467" s="57">
        <f t="shared" si="584"/>
        <v>5589</v>
      </c>
    </row>
    <row r="7468" spans="1:6" x14ac:dyDescent="0.25">
      <c r="A7468" s="42" t="s">
        <v>29</v>
      </c>
      <c r="B7468" s="182">
        <v>44204</v>
      </c>
      <c r="C7468" s="4">
        <v>55</v>
      </c>
      <c r="D7468" s="183">
        <f t="shared" si="583"/>
        <v>3053</v>
      </c>
      <c r="E7468" s="4">
        <v>0</v>
      </c>
      <c r="F7468" s="57">
        <f t="shared" si="584"/>
        <v>17</v>
      </c>
    </row>
    <row r="7469" spans="1:6" x14ac:dyDescent="0.25">
      <c r="A7469" s="42" t="s">
        <v>16</v>
      </c>
      <c r="B7469" s="182">
        <v>44204</v>
      </c>
      <c r="C7469" s="4">
        <v>298</v>
      </c>
      <c r="D7469" s="183">
        <f t="shared" si="583"/>
        <v>26513</v>
      </c>
      <c r="E7469" s="4">
        <v>2</v>
      </c>
      <c r="F7469" s="57">
        <f t="shared" si="584"/>
        <v>731</v>
      </c>
    </row>
    <row r="7470" spans="1:6" x14ac:dyDescent="0.25">
      <c r="A7470" s="42" t="s">
        <v>30</v>
      </c>
      <c r="B7470" s="182">
        <v>44204</v>
      </c>
      <c r="C7470" s="4">
        <v>468</v>
      </c>
      <c r="D7470" s="183">
        <f t="shared" si="583"/>
        <v>34796</v>
      </c>
      <c r="E7470" s="4">
        <v>9</v>
      </c>
      <c r="F7470" s="57">
        <f t="shared" si="584"/>
        <v>532</v>
      </c>
    </row>
    <row r="7471" spans="1:6" x14ac:dyDescent="0.25">
      <c r="A7471" s="42" t="s">
        <v>21</v>
      </c>
      <c r="B7471" s="182">
        <v>44204</v>
      </c>
      <c r="C7471" s="4">
        <v>991</v>
      </c>
      <c r="D7471" s="183">
        <f t="shared" si="583"/>
        <v>132450</v>
      </c>
      <c r="E7471" s="4">
        <v>5</v>
      </c>
      <c r="F7471" s="57">
        <f t="shared" si="584"/>
        <v>2507</v>
      </c>
    </row>
    <row r="7472" spans="1:6" x14ac:dyDescent="0.25">
      <c r="A7472" s="42" t="s">
        <v>31</v>
      </c>
      <c r="B7472" s="182">
        <v>44204</v>
      </c>
      <c r="C7472" s="4">
        <v>298</v>
      </c>
      <c r="D7472" s="183">
        <f t="shared" si="583"/>
        <v>13348</v>
      </c>
      <c r="E7472" s="4">
        <v>4</v>
      </c>
      <c r="F7472" s="57">
        <f t="shared" si="584"/>
        <v>174</v>
      </c>
    </row>
    <row r="7473" spans="1:6" x14ac:dyDescent="0.25">
      <c r="A7473" s="42" t="s">
        <v>32</v>
      </c>
      <c r="B7473" s="182">
        <v>44204</v>
      </c>
      <c r="C7473" s="4">
        <v>587</v>
      </c>
      <c r="D7473" s="183">
        <f t="shared" si="583"/>
        <v>32675</v>
      </c>
      <c r="E7473" s="4">
        <v>7</v>
      </c>
      <c r="F7473" s="57">
        <f t="shared" si="584"/>
        <v>609</v>
      </c>
    </row>
    <row r="7474" spans="1:6" x14ac:dyDescent="0.25">
      <c r="A7474" s="42" t="s">
        <v>42</v>
      </c>
      <c r="B7474" s="182">
        <v>44204</v>
      </c>
      <c r="C7474" s="4">
        <v>3</v>
      </c>
      <c r="D7474" s="183">
        <f t="shared" si="583"/>
        <v>241</v>
      </c>
      <c r="E7474" s="4">
        <v>0</v>
      </c>
      <c r="F7474" s="57">
        <f t="shared" si="584"/>
        <v>3</v>
      </c>
    </row>
    <row r="7475" spans="1:6" x14ac:dyDescent="0.25">
      <c r="A7475" s="42" t="s">
        <v>33</v>
      </c>
      <c r="B7475" s="182">
        <v>44204</v>
      </c>
      <c r="C7475" s="4">
        <v>41</v>
      </c>
      <c r="D7475" s="183">
        <f t="shared" si="583"/>
        <v>18658</v>
      </c>
      <c r="E7475" s="4">
        <v>0</v>
      </c>
      <c r="F7475" s="57">
        <f t="shared" si="584"/>
        <v>859</v>
      </c>
    </row>
    <row r="7476" spans="1:6" x14ac:dyDescent="0.25">
      <c r="A7476" s="42" t="s">
        <v>34</v>
      </c>
      <c r="B7476" s="182">
        <v>44204</v>
      </c>
      <c r="C7476" s="4">
        <v>330</v>
      </c>
      <c r="D7476" s="183">
        <f t="shared" si="583"/>
        <v>13083</v>
      </c>
      <c r="E7476" s="4">
        <v>4</v>
      </c>
      <c r="F7476" s="57">
        <f t="shared" si="584"/>
        <v>142</v>
      </c>
    </row>
    <row r="7477" spans="1:6" x14ac:dyDescent="0.25">
      <c r="A7477" s="42" t="s">
        <v>22</v>
      </c>
      <c r="B7477" s="182">
        <v>44204</v>
      </c>
      <c r="C7477" s="4">
        <v>17</v>
      </c>
      <c r="D7477" s="183">
        <f t="shared" si="583"/>
        <v>9184</v>
      </c>
      <c r="E7477" s="4">
        <v>0</v>
      </c>
      <c r="F7477" s="57">
        <f t="shared" si="584"/>
        <v>399</v>
      </c>
    </row>
    <row r="7478" spans="1:6" x14ac:dyDescent="0.25">
      <c r="A7478" s="42" t="s">
        <v>18</v>
      </c>
      <c r="B7478" s="182">
        <v>44204</v>
      </c>
      <c r="C7478" s="4">
        <v>180</v>
      </c>
      <c r="D7478" s="183">
        <f t="shared" si="583"/>
        <v>61069</v>
      </c>
      <c r="E7478" s="4">
        <v>6</v>
      </c>
      <c r="F7478" s="57">
        <f t="shared" si="584"/>
        <v>1244</v>
      </c>
    </row>
    <row r="7479" spans="1:6" x14ac:dyDescent="0.25">
      <c r="A7479" s="42" t="s">
        <v>24</v>
      </c>
      <c r="B7479" s="182">
        <v>44204</v>
      </c>
      <c r="C7479" s="4">
        <v>4</v>
      </c>
      <c r="D7479" s="183">
        <f t="shared" si="583"/>
        <v>1179</v>
      </c>
      <c r="E7479" s="4">
        <v>0</v>
      </c>
      <c r="F7479" s="57">
        <f t="shared" si="584"/>
        <v>15</v>
      </c>
    </row>
    <row r="7480" spans="1:6" x14ac:dyDescent="0.25">
      <c r="A7480" s="42" t="s">
        <v>20</v>
      </c>
      <c r="B7480" s="182">
        <v>44204</v>
      </c>
      <c r="C7480" s="4">
        <v>506</v>
      </c>
      <c r="D7480" s="183">
        <f t="shared" si="583"/>
        <v>44570</v>
      </c>
      <c r="E7480" s="4">
        <v>0</v>
      </c>
      <c r="F7480" s="57">
        <f t="shared" si="584"/>
        <v>715</v>
      </c>
    </row>
    <row r="7481" spans="1:6" x14ac:dyDescent="0.25">
      <c r="A7481" s="42" t="s">
        <v>19</v>
      </c>
      <c r="B7481" s="182">
        <v>44204</v>
      </c>
      <c r="C7481" s="4">
        <v>464</v>
      </c>
      <c r="D7481" s="183">
        <f t="shared" si="583"/>
        <v>41046</v>
      </c>
      <c r="E7481" s="4">
        <v>10</v>
      </c>
      <c r="F7481" s="57">
        <f t="shared" si="584"/>
        <v>953</v>
      </c>
    </row>
    <row r="7482" spans="1:6" x14ac:dyDescent="0.25">
      <c r="A7482" s="42" t="s">
        <v>35</v>
      </c>
      <c r="B7482" s="182">
        <v>44204</v>
      </c>
      <c r="C7482" s="4">
        <v>38</v>
      </c>
      <c r="D7482" s="183">
        <f t="shared" si="583"/>
        <v>22616</v>
      </c>
      <c r="E7482" s="4">
        <v>1</v>
      </c>
      <c r="F7482" s="57">
        <f t="shared" si="584"/>
        <v>1023</v>
      </c>
    </row>
    <row r="7483" spans="1:6" x14ac:dyDescent="0.25">
      <c r="A7483" s="42" t="s">
        <v>36</v>
      </c>
      <c r="B7483" s="182">
        <v>44204</v>
      </c>
      <c r="C7483" s="4">
        <v>138</v>
      </c>
      <c r="D7483" s="183">
        <f t="shared" si="583"/>
        <v>12280</v>
      </c>
      <c r="E7483" s="4">
        <v>0</v>
      </c>
      <c r="F7483" s="57">
        <f t="shared" si="584"/>
        <v>207</v>
      </c>
    </row>
    <row r="7484" spans="1:6" x14ac:dyDescent="0.25">
      <c r="A7484" s="42" t="s">
        <v>37</v>
      </c>
      <c r="B7484" s="182">
        <v>44204</v>
      </c>
      <c r="C7484" s="4">
        <v>74</v>
      </c>
      <c r="D7484" s="183">
        <f t="shared" si="583"/>
        <v>16520</v>
      </c>
      <c r="E7484" s="4">
        <v>5</v>
      </c>
      <c r="F7484" s="57">
        <f t="shared" si="584"/>
        <v>320</v>
      </c>
    </row>
    <row r="7485" spans="1:6" x14ac:dyDescent="0.25">
      <c r="A7485" s="42" t="s">
        <v>38</v>
      </c>
      <c r="B7485" s="182">
        <v>44204</v>
      </c>
      <c r="C7485" s="4">
        <v>414</v>
      </c>
      <c r="D7485" s="183">
        <f t="shared" si="583"/>
        <v>26574</v>
      </c>
      <c r="E7485" s="4">
        <v>4</v>
      </c>
      <c r="F7485" s="57">
        <f t="shared" si="584"/>
        <v>418</v>
      </c>
    </row>
    <row r="7486" spans="1:6" x14ac:dyDescent="0.25">
      <c r="A7486" s="42" t="s">
        <v>23</v>
      </c>
      <c r="B7486" s="182">
        <v>44204</v>
      </c>
      <c r="C7486" s="4">
        <v>1428</v>
      </c>
      <c r="D7486" s="183">
        <f t="shared" si="583"/>
        <v>184719</v>
      </c>
      <c r="E7486" s="4">
        <v>11</v>
      </c>
      <c r="F7486" s="57">
        <f t="shared" si="584"/>
        <v>3083</v>
      </c>
    </row>
    <row r="7487" spans="1:6" x14ac:dyDescent="0.25">
      <c r="A7487" s="42" t="s">
        <v>39</v>
      </c>
      <c r="B7487" s="182">
        <v>44204</v>
      </c>
      <c r="C7487" s="4">
        <v>228</v>
      </c>
      <c r="D7487" s="183">
        <f t="shared" si="583"/>
        <v>18427</v>
      </c>
      <c r="E7487" s="4">
        <v>2</v>
      </c>
      <c r="F7487" s="57">
        <f t="shared" si="584"/>
        <v>222</v>
      </c>
    </row>
    <row r="7488" spans="1:6" x14ac:dyDescent="0.25">
      <c r="A7488" s="42" t="s">
        <v>40</v>
      </c>
      <c r="B7488" s="182">
        <v>44204</v>
      </c>
      <c r="C7488" s="4">
        <v>127</v>
      </c>
      <c r="D7488" s="183">
        <f t="shared" si="583"/>
        <v>20040</v>
      </c>
      <c r="E7488" s="4">
        <v>9</v>
      </c>
      <c r="F7488" s="57">
        <f t="shared" si="584"/>
        <v>274</v>
      </c>
    </row>
    <row r="7489" spans="1:6" x14ac:dyDescent="0.25">
      <c r="A7489" s="42" t="s">
        <v>41</v>
      </c>
      <c r="B7489" s="182">
        <v>44204</v>
      </c>
      <c r="C7489" s="4">
        <v>269</v>
      </c>
      <c r="D7489" s="183">
        <f t="shared" si="583"/>
        <v>72601</v>
      </c>
      <c r="E7489" s="4">
        <v>0</v>
      </c>
      <c r="F7489" s="57">
        <f t="shared" si="584"/>
        <v>1383</v>
      </c>
    </row>
    <row r="7490" spans="1:6" x14ac:dyDescent="0.25">
      <c r="A7490" s="42" t="s">
        <v>17</v>
      </c>
      <c r="B7490" s="182">
        <v>44205</v>
      </c>
      <c r="C7490" s="4">
        <v>4389</v>
      </c>
      <c r="D7490" s="183">
        <f t="shared" si="583"/>
        <v>718659</v>
      </c>
      <c r="E7490" s="4">
        <v>68</v>
      </c>
      <c r="F7490" s="57">
        <f t="shared" si="584"/>
        <v>22861</v>
      </c>
    </row>
    <row r="7491" spans="1:6" x14ac:dyDescent="0.25">
      <c r="A7491" s="42" t="s">
        <v>44</v>
      </c>
      <c r="B7491" s="182">
        <v>44205</v>
      </c>
      <c r="C7491" s="4">
        <v>1350</v>
      </c>
      <c r="D7491" s="183">
        <f t="shared" si="583"/>
        <v>184790</v>
      </c>
      <c r="E7491" s="4">
        <v>4</v>
      </c>
      <c r="F7491" s="57">
        <f t="shared" si="584"/>
        <v>5593</v>
      </c>
    </row>
    <row r="7492" spans="1:6" x14ac:dyDescent="0.25">
      <c r="A7492" s="42" t="s">
        <v>29</v>
      </c>
      <c r="B7492" s="182">
        <v>44205</v>
      </c>
      <c r="C7492" s="4">
        <v>69</v>
      </c>
      <c r="D7492" s="183">
        <f t="shared" si="583"/>
        <v>3122</v>
      </c>
      <c r="E7492" s="4">
        <v>0</v>
      </c>
      <c r="F7492" s="57">
        <f t="shared" si="584"/>
        <v>17</v>
      </c>
    </row>
    <row r="7493" spans="1:6" x14ac:dyDescent="0.25">
      <c r="A7493" s="42" t="s">
        <v>16</v>
      </c>
      <c r="B7493" s="182">
        <v>44205</v>
      </c>
      <c r="C7493" s="4">
        <v>225</v>
      </c>
      <c r="D7493" s="183">
        <f t="shared" si="583"/>
        <v>26738</v>
      </c>
      <c r="E7493" s="4">
        <v>1</v>
      </c>
      <c r="F7493" s="57">
        <f t="shared" si="584"/>
        <v>732</v>
      </c>
    </row>
    <row r="7494" spans="1:6" x14ac:dyDescent="0.25">
      <c r="A7494" s="42" t="s">
        <v>30</v>
      </c>
      <c r="B7494" s="182">
        <v>44205</v>
      </c>
      <c r="C7494" s="4">
        <v>330</v>
      </c>
      <c r="D7494" s="183">
        <f t="shared" si="583"/>
        <v>35126</v>
      </c>
      <c r="E7494" s="4">
        <v>0</v>
      </c>
      <c r="F7494" s="57">
        <f t="shared" si="584"/>
        <v>532</v>
      </c>
    </row>
    <row r="7495" spans="1:6" x14ac:dyDescent="0.25">
      <c r="A7495" s="42" t="s">
        <v>21</v>
      </c>
      <c r="B7495" s="182">
        <v>44205</v>
      </c>
      <c r="C7495" s="4">
        <v>628</v>
      </c>
      <c r="D7495" s="183">
        <f t="shared" si="583"/>
        <v>133078</v>
      </c>
      <c r="E7495" s="4">
        <v>2</v>
      </c>
      <c r="F7495" s="57">
        <f t="shared" si="584"/>
        <v>2509</v>
      </c>
    </row>
    <row r="7496" spans="1:6" x14ac:dyDescent="0.25">
      <c r="A7496" s="42" t="s">
        <v>31</v>
      </c>
      <c r="B7496" s="182">
        <v>44205</v>
      </c>
      <c r="C7496" s="4">
        <v>298</v>
      </c>
      <c r="D7496" s="183">
        <f t="shared" si="583"/>
        <v>13646</v>
      </c>
      <c r="E7496" s="4">
        <v>0</v>
      </c>
      <c r="F7496" s="57">
        <f t="shared" si="584"/>
        <v>174</v>
      </c>
    </row>
    <row r="7497" spans="1:6" x14ac:dyDescent="0.25">
      <c r="A7497" s="42" t="s">
        <v>32</v>
      </c>
      <c r="B7497" s="182">
        <v>44205</v>
      </c>
      <c r="C7497" s="4">
        <v>516</v>
      </c>
      <c r="D7497" s="183">
        <f t="shared" si="583"/>
        <v>33191</v>
      </c>
      <c r="E7497" s="4">
        <v>1</v>
      </c>
      <c r="F7497" s="57">
        <f t="shared" si="584"/>
        <v>610</v>
      </c>
    </row>
    <row r="7498" spans="1:6" x14ac:dyDescent="0.25">
      <c r="A7498" s="42" t="s">
        <v>42</v>
      </c>
      <c r="B7498" s="182">
        <v>44205</v>
      </c>
      <c r="C7498" s="4">
        <v>18</v>
      </c>
      <c r="D7498" s="183">
        <f t="shared" si="583"/>
        <v>259</v>
      </c>
      <c r="E7498" s="4">
        <v>0</v>
      </c>
      <c r="F7498" s="57">
        <f t="shared" si="584"/>
        <v>3</v>
      </c>
    </row>
    <row r="7499" spans="1:6" x14ac:dyDescent="0.25">
      <c r="A7499" s="42" t="s">
        <v>33</v>
      </c>
      <c r="B7499" s="182">
        <v>44205</v>
      </c>
      <c r="C7499" s="4">
        <v>8</v>
      </c>
      <c r="D7499" s="183">
        <f t="shared" si="583"/>
        <v>18666</v>
      </c>
      <c r="E7499" s="4">
        <v>0</v>
      </c>
      <c r="F7499" s="57">
        <f t="shared" si="584"/>
        <v>859</v>
      </c>
    </row>
    <row r="7500" spans="1:6" x14ac:dyDescent="0.25">
      <c r="A7500" s="42" t="s">
        <v>34</v>
      </c>
      <c r="B7500" s="182">
        <v>44205</v>
      </c>
      <c r="C7500" s="4">
        <v>315</v>
      </c>
      <c r="D7500" s="183">
        <f t="shared" si="583"/>
        <v>13398</v>
      </c>
      <c r="E7500" s="4">
        <v>13</v>
      </c>
      <c r="F7500" s="57">
        <f t="shared" si="584"/>
        <v>155</v>
      </c>
    </row>
    <row r="7501" spans="1:6" x14ac:dyDescent="0.25">
      <c r="A7501" s="42" t="s">
        <v>22</v>
      </c>
      <c r="B7501" s="182">
        <v>44205</v>
      </c>
      <c r="C7501" s="4">
        <v>15</v>
      </c>
      <c r="D7501" s="183">
        <f t="shared" si="583"/>
        <v>9199</v>
      </c>
      <c r="E7501" s="4">
        <v>2</v>
      </c>
      <c r="F7501" s="57">
        <f t="shared" si="584"/>
        <v>401</v>
      </c>
    </row>
    <row r="7502" spans="1:6" x14ac:dyDescent="0.25">
      <c r="A7502" s="42" t="s">
        <v>18</v>
      </c>
      <c r="B7502" s="182">
        <v>44205</v>
      </c>
      <c r="C7502" s="4">
        <v>145</v>
      </c>
      <c r="D7502" s="183">
        <f t="shared" si="583"/>
        <v>61214</v>
      </c>
      <c r="E7502" s="4">
        <v>1</v>
      </c>
      <c r="F7502" s="57">
        <f t="shared" si="584"/>
        <v>1245</v>
      </c>
    </row>
    <row r="7503" spans="1:6" x14ac:dyDescent="0.25">
      <c r="A7503" s="42" t="s">
        <v>24</v>
      </c>
      <c r="B7503" s="182">
        <v>44205</v>
      </c>
      <c r="C7503" s="4">
        <v>156</v>
      </c>
      <c r="D7503" s="183">
        <f t="shared" si="583"/>
        <v>1335</v>
      </c>
      <c r="E7503" s="4">
        <v>1</v>
      </c>
      <c r="F7503" s="57">
        <f t="shared" si="584"/>
        <v>16</v>
      </c>
    </row>
    <row r="7504" spans="1:6" x14ac:dyDescent="0.25">
      <c r="A7504" s="42" t="s">
        <v>20</v>
      </c>
      <c r="B7504" s="182">
        <v>44205</v>
      </c>
      <c r="C7504" s="4">
        <v>351</v>
      </c>
      <c r="D7504" s="183">
        <f t="shared" si="583"/>
        <v>44921</v>
      </c>
      <c r="E7504" s="4">
        <v>38</v>
      </c>
      <c r="F7504" s="57">
        <f t="shared" si="584"/>
        <v>753</v>
      </c>
    </row>
    <row r="7505" spans="1:6" x14ac:dyDescent="0.25">
      <c r="A7505" s="42" t="s">
        <v>19</v>
      </c>
      <c r="B7505" s="182">
        <v>44205</v>
      </c>
      <c r="C7505" s="4">
        <v>237</v>
      </c>
      <c r="D7505" s="183">
        <f t="shared" si="583"/>
        <v>41283</v>
      </c>
      <c r="E7505" s="4">
        <v>3</v>
      </c>
      <c r="F7505" s="57">
        <f t="shared" si="584"/>
        <v>956</v>
      </c>
    </row>
    <row r="7506" spans="1:6" x14ac:dyDescent="0.25">
      <c r="A7506" s="42" t="s">
        <v>35</v>
      </c>
      <c r="B7506" s="182">
        <v>44205</v>
      </c>
      <c r="C7506" s="4">
        <v>73</v>
      </c>
      <c r="D7506" s="183">
        <f t="shared" si="583"/>
        <v>22689</v>
      </c>
      <c r="E7506" s="4">
        <v>0</v>
      </c>
      <c r="F7506" s="57">
        <f t="shared" si="584"/>
        <v>1023</v>
      </c>
    </row>
    <row r="7507" spans="1:6" x14ac:dyDescent="0.25">
      <c r="A7507" s="42" t="s">
        <v>36</v>
      </c>
      <c r="B7507" s="182">
        <v>44205</v>
      </c>
      <c r="C7507" s="4">
        <v>79</v>
      </c>
      <c r="D7507" s="183">
        <f t="shared" ref="D7507:D7513" si="585">C7507+D7483</f>
        <v>12359</v>
      </c>
      <c r="E7507" s="4">
        <v>0</v>
      </c>
      <c r="F7507" s="57">
        <f t="shared" ref="F7507:F7513" si="586">E7507+F7483</f>
        <v>207</v>
      </c>
    </row>
    <row r="7508" spans="1:6" x14ac:dyDescent="0.25">
      <c r="A7508" s="42" t="s">
        <v>37</v>
      </c>
      <c r="B7508" s="182">
        <v>44205</v>
      </c>
      <c r="C7508" s="4">
        <v>16</v>
      </c>
      <c r="D7508" s="183">
        <f t="shared" si="585"/>
        <v>16536</v>
      </c>
      <c r="E7508" s="4">
        <v>1</v>
      </c>
      <c r="F7508" s="57">
        <f t="shared" si="586"/>
        <v>321</v>
      </c>
    </row>
    <row r="7509" spans="1:6" x14ac:dyDescent="0.25">
      <c r="A7509" s="42" t="s">
        <v>38</v>
      </c>
      <c r="B7509" s="182">
        <v>44205</v>
      </c>
      <c r="C7509" s="4">
        <v>365</v>
      </c>
      <c r="D7509" s="183">
        <f t="shared" si="585"/>
        <v>26939</v>
      </c>
      <c r="E7509" s="4">
        <v>2</v>
      </c>
      <c r="F7509" s="57">
        <f t="shared" si="586"/>
        <v>420</v>
      </c>
    </row>
    <row r="7510" spans="1:6" x14ac:dyDescent="0.25">
      <c r="A7510" s="42" t="s">
        <v>23</v>
      </c>
      <c r="B7510" s="182">
        <v>44205</v>
      </c>
      <c r="C7510" s="4">
        <v>1171</v>
      </c>
      <c r="D7510" s="183">
        <f t="shared" si="585"/>
        <v>185890</v>
      </c>
      <c r="E7510" s="4">
        <v>2</v>
      </c>
      <c r="F7510" s="57">
        <f t="shared" si="586"/>
        <v>3085</v>
      </c>
    </row>
    <row r="7511" spans="1:6" x14ac:dyDescent="0.25">
      <c r="A7511" s="42" t="s">
        <v>39</v>
      </c>
      <c r="B7511" s="182">
        <v>44205</v>
      </c>
      <c r="C7511" s="4">
        <v>125</v>
      </c>
      <c r="D7511" s="183">
        <f t="shared" si="585"/>
        <v>18552</v>
      </c>
      <c r="E7511" s="4">
        <v>3</v>
      </c>
      <c r="F7511" s="57">
        <f t="shared" si="586"/>
        <v>225</v>
      </c>
    </row>
    <row r="7512" spans="1:6" x14ac:dyDescent="0.25">
      <c r="A7512" s="42" t="s">
        <v>40</v>
      </c>
      <c r="B7512" s="182">
        <v>44205</v>
      </c>
      <c r="C7512" s="4">
        <v>57</v>
      </c>
      <c r="D7512" s="183">
        <f t="shared" si="585"/>
        <v>20097</v>
      </c>
      <c r="E7512" s="4">
        <v>0</v>
      </c>
      <c r="F7512" s="57">
        <f t="shared" si="586"/>
        <v>274</v>
      </c>
    </row>
    <row r="7513" spans="1:6" x14ac:dyDescent="0.25">
      <c r="A7513" s="42" t="s">
        <v>41</v>
      </c>
      <c r="B7513" s="182">
        <v>44205</v>
      </c>
      <c r="C7513" s="4">
        <v>121</v>
      </c>
      <c r="D7513" s="183">
        <f t="shared" si="585"/>
        <v>72722</v>
      </c>
      <c r="E7513" s="4">
        <v>0</v>
      </c>
      <c r="F7513" s="57">
        <f t="shared" si="586"/>
        <v>1383</v>
      </c>
    </row>
    <row r="7514" spans="1:6" x14ac:dyDescent="0.25">
      <c r="A7514" s="42" t="s">
        <v>17</v>
      </c>
      <c r="B7514" s="182">
        <v>44206</v>
      </c>
      <c r="C7514" s="4">
        <v>3295</v>
      </c>
      <c r="D7514" s="183">
        <f>C7514+D7490</f>
        <v>721954</v>
      </c>
      <c r="E7514" s="4">
        <v>49</v>
      </c>
      <c r="F7514" s="57">
        <f>E7514+F7490</f>
        <v>22910</v>
      </c>
    </row>
    <row r="7515" spans="1:6" x14ac:dyDescent="0.25">
      <c r="A7515" s="42" t="s">
        <v>44</v>
      </c>
      <c r="B7515" s="182">
        <v>44206</v>
      </c>
      <c r="C7515" s="4">
        <v>1247</v>
      </c>
      <c r="D7515" s="183">
        <f t="shared" ref="D7515:D7537" si="587">C7515+D7491</f>
        <v>186037</v>
      </c>
      <c r="E7515" s="4">
        <v>4</v>
      </c>
      <c r="F7515" s="57">
        <f t="shared" ref="F7515:F7537" si="588">E7515+F7491</f>
        <v>5597</v>
      </c>
    </row>
    <row r="7516" spans="1:6" x14ac:dyDescent="0.25">
      <c r="A7516" s="42" t="s">
        <v>29</v>
      </c>
      <c r="B7516" s="182">
        <v>44206</v>
      </c>
      <c r="C7516" s="4">
        <v>51</v>
      </c>
      <c r="D7516" s="183">
        <f t="shared" si="587"/>
        <v>3173</v>
      </c>
      <c r="E7516" s="4">
        <v>0</v>
      </c>
      <c r="F7516" s="57">
        <f t="shared" si="588"/>
        <v>17</v>
      </c>
    </row>
    <row r="7517" spans="1:6" x14ac:dyDescent="0.25">
      <c r="A7517" s="42" t="s">
        <v>16</v>
      </c>
      <c r="B7517" s="182">
        <v>44206</v>
      </c>
      <c r="C7517" s="4">
        <v>191</v>
      </c>
      <c r="D7517" s="183">
        <f t="shared" si="587"/>
        <v>26929</v>
      </c>
      <c r="E7517" s="4">
        <v>2</v>
      </c>
      <c r="F7517" s="57">
        <f t="shared" si="588"/>
        <v>734</v>
      </c>
    </row>
    <row r="7518" spans="1:6" x14ac:dyDescent="0.25">
      <c r="A7518" s="42" t="s">
        <v>30</v>
      </c>
      <c r="B7518" s="182">
        <v>44206</v>
      </c>
      <c r="C7518" s="4">
        <v>194</v>
      </c>
      <c r="D7518" s="183">
        <f t="shared" si="587"/>
        <v>35320</v>
      </c>
      <c r="E7518" s="4">
        <v>3</v>
      </c>
      <c r="F7518" s="57">
        <f t="shared" si="588"/>
        <v>535</v>
      </c>
    </row>
    <row r="7519" spans="1:6" x14ac:dyDescent="0.25">
      <c r="A7519" s="42" t="s">
        <v>21</v>
      </c>
      <c r="B7519" s="182">
        <v>44206</v>
      </c>
      <c r="C7519" s="4">
        <v>466</v>
      </c>
      <c r="D7519" s="183">
        <f t="shared" si="587"/>
        <v>133544</v>
      </c>
      <c r="E7519" s="4">
        <v>0</v>
      </c>
      <c r="F7519" s="57">
        <f t="shared" si="588"/>
        <v>2509</v>
      </c>
    </row>
    <row r="7520" spans="1:6" x14ac:dyDescent="0.25">
      <c r="A7520" s="42" t="s">
        <v>31</v>
      </c>
      <c r="B7520" s="182">
        <v>44206</v>
      </c>
      <c r="C7520" s="4">
        <v>119</v>
      </c>
      <c r="D7520" s="183">
        <f t="shared" si="587"/>
        <v>13765</v>
      </c>
      <c r="E7520" s="4">
        <v>0</v>
      </c>
      <c r="F7520" s="57">
        <f t="shared" si="588"/>
        <v>174</v>
      </c>
    </row>
    <row r="7521" spans="1:6" x14ac:dyDescent="0.25">
      <c r="A7521" s="42" t="s">
        <v>32</v>
      </c>
      <c r="B7521" s="182">
        <v>44206</v>
      </c>
      <c r="C7521" s="4">
        <v>350</v>
      </c>
      <c r="D7521" s="183">
        <f t="shared" si="587"/>
        <v>33541</v>
      </c>
      <c r="E7521" s="4">
        <v>3</v>
      </c>
      <c r="F7521" s="57">
        <f t="shared" si="588"/>
        <v>613</v>
      </c>
    </row>
    <row r="7522" spans="1:6" x14ac:dyDescent="0.25">
      <c r="A7522" s="42" t="s">
        <v>42</v>
      </c>
      <c r="B7522" s="182">
        <v>44206</v>
      </c>
      <c r="C7522" s="4">
        <v>32</v>
      </c>
      <c r="D7522" s="183">
        <f t="shared" si="587"/>
        <v>291</v>
      </c>
      <c r="E7522" s="4">
        <v>0</v>
      </c>
      <c r="F7522" s="57">
        <f t="shared" si="588"/>
        <v>3</v>
      </c>
    </row>
    <row r="7523" spans="1:6" x14ac:dyDescent="0.25">
      <c r="A7523" s="42" t="s">
        <v>33</v>
      </c>
      <c r="B7523" s="182">
        <v>44206</v>
      </c>
      <c r="C7523" s="4">
        <v>20</v>
      </c>
      <c r="D7523" s="183">
        <f t="shared" si="587"/>
        <v>18686</v>
      </c>
      <c r="E7523" s="4">
        <v>0</v>
      </c>
      <c r="F7523" s="57">
        <f t="shared" si="588"/>
        <v>859</v>
      </c>
    </row>
    <row r="7524" spans="1:6" x14ac:dyDescent="0.25">
      <c r="A7524" s="42" t="s">
        <v>34</v>
      </c>
      <c r="B7524" s="182">
        <v>44206</v>
      </c>
      <c r="C7524" s="4">
        <v>102</v>
      </c>
      <c r="D7524" s="183">
        <f t="shared" si="587"/>
        <v>13500</v>
      </c>
      <c r="E7524" s="4">
        <v>3</v>
      </c>
      <c r="F7524" s="57">
        <f t="shared" si="588"/>
        <v>158</v>
      </c>
    </row>
    <row r="7525" spans="1:6" x14ac:dyDescent="0.25">
      <c r="A7525" s="42" t="s">
        <v>22</v>
      </c>
      <c r="B7525" s="182">
        <v>44206</v>
      </c>
      <c r="C7525" s="4">
        <v>15</v>
      </c>
      <c r="D7525" s="183">
        <f t="shared" si="587"/>
        <v>9214</v>
      </c>
      <c r="E7525" s="4">
        <v>0</v>
      </c>
      <c r="F7525" s="57">
        <f t="shared" si="588"/>
        <v>401</v>
      </c>
    </row>
    <row r="7526" spans="1:6" x14ac:dyDescent="0.25">
      <c r="A7526" s="42" t="s">
        <v>18</v>
      </c>
      <c r="B7526" s="182">
        <v>44206</v>
      </c>
      <c r="C7526" s="4">
        <v>76</v>
      </c>
      <c r="D7526" s="183">
        <f t="shared" si="587"/>
        <v>61290</v>
      </c>
      <c r="E7526" s="4">
        <v>0</v>
      </c>
      <c r="F7526" s="57">
        <f t="shared" si="588"/>
        <v>1245</v>
      </c>
    </row>
    <row r="7527" spans="1:6" x14ac:dyDescent="0.25">
      <c r="A7527" s="42" t="s">
        <v>24</v>
      </c>
      <c r="B7527" s="182">
        <v>44206</v>
      </c>
      <c r="C7527" s="4">
        <v>110</v>
      </c>
      <c r="D7527" s="183">
        <f t="shared" si="587"/>
        <v>1445</v>
      </c>
      <c r="E7527" s="4">
        <v>0</v>
      </c>
      <c r="F7527" s="57">
        <f t="shared" si="588"/>
        <v>16</v>
      </c>
    </row>
    <row r="7528" spans="1:6" x14ac:dyDescent="0.25">
      <c r="A7528" s="42" t="s">
        <v>20</v>
      </c>
      <c r="B7528" s="182">
        <v>44206</v>
      </c>
      <c r="C7528" s="4">
        <v>229</v>
      </c>
      <c r="D7528" s="183">
        <f t="shared" si="587"/>
        <v>45150</v>
      </c>
      <c r="E7528" s="4">
        <v>0</v>
      </c>
      <c r="F7528" s="57">
        <f t="shared" si="588"/>
        <v>753</v>
      </c>
    </row>
    <row r="7529" spans="1:6" x14ac:dyDescent="0.25">
      <c r="A7529" s="42" t="s">
        <v>19</v>
      </c>
      <c r="B7529" s="182">
        <v>44206</v>
      </c>
      <c r="C7529" s="4">
        <v>201</v>
      </c>
      <c r="D7529" s="183">
        <f t="shared" si="587"/>
        <v>41484</v>
      </c>
      <c r="E7529" s="4">
        <v>4</v>
      </c>
      <c r="F7529" s="57">
        <f t="shared" si="588"/>
        <v>960</v>
      </c>
    </row>
    <row r="7530" spans="1:6" x14ac:dyDescent="0.25">
      <c r="A7530" s="42" t="s">
        <v>35</v>
      </c>
      <c r="B7530" s="182">
        <v>44206</v>
      </c>
      <c r="C7530" s="4">
        <v>21</v>
      </c>
      <c r="D7530" s="183">
        <f t="shared" si="587"/>
        <v>22710</v>
      </c>
      <c r="E7530" s="4">
        <v>0</v>
      </c>
      <c r="F7530" s="57">
        <f t="shared" si="588"/>
        <v>1023</v>
      </c>
    </row>
    <row r="7531" spans="1:6" x14ac:dyDescent="0.25">
      <c r="A7531" s="42" t="s">
        <v>36</v>
      </c>
      <c r="B7531" s="182">
        <v>44206</v>
      </c>
      <c r="C7531" s="4">
        <v>23</v>
      </c>
      <c r="D7531" s="183">
        <f t="shared" si="587"/>
        <v>12382</v>
      </c>
      <c r="E7531" s="4">
        <v>0</v>
      </c>
      <c r="F7531" s="57">
        <f t="shared" si="588"/>
        <v>207</v>
      </c>
    </row>
    <row r="7532" spans="1:6" x14ac:dyDescent="0.25">
      <c r="A7532" s="42" t="s">
        <v>37</v>
      </c>
      <c r="B7532" s="182">
        <v>44206</v>
      </c>
      <c r="C7532" s="4">
        <v>8</v>
      </c>
      <c r="D7532" s="183">
        <f t="shared" si="587"/>
        <v>16544</v>
      </c>
      <c r="E7532" s="4">
        <v>0</v>
      </c>
      <c r="F7532" s="57">
        <f t="shared" si="588"/>
        <v>321</v>
      </c>
    </row>
    <row r="7533" spans="1:6" x14ac:dyDescent="0.25">
      <c r="A7533" s="42" t="s">
        <v>38</v>
      </c>
      <c r="B7533" s="182">
        <v>44206</v>
      </c>
      <c r="C7533" s="4">
        <v>255</v>
      </c>
      <c r="D7533" s="183">
        <f t="shared" si="587"/>
        <v>27194</v>
      </c>
      <c r="E7533" s="4">
        <v>4</v>
      </c>
      <c r="F7533" s="57">
        <f t="shared" si="588"/>
        <v>424</v>
      </c>
    </row>
    <row r="7534" spans="1:6" x14ac:dyDescent="0.25">
      <c r="A7534" s="42" t="s">
        <v>23</v>
      </c>
      <c r="B7534" s="182">
        <v>44206</v>
      </c>
      <c r="C7534" s="4">
        <v>548</v>
      </c>
      <c r="D7534" s="183">
        <f t="shared" si="587"/>
        <v>186438</v>
      </c>
      <c r="E7534" s="4">
        <v>4</v>
      </c>
      <c r="F7534" s="57">
        <f t="shared" si="588"/>
        <v>3089</v>
      </c>
    </row>
    <row r="7535" spans="1:6" x14ac:dyDescent="0.25">
      <c r="A7535" s="42" t="s">
        <v>39</v>
      </c>
      <c r="B7535" s="182">
        <v>44206</v>
      </c>
      <c r="C7535" s="4">
        <v>65</v>
      </c>
      <c r="D7535" s="183">
        <f t="shared" si="587"/>
        <v>18617</v>
      </c>
      <c r="E7535" s="4">
        <v>1</v>
      </c>
      <c r="F7535" s="57">
        <f t="shared" si="588"/>
        <v>226</v>
      </c>
    </row>
    <row r="7536" spans="1:6" x14ac:dyDescent="0.25">
      <c r="A7536" s="42" t="s">
        <v>40</v>
      </c>
      <c r="B7536" s="182">
        <v>44206</v>
      </c>
      <c r="C7536" s="4">
        <v>74</v>
      </c>
      <c r="D7536" s="183">
        <f t="shared" si="587"/>
        <v>20171</v>
      </c>
      <c r="E7536" s="4">
        <v>0</v>
      </c>
      <c r="F7536" s="57">
        <f t="shared" si="588"/>
        <v>274</v>
      </c>
    </row>
    <row r="7537" spans="1:8" x14ac:dyDescent="0.25">
      <c r="A7537" s="42" t="s">
        <v>41</v>
      </c>
      <c r="B7537" s="182">
        <v>44206</v>
      </c>
      <c r="C7537" s="4">
        <v>116</v>
      </c>
      <c r="D7537" s="183">
        <f t="shared" si="587"/>
        <v>72838</v>
      </c>
      <c r="E7537" s="4">
        <v>1</v>
      </c>
      <c r="F7537" s="57">
        <f t="shared" si="588"/>
        <v>1384</v>
      </c>
    </row>
    <row r="7538" spans="1:8" x14ac:dyDescent="0.25">
      <c r="A7538" s="42" t="s">
        <v>17</v>
      </c>
      <c r="B7538" s="182">
        <v>44207</v>
      </c>
      <c r="C7538" s="4">
        <v>3180</v>
      </c>
      <c r="D7538" s="183">
        <f>C7538+D7514</f>
        <v>725134</v>
      </c>
      <c r="E7538" s="4">
        <v>91</v>
      </c>
      <c r="F7538" s="57">
        <f>E7538+F7514</f>
        <v>23001</v>
      </c>
      <c r="G7538">
        <v>61</v>
      </c>
      <c r="H7538">
        <v>29</v>
      </c>
    </row>
    <row r="7539" spans="1:8" x14ac:dyDescent="0.25">
      <c r="A7539" s="42" t="s">
        <v>44</v>
      </c>
      <c r="B7539" s="182">
        <v>44207</v>
      </c>
      <c r="C7539" s="4">
        <v>915</v>
      </c>
      <c r="D7539" s="183">
        <f t="shared" ref="D7539:D7602" si="589">C7539+D7515</f>
        <v>186952</v>
      </c>
      <c r="E7539" s="4">
        <v>7</v>
      </c>
      <c r="F7539" s="57">
        <f t="shared" ref="F7539:F7602" si="590">E7539+F7515</f>
        <v>5604</v>
      </c>
      <c r="G7539">
        <v>6</v>
      </c>
      <c r="H7539">
        <v>1</v>
      </c>
    </row>
    <row r="7540" spans="1:8" x14ac:dyDescent="0.25">
      <c r="A7540" s="42" t="s">
        <v>29</v>
      </c>
      <c r="B7540" s="182">
        <v>44207</v>
      </c>
      <c r="C7540" s="4">
        <v>31</v>
      </c>
      <c r="D7540" s="183">
        <f t="shared" si="589"/>
        <v>3204</v>
      </c>
      <c r="E7540" s="4">
        <v>0</v>
      </c>
      <c r="F7540" s="57">
        <f t="shared" si="590"/>
        <v>17</v>
      </c>
    </row>
    <row r="7541" spans="1:8" x14ac:dyDescent="0.25">
      <c r="A7541" s="42" t="s">
        <v>16</v>
      </c>
      <c r="B7541" s="182">
        <v>44207</v>
      </c>
      <c r="C7541" s="4">
        <v>154</v>
      </c>
      <c r="D7541" s="183">
        <f t="shared" si="589"/>
        <v>27083</v>
      </c>
      <c r="E7541" s="4">
        <v>3</v>
      </c>
      <c r="F7541" s="57">
        <f t="shared" si="590"/>
        <v>737</v>
      </c>
      <c r="G7541">
        <v>1</v>
      </c>
      <c r="H7541">
        <v>2</v>
      </c>
    </row>
    <row r="7542" spans="1:8" x14ac:dyDescent="0.25">
      <c r="A7542" s="42" t="s">
        <v>30</v>
      </c>
      <c r="B7542" s="182">
        <v>44207</v>
      </c>
      <c r="C7542" s="4">
        <v>505</v>
      </c>
      <c r="D7542" s="183">
        <f t="shared" si="589"/>
        <v>35825</v>
      </c>
      <c r="E7542" s="4">
        <v>7</v>
      </c>
      <c r="F7542" s="57">
        <f t="shared" si="590"/>
        <v>542</v>
      </c>
      <c r="G7542">
        <v>5</v>
      </c>
      <c r="H7542">
        <v>2</v>
      </c>
    </row>
    <row r="7543" spans="1:8" x14ac:dyDescent="0.25">
      <c r="A7543" s="42" t="s">
        <v>21</v>
      </c>
      <c r="B7543" s="182">
        <v>44207</v>
      </c>
      <c r="C7543" s="4">
        <v>297</v>
      </c>
      <c r="D7543" s="183">
        <f t="shared" si="589"/>
        <v>133841</v>
      </c>
      <c r="E7543" s="4">
        <v>5</v>
      </c>
      <c r="F7543" s="57">
        <f t="shared" si="590"/>
        <v>2514</v>
      </c>
      <c r="G7543">
        <v>2</v>
      </c>
      <c r="H7543">
        <v>3</v>
      </c>
    </row>
    <row r="7544" spans="1:8" x14ac:dyDescent="0.25">
      <c r="A7544" s="42" t="s">
        <v>31</v>
      </c>
      <c r="B7544" s="182">
        <v>44207</v>
      </c>
      <c r="C7544" s="4">
        <v>169</v>
      </c>
      <c r="D7544" s="183">
        <f t="shared" si="589"/>
        <v>13934</v>
      </c>
      <c r="E7544" s="4">
        <v>7</v>
      </c>
      <c r="F7544" s="57">
        <f t="shared" si="590"/>
        <v>181</v>
      </c>
      <c r="G7544">
        <v>2</v>
      </c>
      <c r="H7544">
        <v>5</v>
      </c>
    </row>
    <row r="7545" spans="1:8" x14ac:dyDescent="0.25">
      <c r="A7545" s="42" t="s">
        <v>32</v>
      </c>
      <c r="B7545" s="182">
        <v>44207</v>
      </c>
      <c r="C7545" s="4">
        <v>179</v>
      </c>
      <c r="D7545" s="183">
        <f t="shared" si="589"/>
        <v>33720</v>
      </c>
      <c r="E7545" s="4">
        <v>1</v>
      </c>
      <c r="F7545" s="57">
        <f t="shared" si="590"/>
        <v>614</v>
      </c>
      <c r="G7545">
        <v>1</v>
      </c>
    </row>
    <row r="7546" spans="1:8" x14ac:dyDescent="0.25">
      <c r="A7546" s="42" t="s">
        <v>42</v>
      </c>
      <c r="B7546" s="182">
        <v>44207</v>
      </c>
      <c r="C7546" s="4">
        <v>21</v>
      </c>
      <c r="D7546" s="183">
        <f t="shared" si="589"/>
        <v>312</v>
      </c>
      <c r="E7546" s="4">
        <v>0</v>
      </c>
      <c r="F7546" s="57">
        <f t="shared" si="590"/>
        <v>3</v>
      </c>
    </row>
    <row r="7547" spans="1:8" x14ac:dyDescent="0.25">
      <c r="A7547" s="42" t="s">
        <v>33</v>
      </c>
      <c r="B7547" s="182">
        <v>44207</v>
      </c>
      <c r="C7547" s="4">
        <v>17</v>
      </c>
      <c r="D7547" s="183">
        <f t="shared" si="589"/>
        <v>18703</v>
      </c>
      <c r="E7547" s="4">
        <v>0</v>
      </c>
      <c r="F7547" s="57">
        <f t="shared" si="590"/>
        <v>859</v>
      </c>
    </row>
    <row r="7548" spans="1:8" x14ac:dyDescent="0.25">
      <c r="A7548" s="42" t="s">
        <v>34</v>
      </c>
      <c r="B7548" s="182">
        <v>44207</v>
      </c>
      <c r="C7548" s="4">
        <v>203</v>
      </c>
      <c r="D7548" s="183">
        <f t="shared" si="589"/>
        <v>13703</v>
      </c>
      <c r="E7548" s="4">
        <v>1</v>
      </c>
      <c r="F7548" s="57">
        <f t="shared" si="590"/>
        <v>159</v>
      </c>
      <c r="H7548">
        <v>1</v>
      </c>
    </row>
    <row r="7549" spans="1:8" x14ac:dyDescent="0.25">
      <c r="A7549" s="42" t="s">
        <v>22</v>
      </c>
      <c r="B7549" s="182">
        <v>44207</v>
      </c>
      <c r="C7549" s="4">
        <v>13</v>
      </c>
      <c r="D7549" s="183">
        <f t="shared" si="589"/>
        <v>9227</v>
      </c>
      <c r="E7549" s="4">
        <v>0</v>
      </c>
      <c r="F7549" s="57">
        <f t="shared" si="590"/>
        <v>401</v>
      </c>
    </row>
    <row r="7550" spans="1:8" x14ac:dyDescent="0.25">
      <c r="A7550" s="42" t="s">
        <v>18</v>
      </c>
      <c r="B7550" s="182">
        <v>44207</v>
      </c>
      <c r="C7550" s="4">
        <v>105</v>
      </c>
      <c r="D7550" s="183">
        <f t="shared" si="589"/>
        <v>61395</v>
      </c>
      <c r="E7550" s="4">
        <v>3</v>
      </c>
      <c r="F7550" s="57">
        <f t="shared" si="590"/>
        <v>1248</v>
      </c>
      <c r="G7550">
        <v>2</v>
      </c>
      <c r="H7550">
        <v>1</v>
      </c>
    </row>
    <row r="7551" spans="1:8" x14ac:dyDescent="0.25">
      <c r="A7551" s="42" t="s">
        <v>24</v>
      </c>
      <c r="B7551" s="182">
        <v>44207</v>
      </c>
      <c r="C7551" s="4">
        <v>25</v>
      </c>
      <c r="D7551" s="183">
        <f t="shared" si="589"/>
        <v>1470</v>
      </c>
      <c r="E7551" s="4">
        <v>0</v>
      </c>
      <c r="F7551" s="57">
        <f t="shared" si="590"/>
        <v>16</v>
      </c>
    </row>
    <row r="7552" spans="1:8" x14ac:dyDescent="0.25">
      <c r="A7552" s="42" t="s">
        <v>20</v>
      </c>
      <c r="B7552" s="182">
        <v>44207</v>
      </c>
      <c r="C7552" s="4">
        <v>405</v>
      </c>
      <c r="D7552" s="183">
        <f t="shared" si="589"/>
        <v>45555</v>
      </c>
      <c r="E7552" s="4">
        <v>1</v>
      </c>
      <c r="F7552" s="57">
        <f t="shared" si="590"/>
        <v>754</v>
      </c>
      <c r="H7552">
        <v>1</v>
      </c>
    </row>
    <row r="7553" spans="1:8" x14ac:dyDescent="0.25">
      <c r="A7553" s="42" t="s">
        <v>19</v>
      </c>
      <c r="B7553" s="182">
        <v>44207</v>
      </c>
      <c r="C7553" s="4">
        <v>350</v>
      </c>
      <c r="D7553" s="183">
        <f t="shared" si="589"/>
        <v>41834</v>
      </c>
      <c r="E7553" s="4">
        <v>11</v>
      </c>
      <c r="F7553" s="57">
        <f t="shared" si="590"/>
        <v>971</v>
      </c>
      <c r="G7553">
        <v>6</v>
      </c>
      <c r="H7553">
        <v>5</v>
      </c>
    </row>
    <row r="7554" spans="1:8" x14ac:dyDescent="0.25">
      <c r="A7554" s="42" t="s">
        <v>35</v>
      </c>
      <c r="B7554" s="182">
        <v>44207</v>
      </c>
      <c r="C7554" s="4">
        <v>49</v>
      </c>
      <c r="D7554" s="183">
        <f t="shared" si="589"/>
        <v>22759</v>
      </c>
      <c r="E7554" s="4">
        <v>1</v>
      </c>
      <c r="F7554" s="57">
        <f t="shared" si="590"/>
        <v>1024</v>
      </c>
      <c r="G7554">
        <v>1</v>
      </c>
    </row>
    <row r="7555" spans="1:8" x14ac:dyDescent="0.25">
      <c r="A7555" s="42" t="s">
        <v>36</v>
      </c>
      <c r="B7555" s="182">
        <v>44207</v>
      </c>
      <c r="C7555" s="4">
        <v>86</v>
      </c>
      <c r="D7555" s="183">
        <f t="shared" si="589"/>
        <v>12468</v>
      </c>
      <c r="E7555" s="4">
        <v>2</v>
      </c>
      <c r="F7555" s="57">
        <f t="shared" si="590"/>
        <v>209</v>
      </c>
      <c r="G7555">
        <v>2</v>
      </c>
    </row>
    <row r="7556" spans="1:8" x14ac:dyDescent="0.25">
      <c r="A7556" s="42" t="s">
        <v>37</v>
      </c>
      <c r="B7556" s="182">
        <v>44207</v>
      </c>
      <c r="C7556" s="4">
        <v>69</v>
      </c>
      <c r="D7556" s="183">
        <f t="shared" si="589"/>
        <v>16613</v>
      </c>
      <c r="E7556" s="4">
        <v>4</v>
      </c>
      <c r="F7556" s="57">
        <f t="shared" si="590"/>
        <v>325</v>
      </c>
      <c r="G7556">
        <v>1</v>
      </c>
      <c r="H7556">
        <v>3</v>
      </c>
    </row>
    <row r="7557" spans="1:8" x14ac:dyDescent="0.25">
      <c r="A7557" s="42" t="s">
        <v>38</v>
      </c>
      <c r="B7557" s="182">
        <v>44207</v>
      </c>
      <c r="C7557" s="4">
        <v>342</v>
      </c>
      <c r="D7557" s="183">
        <f t="shared" si="589"/>
        <v>27536</v>
      </c>
      <c r="E7557" s="4">
        <v>4</v>
      </c>
      <c r="F7557" s="57">
        <f t="shared" si="590"/>
        <v>428</v>
      </c>
      <c r="G7557">
        <v>2</v>
      </c>
      <c r="H7557">
        <v>2</v>
      </c>
    </row>
    <row r="7558" spans="1:8" x14ac:dyDescent="0.25">
      <c r="A7558" s="42" t="s">
        <v>23</v>
      </c>
      <c r="B7558" s="182">
        <v>44207</v>
      </c>
      <c r="C7558" s="4">
        <v>1072</v>
      </c>
      <c r="D7558" s="183">
        <f t="shared" si="589"/>
        <v>187510</v>
      </c>
      <c r="E7558" s="4">
        <v>10</v>
      </c>
      <c r="F7558" s="57">
        <f t="shared" si="590"/>
        <v>3099</v>
      </c>
      <c r="G7558">
        <v>9</v>
      </c>
      <c r="H7558">
        <v>1</v>
      </c>
    </row>
    <row r="7559" spans="1:8" x14ac:dyDescent="0.25">
      <c r="A7559" s="42" t="s">
        <v>39</v>
      </c>
      <c r="B7559" s="182">
        <v>44207</v>
      </c>
      <c r="C7559" s="4">
        <v>171</v>
      </c>
      <c r="D7559" s="183">
        <f t="shared" si="589"/>
        <v>18788</v>
      </c>
      <c r="E7559" s="4">
        <v>0</v>
      </c>
      <c r="F7559" s="57">
        <f t="shared" si="590"/>
        <v>226</v>
      </c>
    </row>
    <row r="7560" spans="1:8" x14ac:dyDescent="0.25">
      <c r="A7560" s="42" t="s">
        <v>40</v>
      </c>
      <c r="B7560" s="182">
        <v>44207</v>
      </c>
      <c r="C7560" s="4">
        <v>85</v>
      </c>
      <c r="D7560" s="183">
        <f t="shared" si="589"/>
        <v>20256</v>
      </c>
      <c r="E7560" s="4">
        <v>3</v>
      </c>
      <c r="F7560" s="57">
        <f t="shared" si="590"/>
        <v>277</v>
      </c>
      <c r="G7560">
        <v>2</v>
      </c>
      <c r="H7560">
        <v>1</v>
      </c>
    </row>
    <row r="7561" spans="1:8" x14ac:dyDescent="0.25">
      <c r="A7561" s="42" t="s">
        <v>41</v>
      </c>
      <c r="B7561" s="182">
        <v>44207</v>
      </c>
      <c r="C7561" s="4">
        <v>261</v>
      </c>
      <c r="D7561" s="183">
        <f t="shared" si="589"/>
        <v>73099</v>
      </c>
      <c r="E7561" s="4">
        <v>0</v>
      </c>
      <c r="F7561" s="57">
        <f t="shared" si="590"/>
        <v>1384</v>
      </c>
    </row>
    <row r="7562" spans="1:8" x14ac:dyDescent="0.25">
      <c r="A7562" s="42" t="s">
        <v>17</v>
      </c>
      <c r="B7562" s="182">
        <v>44208</v>
      </c>
      <c r="C7562" s="4">
        <v>5409</v>
      </c>
      <c r="D7562" s="183">
        <f>C7562+D7538</f>
        <v>730543</v>
      </c>
      <c r="E7562" s="4">
        <v>76</v>
      </c>
      <c r="F7562" s="57">
        <f>E7562+F7538</f>
        <v>23077</v>
      </c>
      <c r="G7562">
        <v>41</v>
      </c>
      <c r="H7562">
        <v>34</v>
      </c>
    </row>
    <row r="7563" spans="1:8" x14ac:dyDescent="0.25">
      <c r="A7563" s="42" t="s">
        <v>44</v>
      </c>
      <c r="B7563" s="182">
        <v>44208</v>
      </c>
      <c r="C7563" s="4">
        <v>1558</v>
      </c>
      <c r="D7563" s="183">
        <f t="shared" si="589"/>
        <v>188510</v>
      </c>
      <c r="E7563" s="4">
        <v>23</v>
      </c>
      <c r="F7563" s="57">
        <f t="shared" si="590"/>
        <v>5627</v>
      </c>
      <c r="G7563">
        <v>10</v>
      </c>
      <c r="H7563">
        <v>12</v>
      </c>
    </row>
    <row r="7564" spans="1:8" x14ac:dyDescent="0.25">
      <c r="A7564" s="42" t="s">
        <v>29</v>
      </c>
      <c r="B7564" s="182">
        <v>44208</v>
      </c>
      <c r="C7564" s="4">
        <v>82</v>
      </c>
      <c r="D7564" s="183">
        <f t="shared" si="589"/>
        <v>3286</v>
      </c>
      <c r="E7564" s="4">
        <v>0</v>
      </c>
      <c r="F7564" s="57">
        <f t="shared" si="590"/>
        <v>17</v>
      </c>
    </row>
    <row r="7565" spans="1:8" x14ac:dyDescent="0.25">
      <c r="A7565" s="42" t="s">
        <v>16</v>
      </c>
      <c r="B7565" s="182">
        <v>44208</v>
      </c>
      <c r="C7565" s="4">
        <v>267</v>
      </c>
      <c r="D7565" s="183">
        <f t="shared" si="589"/>
        <v>27350</v>
      </c>
      <c r="E7565" s="4">
        <v>6</v>
      </c>
      <c r="F7565" s="57">
        <f t="shared" si="590"/>
        <v>743</v>
      </c>
      <c r="G7565">
        <v>3</v>
      </c>
      <c r="H7565">
        <v>3</v>
      </c>
    </row>
    <row r="7566" spans="1:8" x14ac:dyDescent="0.25">
      <c r="A7566" s="42" t="s">
        <v>30</v>
      </c>
      <c r="B7566" s="182">
        <v>44208</v>
      </c>
      <c r="C7566" s="4">
        <v>602</v>
      </c>
      <c r="D7566" s="183">
        <f t="shared" si="589"/>
        <v>36427</v>
      </c>
      <c r="E7566" s="4">
        <v>2</v>
      </c>
      <c r="F7566" s="57">
        <f t="shared" si="590"/>
        <v>544</v>
      </c>
      <c r="H7566">
        <v>2</v>
      </c>
    </row>
    <row r="7567" spans="1:8" x14ac:dyDescent="0.25">
      <c r="A7567" s="42" t="s">
        <v>21</v>
      </c>
      <c r="B7567" s="182">
        <v>44208</v>
      </c>
      <c r="C7567" s="4">
        <v>790</v>
      </c>
      <c r="D7567" s="183">
        <f t="shared" si="589"/>
        <v>134631</v>
      </c>
      <c r="E7567" s="4">
        <v>7</v>
      </c>
      <c r="F7567" s="57">
        <f t="shared" si="590"/>
        <v>2521</v>
      </c>
      <c r="G7567">
        <v>7</v>
      </c>
    </row>
    <row r="7568" spans="1:8" x14ac:dyDescent="0.25">
      <c r="A7568" s="42" t="s">
        <v>31</v>
      </c>
      <c r="B7568" s="182">
        <v>44208</v>
      </c>
      <c r="C7568" s="4">
        <v>248</v>
      </c>
      <c r="D7568" s="183">
        <f t="shared" si="589"/>
        <v>14182</v>
      </c>
      <c r="E7568" s="4">
        <v>0</v>
      </c>
      <c r="F7568" s="57">
        <f t="shared" si="590"/>
        <v>181</v>
      </c>
    </row>
    <row r="7569" spans="1:8" x14ac:dyDescent="0.25">
      <c r="A7569" s="42" t="s">
        <v>32</v>
      </c>
      <c r="B7569" s="182">
        <v>44208</v>
      </c>
      <c r="C7569" s="4">
        <v>485</v>
      </c>
      <c r="D7569" s="183">
        <f t="shared" si="589"/>
        <v>34205</v>
      </c>
      <c r="E7569" s="4">
        <v>4</v>
      </c>
      <c r="F7569" s="57">
        <f t="shared" si="590"/>
        <v>618</v>
      </c>
      <c r="H7569">
        <v>4</v>
      </c>
    </row>
    <row r="7570" spans="1:8" x14ac:dyDescent="0.25">
      <c r="A7570" s="42" t="s">
        <v>42</v>
      </c>
      <c r="B7570" s="182">
        <v>44208</v>
      </c>
      <c r="C7570" s="4">
        <v>59</v>
      </c>
      <c r="D7570" s="183">
        <f t="shared" si="589"/>
        <v>371</v>
      </c>
      <c r="E7570" s="4">
        <v>0</v>
      </c>
      <c r="F7570" s="57">
        <f t="shared" si="590"/>
        <v>3</v>
      </c>
    </row>
    <row r="7571" spans="1:8" x14ac:dyDescent="0.25">
      <c r="A7571" s="42" t="s">
        <v>33</v>
      </c>
      <c r="B7571" s="182">
        <v>44208</v>
      </c>
      <c r="C7571" s="4">
        <v>16</v>
      </c>
      <c r="D7571" s="183">
        <f t="shared" si="589"/>
        <v>18719</v>
      </c>
      <c r="E7571" s="4">
        <v>1</v>
      </c>
      <c r="F7571" s="57">
        <f t="shared" si="590"/>
        <v>860</v>
      </c>
      <c r="H7571">
        <v>1</v>
      </c>
    </row>
    <row r="7572" spans="1:8" x14ac:dyDescent="0.25">
      <c r="A7572" s="42" t="s">
        <v>34</v>
      </c>
      <c r="B7572" s="182">
        <v>44208</v>
      </c>
      <c r="C7572" s="4">
        <v>352</v>
      </c>
      <c r="D7572" s="183">
        <f t="shared" si="589"/>
        <v>14055</v>
      </c>
      <c r="E7572" s="4">
        <v>15</v>
      </c>
      <c r="F7572" s="57">
        <f t="shared" si="590"/>
        <v>174</v>
      </c>
      <c r="G7572">
        <v>8</v>
      </c>
      <c r="H7572">
        <v>7</v>
      </c>
    </row>
    <row r="7573" spans="1:8" x14ac:dyDescent="0.25">
      <c r="A7573" s="42" t="s">
        <v>22</v>
      </c>
      <c r="B7573" s="182">
        <v>44208</v>
      </c>
      <c r="C7573" s="4">
        <v>9</v>
      </c>
      <c r="D7573" s="183">
        <f t="shared" si="589"/>
        <v>9236</v>
      </c>
      <c r="E7573" s="4">
        <v>0</v>
      </c>
      <c r="F7573" s="57">
        <f t="shared" si="590"/>
        <v>401</v>
      </c>
    </row>
    <row r="7574" spans="1:8" x14ac:dyDescent="0.25">
      <c r="A7574" s="42" t="s">
        <v>18</v>
      </c>
      <c r="B7574" s="182">
        <v>44208</v>
      </c>
      <c r="C7574" s="4">
        <v>196</v>
      </c>
      <c r="D7574" s="183">
        <f t="shared" si="589"/>
        <v>61591</v>
      </c>
      <c r="E7574" s="4">
        <v>13</v>
      </c>
      <c r="F7574" s="57">
        <f t="shared" si="590"/>
        <v>1261</v>
      </c>
      <c r="G7574">
        <v>8</v>
      </c>
      <c r="H7574">
        <v>5</v>
      </c>
    </row>
    <row r="7575" spans="1:8" x14ac:dyDescent="0.25">
      <c r="A7575" s="42" t="s">
        <v>24</v>
      </c>
      <c r="B7575" s="182">
        <v>44208</v>
      </c>
      <c r="C7575" s="4">
        <v>50</v>
      </c>
      <c r="D7575" s="183">
        <f t="shared" si="589"/>
        <v>1520</v>
      </c>
      <c r="E7575" s="4">
        <v>4</v>
      </c>
      <c r="F7575" s="57">
        <f t="shared" si="590"/>
        <v>20</v>
      </c>
      <c r="G7575">
        <v>2</v>
      </c>
      <c r="H7575">
        <v>2</v>
      </c>
    </row>
    <row r="7576" spans="1:8" x14ac:dyDescent="0.25">
      <c r="A7576" s="42" t="s">
        <v>20</v>
      </c>
      <c r="B7576" s="182">
        <v>44208</v>
      </c>
      <c r="C7576" s="4">
        <v>647</v>
      </c>
      <c r="D7576" s="183">
        <f t="shared" si="589"/>
        <v>46202</v>
      </c>
      <c r="E7576" s="4">
        <v>0</v>
      </c>
      <c r="F7576" s="57">
        <f t="shared" si="590"/>
        <v>754</v>
      </c>
    </row>
    <row r="7577" spans="1:8" x14ac:dyDescent="0.25">
      <c r="A7577" s="42" t="s">
        <v>19</v>
      </c>
      <c r="B7577" s="182">
        <v>44208</v>
      </c>
      <c r="C7577" s="4">
        <v>413</v>
      </c>
      <c r="D7577" s="183">
        <f t="shared" si="589"/>
        <v>42247</v>
      </c>
      <c r="E7577" s="4">
        <v>7</v>
      </c>
      <c r="F7577" s="57">
        <f t="shared" si="590"/>
        <v>978</v>
      </c>
      <c r="G7577">
        <v>3</v>
      </c>
      <c r="H7577">
        <v>4</v>
      </c>
    </row>
    <row r="7578" spans="1:8" x14ac:dyDescent="0.25">
      <c r="A7578" s="42" t="s">
        <v>35</v>
      </c>
      <c r="B7578" s="182">
        <v>44208</v>
      </c>
      <c r="C7578" s="4">
        <v>37</v>
      </c>
      <c r="D7578" s="183">
        <f t="shared" si="589"/>
        <v>22796</v>
      </c>
      <c r="E7578" s="4">
        <v>1</v>
      </c>
      <c r="F7578" s="57">
        <f t="shared" si="590"/>
        <v>1025</v>
      </c>
      <c r="G7578">
        <v>1</v>
      </c>
    </row>
    <row r="7579" spans="1:8" x14ac:dyDescent="0.25">
      <c r="A7579" s="42" t="s">
        <v>36</v>
      </c>
      <c r="B7579" s="182">
        <v>44208</v>
      </c>
      <c r="C7579" s="4">
        <v>208</v>
      </c>
      <c r="D7579" s="183">
        <f t="shared" si="589"/>
        <v>12676</v>
      </c>
      <c r="E7579" s="4">
        <v>0</v>
      </c>
      <c r="F7579" s="57">
        <f t="shared" si="590"/>
        <v>209</v>
      </c>
    </row>
    <row r="7580" spans="1:8" x14ac:dyDescent="0.25">
      <c r="A7580" s="42" t="s">
        <v>37</v>
      </c>
      <c r="B7580" s="182">
        <v>44208</v>
      </c>
      <c r="C7580" s="4">
        <v>51</v>
      </c>
      <c r="D7580" s="183">
        <f t="shared" si="589"/>
        <v>16664</v>
      </c>
      <c r="E7580" s="4">
        <v>0</v>
      </c>
      <c r="F7580" s="57">
        <f t="shared" si="590"/>
        <v>325</v>
      </c>
    </row>
    <row r="7581" spans="1:8" x14ac:dyDescent="0.25">
      <c r="A7581" s="42" t="s">
        <v>38</v>
      </c>
      <c r="B7581" s="182">
        <v>44208</v>
      </c>
      <c r="C7581" s="4">
        <v>393</v>
      </c>
      <c r="D7581" s="183">
        <f t="shared" si="589"/>
        <v>27929</v>
      </c>
      <c r="E7581" s="4">
        <v>3</v>
      </c>
      <c r="F7581" s="57">
        <f t="shared" si="590"/>
        <v>431</v>
      </c>
      <c r="G7581">
        <v>1</v>
      </c>
      <c r="H7581">
        <v>2</v>
      </c>
    </row>
    <row r="7582" spans="1:8" x14ac:dyDescent="0.25">
      <c r="A7582" s="42" t="s">
        <v>23</v>
      </c>
      <c r="B7582" s="182">
        <v>44208</v>
      </c>
      <c r="C7582" s="4">
        <v>1434</v>
      </c>
      <c r="D7582" s="183">
        <f t="shared" si="589"/>
        <v>188944</v>
      </c>
      <c r="E7582" s="4">
        <v>12</v>
      </c>
      <c r="F7582" s="57">
        <f t="shared" si="590"/>
        <v>3111</v>
      </c>
      <c r="G7582">
        <v>12</v>
      </c>
      <c r="H7582">
        <v>1</v>
      </c>
    </row>
    <row r="7583" spans="1:8" x14ac:dyDescent="0.25">
      <c r="A7583" s="42" t="s">
        <v>39</v>
      </c>
      <c r="B7583" s="182">
        <v>44208</v>
      </c>
      <c r="C7583" s="4">
        <v>99</v>
      </c>
      <c r="D7583" s="183">
        <f t="shared" si="589"/>
        <v>18887</v>
      </c>
      <c r="E7583" s="4">
        <v>1</v>
      </c>
      <c r="F7583" s="57">
        <f t="shared" si="590"/>
        <v>227</v>
      </c>
      <c r="G7583">
        <v>1</v>
      </c>
    </row>
    <row r="7584" spans="1:8" x14ac:dyDescent="0.25">
      <c r="A7584" s="42" t="s">
        <v>40</v>
      </c>
      <c r="B7584" s="182">
        <v>44208</v>
      </c>
      <c r="C7584" s="4">
        <v>141</v>
      </c>
      <c r="D7584" s="183">
        <f t="shared" si="589"/>
        <v>20397</v>
      </c>
      <c r="E7584" s="4">
        <v>6</v>
      </c>
      <c r="F7584" s="57">
        <f t="shared" si="590"/>
        <v>283</v>
      </c>
      <c r="G7584">
        <v>4</v>
      </c>
      <c r="H7584">
        <v>2</v>
      </c>
    </row>
    <row r="7585" spans="1:8" x14ac:dyDescent="0.25">
      <c r="A7585" s="42" t="s">
        <v>41</v>
      </c>
      <c r="B7585" s="182">
        <v>44208</v>
      </c>
      <c r="C7585" s="4">
        <v>237</v>
      </c>
      <c r="D7585" s="183">
        <f t="shared" si="589"/>
        <v>73336</v>
      </c>
      <c r="E7585" s="4">
        <v>12</v>
      </c>
      <c r="F7585" s="57">
        <f t="shared" si="590"/>
        <v>1396</v>
      </c>
      <c r="G7585">
        <v>6</v>
      </c>
      <c r="H7585">
        <v>6</v>
      </c>
    </row>
    <row r="7586" spans="1:8" x14ac:dyDescent="0.25">
      <c r="A7586" s="42" t="s">
        <v>17</v>
      </c>
      <c r="B7586" s="182">
        <v>44209</v>
      </c>
      <c r="C7586" s="4">
        <v>4859</v>
      </c>
      <c r="D7586" s="183">
        <f>C7586+D7562</f>
        <v>735402</v>
      </c>
      <c r="E7586" s="4">
        <v>52</v>
      </c>
      <c r="F7586" s="57">
        <f>E7586+F7562</f>
        <v>23129</v>
      </c>
      <c r="G7586">
        <v>35</v>
      </c>
      <c r="H7586">
        <v>18</v>
      </c>
    </row>
    <row r="7587" spans="1:8" x14ac:dyDescent="0.25">
      <c r="A7587" s="42" t="s">
        <v>44</v>
      </c>
      <c r="B7587" s="182">
        <v>44209</v>
      </c>
      <c r="C7587" s="4">
        <v>1204</v>
      </c>
      <c r="D7587" s="183">
        <f t="shared" si="589"/>
        <v>189714</v>
      </c>
      <c r="E7587" s="4">
        <v>8</v>
      </c>
      <c r="F7587" s="57">
        <f t="shared" si="590"/>
        <v>5635</v>
      </c>
      <c r="G7587">
        <v>4</v>
      </c>
      <c r="H7587">
        <v>3</v>
      </c>
    </row>
    <row r="7588" spans="1:8" x14ac:dyDescent="0.25">
      <c r="A7588" s="42" t="s">
        <v>29</v>
      </c>
      <c r="B7588" s="182">
        <v>44209</v>
      </c>
      <c r="C7588" s="4">
        <v>70</v>
      </c>
      <c r="D7588" s="183">
        <f t="shared" si="589"/>
        <v>3356</v>
      </c>
      <c r="E7588" s="4">
        <v>0</v>
      </c>
      <c r="F7588" s="57">
        <f t="shared" si="590"/>
        <v>17</v>
      </c>
    </row>
    <row r="7589" spans="1:8" x14ac:dyDescent="0.25">
      <c r="A7589" s="42" t="s">
        <v>16</v>
      </c>
      <c r="B7589" s="182">
        <v>44209</v>
      </c>
      <c r="C7589" s="4">
        <v>288</v>
      </c>
      <c r="D7589" s="183">
        <f t="shared" si="589"/>
        <v>27638</v>
      </c>
      <c r="E7589" s="4">
        <v>6</v>
      </c>
      <c r="F7589" s="57">
        <f t="shared" si="590"/>
        <v>749</v>
      </c>
      <c r="G7589">
        <v>3</v>
      </c>
      <c r="H7589">
        <v>3</v>
      </c>
    </row>
    <row r="7590" spans="1:8" x14ac:dyDescent="0.25">
      <c r="A7590" s="42" t="s">
        <v>30</v>
      </c>
      <c r="B7590" s="182">
        <v>44209</v>
      </c>
      <c r="C7590" s="4">
        <v>528</v>
      </c>
      <c r="D7590" s="183">
        <f t="shared" si="589"/>
        <v>36955</v>
      </c>
      <c r="E7590" s="4">
        <v>3</v>
      </c>
      <c r="F7590" s="57">
        <f t="shared" si="590"/>
        <v>547</v>
      </c>
      <c r="G7590">
        <v>2</v>
      </c>
      <c r="H7590">
        <v>1</v>
      </c>
    </row>
    <row r="7591" spans="1:8" x14ac:dyDescent="0.25">
      <c r="A7591" s="42" t="s">
        <v>21</v>
      </c>
      <c r="B7591" s="182">
        <v>44209</v>
      </c>
      <c r="C7591" s="4">
        <v>818</v>
      </c>
      <c r="D7591" s="183">
        <f t="shared" si="589"/>
        <v>135449</v>
      </c>
      <c r="E7591" s="4">
        <v>10</v>
      </c>
      <c r="F7591" s="57">
        <f t="shared" si="590"/>
        <v>2531</v>
      </c>
      <c r="G7591">
        <v>5</v>
      </c>
      <c r="H7591">
        <v>5</v>
      </c>
    </row>
    <row r="7592" spans="1:8" x14ac:dyDescent="0.25">
      <c r="A7592" s="42" t="s">
        <v>31</v>
      </c>
      <c r="B7592" s="182">
        <v>44209</v>
      </c>
      <c r="C7592" s="4">
        <v>395</v>
      </c>
      <c r="D7592" s="183">
        <f t="shared" si="589"/>
        <v>14577</v>
      </c>
      <c r="E7592" s="4">
        <v>0</v>
      </c>
      <c r="F7592" s="57">
        <f t="shared" si="590"/>
        <v>181</v>
      </c>
    </row>
    <row r="7593" spans="1:8" x14ac:dyDescent="0.25">
      <c r="A7593" s="42" t="s">
        <v>32</v>
      </c>
      <c r="B7593" s="182">
        <v>44209</v>
      </c>
      <c r="C7593" s="4">
        <v>581</v>
      </c>
      <c r="D7593" s="183">
        <f t="shared" si="589"/>
        <v>34786</v>
      </c>
      <c r="E7593" s="4">
        <v>6</v>
      </c>
      <c r="F7593" s="57">
        <f t="shared" si="590"/>
        <v>624</v>
      </c>
      <c r="G7593">
        <v>1</v>
      </c>
      <c r="H7593">
        <v>6</v>
      </c>
    </row>
    <row r="7594" spans="1:8" x14ac:dyDescent="0.25">
      <c r="A7594" s="42" t="s">
        <v>42</v>
      </c>
      <c r="B7594" s="182">
        <v>44209</v>
      </c>
      <c r="C7594" s="4">
        <v>54</v>
      </c>
      <c r="D7594" s="183">
        <f t="shared" si="589"/>
        <v>425</v>
      </c>
      <c r="E7594" s="4">
        <v>0</v>
      </c>
      <c r="F7594" s="57">
        <f t="shared" si="590"/>
        <v>3</v>
      </c>
    </row>
    <row r="7595" spans="1:8" x14ac:dyDescent="0.25">
      <c r="A7595" s="42" t="s">
        <v>33</v>
      </c>
      <c r="B7595" s="182">
        <v>44209</v>
      </c>
      <c r="C7595" s="4">
        <v>17</v>
      </c>
      <c r="D7595" s="183">
        <f t="shared" si="589"/>
        <v>18736</v>
      </c>
      <c r="E7595" s="4">
        <v>0</v>
      </c>
      <c r="F7595" s="57">
        <f t="shared" si="590"/>
        <v>860</v>
      </c>
    </row>
    <row r="7596" spans="1:8" x14ac:dyDescent="0.25">
      <c r="A7596" s="42" t="s">
        <v>34</v>
      </c>
      <c r="B7596" s="182">
        <v>44209</v>
      </c>
      <c r="C7596" s="4">
        <v>229</v>
      </c>
      <c r="D7596" s="183">
        <f t="shared" si="589"/>
        <v>14284</v>
      </c>
      <c r="E7596" s="4">
        <v>0</v>
      </c>
      <c r="F7596" s="57">
        <f t="shared" si="590"/>
        <v>174</v>
      </c>
    </row>
    <row r="7597" spans="1:8" x14ac:dyDescent="0.25">
      <c r="A7597" s="42" t="s">
        <v>22</v>
      </c>
      <c r="B7597" s="182">
        <v>44209</v>
      </c>
      <c r="C7597" s="4">
        <v>11</v>
      </c>
      <c r="D7597" s="183">
        <f t="shared" si="589"/>
        <v>9247</v>
      </c>
      <c r="E7597" s="4">
        <v>0</v>
      </c>
      <c r="F7597" s="57">
        <f t="shared" si="590"/>
        <v>401</v>
      </c>
    </row>
    <row r="7598" spans="1:8" x14ac:dyDescent="0.25">
      <c r="A7598" s="42" t="s">
        <v>18</v>
      </c>
      <c r="B7598" s="182">
        <v>44209</v>
      </c>
      <c r="C7598" s="4">
        <v>150</v>
      </c>
      <c r="D7598" s="183">
        <f t="shared" si="589"/>
        <v>61741</v>
      </c>
      <c r="E7598" s="4">
        <v>6</v>
      </c>
      <c r="F7598" s="57">
        <f t="shared" si="590"/>
        <v>1267</v>
      </c>
      <c r="G7598">
        <v>3</v>
      </c>
      <c r="H7598">
        <v>3</v>
      </c>
    </row>
    <row r="7599" spans="1:8" x14ac:dyDescent="0.25">
      <c r="A7599" s="42" t="s">
        <v>24</v>
      </c>
      <c r="B7599" s="182">
        <v>44209</v>
      </c>
      <c r="C7599" s="4">
        <v>27</v>
      </c>
      <c r="D7599" s="183">
        <f t="shared" si="589"/>
        <v>1547</v>
      </c>
      <c r="E7599" s="4">
        <v>6</v>
      </c>
      <c r="F7599" s="57">
        <f t="shared" si="590"/>
        <v>26</v>
      </c>
      <c r="G7599">
        <v>4</v>
      </c>
      <c r="H7599">
        <v>2</v>
      </c>
    </row>
    <row r="7600" spans="1:8" x14ac:dyDescent="0.25">
      <c r="A7600" s="42" t="s">
        <v>20</v>
      </c>
      <c r="B7600" s="182">
        <v>44209</v>
      </c>
      <c r="C7600" s="4">
        <v>463</v>
      </c>
      <c r="D7600" s="183">
        <f t="shared" si="589"/>
        <v>46665</v>
      </c>
      <c r="E7600" s="4">
        <v>0</v>
      </c>
      <c r="F7600" s="57">
        <f t="shared" si="590"/>
        <v>754</v>
      </c>
    </row>
    <row r="7601" spans="1:8" x14ac:dyDescent="0.25">
      <c r="A7601" s="42" t="s">
        <v>19</v>
      </c>
      <c r="B7601" s="182">
        <v>44209</v>
      </c>
      <c r="C7601" s="4">
        <v>393</v>
      </c>
      <c r="D7601" s="183">
        <f t="shared" si="589"/>
        <v>42640</v>
      </c>
      <c r="E7601" s="4">
        <v>5</v>
      </c>
      <c r="F7601" s="57">
        <f t="shared" si="590"/>
        <v>983</v>
      </c>
      <c r="G7601">
        <v>4</v>
      </c>
      <c r="H7601">
        <v>1</v>
      </c>
    </row>
    <row r="7602" spans="1:8" x14ac:dyDescent="0.25">
      <c r="A7602" s="42" t="s">
        <v>35</v>
      </c>
      <c r="B7602" s="182">
        <v>44209</v>
      </c>
      <c r="C7602" s="4">
        <v>67</v>
      </c>
      <c r="D7602" s="183">
        <f t="shared" si="589"/>
        <v>22863</v>
      </c>
      <c r="E7602" s="4">
        <v>0</v>
      </c>
      <c r="F7602" s="57">
        <f t="shared" si="590"/>
        <v>1025</v>
      </c>
    </row>
    <row r="7603" spans="1:8" x14ac:dyDescent="0.25">
      <c r="A7603" s="42" t="s">
        <v>36</v>
      </c>
      <c r="B7603" s="182">
        <v>44209</v>
      </c>
      <c r="C7603" s="4">
        <v>163</v>
      </c>
      <c r="D7603" s="183">
        <f t="shared" ref="D7603:D7609" si="591">C7603+D7579</f>
        <v>12839</v>
      </c>
      <c r="E7603" s="4">
        <v>3</v>
      </c>
      <c r="F7603" s="57">
        <f t="shared" ref="F7603:F7609" si="592">E7603+F7579</f>
        <v>212</v>
      </c>
      <c r="H7603">
        <v>3</v>
      </c>
    </row>
    <row r="7604" spans="1:8" x14ac:dyDescent="0.25">
      <c r="A7604" s="42" t="s">
        <v>37</v>
      </c>
      <c r="B7604" s="182">
        <v>44209</v>
      </c>
      <c r="C7604" s="4">
        <v>38</v>
      </c>
      <c r="D7604" s="183">
        <f t="shared" si="591"/>
        <v>16702</v>
      </c>
      <c r="E7604" s="4">
        <v>1</v>
      </c>
      <c r="F7604" s="57">
        <f t="shared" si="592"/>
        <v>326</v>
      </c>
      <c r="H7604">
        <v>1</v>
      </c>
    </row>
    <row r="7605" spans="1:8" x14ac:dyDescent="0.25">
      <c r="A7605" s="42" t="s">
        <v>38</v>
      </c>
      <c r="B7605" s="182">
        <v>44209</v>
      </c>
      <c r="C7605" s="4">
        <v>323</v>
      </c>
      <c r="D7605" s="183">
        <f t="shared" si="591"/>
        <v>28252</v>
      </c>
      <c r="E7605" s="4">
        <v>4</v>
      </c>
      <c r="F7605" s="57">
        <f t="shared" si="592"/>
        <v>435</v>
      </c>
      <c r="G7605">
        <v>2</v>
      </c>
      <c r="H7605">
        <v>2</v>
      </c>
    </row>
    <row r="7606" spans="1:8" x14ac:dyDescent="0.25">
      <c r="A7606" s="42" t="s">
        <v>23</v>
      </c>
      <c r="B7606" s="182">
        <v>44209</v>
      </c>
      <c r="C7606" s="4">
        <v>1502</v>
      </c>
      <c r="D7606" s="183">
        <f t="shared" si="591"/>
        <v>190446</v>
      </c>
      <c r="E7606" s="4">
        <v>18</v>
      </c>
      <c r="F7606" s="57">
        <f t="shared" si="592"/>
        <v>3129</v>
      </c>
      <c r="G7606">
        <v>10</v>
      </c>
      <c r="H7606">
        <v>8</v>
      </c>
    </row>
    <row r="7607" spans="1:8" x14ac:dyDescent="0.25">
      <c r="A7607" s="42" t="s">
        <v>39</v>
      </c>
      <c r="B7607" s="182">
        <v>44209</v>
      </c>
      <c r="C7607" s="4">
        <v>165</v>
      </c>
      <c r="D7607" s="183">
        <f t="shared" si="591"/>
        <v>19052</v>
      </c>
      <c r="E7607" s="4">
        <v>2</v>
      </c>
      <c r="F7607" s="57">
        <f t="shared" si="592"/>
        <v>229</v>
      </c>
      <c r="G7607">
        <v>1</v>
      </c>
      <c r="H7607">
        <v>1</v>
      </c>
    </row>
    <row r="7608" spans="1:8" x14ac:dyDescent="0.25">
      <c r="A7608" s="42" t="s">
        <v>40</v>
      </c>
      <c r="B7608" s="182">
        <v>44209</v>
      </c>
      <c r="C7608" s="4">
        <v>101</v>
      </c>
      <c r="D7608" s="183">
        <f t="shared" si="591"/>
        <v>20498</v>
      </c>
      <c r="E7608" s="4">
        <v>1</v>
      </c>
      <c r="F7608" s="57">
        <f t="shared" si="592"/>
        <v>284</v>
      </c>
      <c r="G7608">
        <v>1</v>
      </c>
    </row>
    <row r="7609" spans="1:8" x14ac:dyDescent="0.25">
      <c r="A7609" s="42" t="s">
        <v>41</v>
      </c>
      <c r="B7609" s="182">
        <v>44209</v>
      </c>
      <c r="C7609" s="4">
        <v>279</v>
      </c>
      <c r="D7609" s="183">
        <f t="shared" si="591"/>
        <v>73615</v>
      </c>
      <c r="E7609" s="4">
        <v>3</v>
      </c>
      <c r="F7609" s="57">
        <f t="shared" si="592"/>
        <v>1399</v>
      </c>
      <c r="G7609">
        <v>1</v>
      </c>
      <c r="H7609">
        <v>2</v>
      </c>
    </row>
    <row r="7610" spans="1:8" x14ac:dyDescent="0.25">
      <c r="A7610" s="42" t="s">
        <v>17</v>
      </c>
      <c r="B7610" s="182">
        <v>44210</v>
      </c>
      <c r="C7610" s="4">
        <v>5185</v>
      </c>
      <c r="D7610" s="183">
        <f>C7610+D7586</f>
        <v>740587</v>
      </c>
      <c r="E7610" s="4">
        <v>53</v>
      </c>
      <c r="F7610" s="57">
        <f>E7610+F7586</f>
        <v>23182</v>
      </c>
      <c r="G7610">
        <v>32</v>
      </c>
      <c r="H7610">
        <v>20</v>
      </c>
    </row>
    <row r="7611" spans="1:8" x14ac:dyDescent="0.25">
      <c r="A7611" s="42" t="s">
        <v>44</v>
      </c>
      <c r="B7611" s="182">
        <v>44210</v>
      </c>
      <c r="C7611" s="4">
        <v>1367</v>
      </c>
      <c r="D7611" s="183">
        <f t="shared" ref="D7611:D7674" si="593">C7611+D7587</f>
        <v>191081</v>
      </c>
      <c r="E7611" s="4">
        <v>6</v>
      </c>
      <c r="F7611" s="57">
        <f t="shared" ref="F7611:F7674" si="594">E7611+F7587</f>
        <v>5641</v>
      </c>
      <c r="G7611">
        <v>4</v>
      </c>
      <c r="H7611">
        <v>2</v>
      </c>
    </row>
    <row r="7612" spans="1:8" x14ac:dyDescent="0.25">
      <c r="A7612" s="42" t="s">
        <v>29</v>
      </c>
      <c r="B7612" s="182">
        <v>44210</v>
      </c>
      <c r="C7612" s="4">
        <v>78</v>
      </c>
      <c r="D7612" s="183">
        <f t="shared" si="593"/>
        <v>3434</v>
      </c>
      <c r="E7612" s="4">
        <v>0</v>
      </c>
      <c r="F7612" s="57">
        <f t="shared" si="594"/>
        <v>17</v>
      </c>
    </row>
    <row r="7613" spans="1:8" x14ac:dyDescent="0.25">
      <c r="A7613" s="42" t="s">
        <v>16</v>
      </c>
      <c r="B7613" s="182">
        <v>44210</v>
      </c>
      <c r="C7613" s="4">
        <v>304</v>
      </c>
      <c r="D7613" s="183">
        <f t="shared" si="593"/>
        <v>27942</v>
      </c>
      <c r="E7613" s="4">
        <v>3</v>
      </c>
      <c r="F7613" s="57">
        <f t="shared" si="594"/>
        <v>752</v>
      </c>
      <c r="G7613">
        <v>1</v>
      </c>
      <c r="H7613">
        <v>2</v>
      </c>
    </row>
    <row r="7614" spans="1:8" x14ac:dyDescent="0.25">
      <c r="A7614" s="42" t="s">
        <v>30</v>
      </c>
      <c r="B7614" s="182">
        <v>44210</v>
      </c>
      <c r="C7614" s="4">
        <v>543</v>
      </c>
      <c r="D7614" s="183">
        <f t="shared" si="593"/>
        <v>37498</v>
      </c>
      <c r="E7614" s="4">
        <v>12</v>
      </c>
      <c r="F7614" s="57">
        <f t="shared" si="594"/>
        <v>559</v>
      </c>
      <c r="G7614">
        <v>9</v>
      </c>
      <c r="H7614">
        <v>3</v>
      </c>
    </row>
    <row r="7615" spans="1:8" x14ac:dyDescent="0.25">
      <c r="A7615" s="42" t="s">
        <v>21</v>
      </c>
      <c r="B7615" s="182">
        <v>44210</v>
      </c>
      <c r="C7615" s="4">
        <v>770</v>
      </c>
      <c r="D7615" s="183">
        <f t="shared" si="593"/>
        <v>136219</v>
      </c>
      <c r="E7615" s="4">
        <v>15</v>
      </c>
      <c r="F7615" s="57">
        <f t="shared" si="594"/>
        <v>2546</v>
      </c>
      <c r="G7615">
        <v>8</v>
      </c>
      <c r="H7615">
        <v>6</v>
      </c>
    </row>
    <row r="7616" spans="1:8" x14ac:dyDescent="0.25">
      <c r="A7616" s="42" t="s">
        <v>31</v>
      </c>
      <c r="B7616" s="182">
        <v>44210</v>
      </c>
      <c r="C7616" s="4">
        <v>415</v>
      </c>
      <c r="D7616" s="183">
        <f t="shared" si="593"/>
        <v>14992</v>
      </c>
      <c r="E7616" s="4">
        <v>0</v>
      </c>
      <c r="F7616" s="57">
        <f t="shared" si="594"/>
        <v>181</v>
      </c>
    </row>
    <row r="7617" spans="1:8" x14ac:dyDescent="0.25">
      <c r="A7617" s="42" t="s">
        <v>32</v>
      </c>
      <c r="B7617" s="182">
        <v>44210</v>
      </c>
      <c r="C7617" s="4">
        <v>539</v>
      </c>
      <c r="D7617" s="183">
        <f t="shared" si="593"/>
        <v>35325</v>
      </c>
      <c r="E7617" s="4">
        <v>2</v>
      </c>
      <c r="F7617" s="57">
        <f t="shared" si="594"/>
        <v>626</v>
      </c>
      <c r="H7617">
        <v>2</v>
      </c>
    </row>
    <row r="7618" spans="1:8" x14ac:dyDescent="0.25">
      <c r="A7618" s="42" t="s">
        <v>42</v>
      </c>
      <c r="B7618" s="182">
        <v>44210</v>
      </c>
      <c r="C7618" s="4">
        <v>75</v>
      </c>
      <c r="D7618" s="183">
        <f t="shared" si="593"/>
        <v>500</v>
      </c>
      <c r="E7618" s="4">
        <v>0</v>
      </c>
      <c r="F7618" s="57">
        <f t="shared" si="594"/>
        <v>3</v>
      </c>
    </row>
    <row r="7619" spans="1:8" x14ac:dyDescent="0.25">
      <c r="A7619" s="42" t="s">
        <v>33</v>
      </c>
      <c r="B7619" s="182">
        <v>44210</v>
      </c>
      <c r="C7619" s="4">
        <v>23</v>
      </c>
      <c r="D7619" s="183">
        <f t="shared" si="593"/>
        <v>18759</v>
      </c>
      <c r="E7619" s="4">
        <v>0</v>
      </c>
      <c r="F7619" s="57">
        <f t="shared" si="594"/>
        <v>860</v>
      </c>
    </row>
    <row r="7620" spans="1:8" x14ac:dyDescent="0.25">
      <c r="A7620" s="42" t="s">
        <v>34</v>
      </c>
      <c r="B7620" s="182">
        <v>44210</v>
      </c>
      <c r="C7620" s="4">
        <v>255</v>
      </c>
      <c r="D7620" s="183">
        <f t="shared" si="593"/>
        <v>14539</v>
      </c>
      <c r="E7620" s="4">
        <v>0</v>
      </c>
      <c r="F7620" s="57">
        <f t="shared" si="594"/>
        <v>174</v>
      </c>
    </row>
    <row r="7621" spans="1:8" x14ac:dyDescent="0.25">
      <c r="A7621" s="42" t="s">
        <v>22</v>
      </c>
      <c r="B7621" s="182">
        <v>44210</v>
      </c>
      <c r="C7621" s="4">
        <v>12</v>
      </c>
      <c r="D7621" s="183">
        <f t="shared" si="593"/>
        <v>9259</v>
      </c>
      <c r="E7621" s="4">
        <v>0</v>
      </c>
      <c r="F7621" s="57">
        <f t="shared" si="594"/>
        <v>401</v>
      </c>
    </row>
    <row r="7622" spans="1:8" x14ac:dyDescent="0.25">
      <c r="A7622" s="42" t="s">
        <v>18</v>
      </c>
      <c r="B7622" s="182">
        <v>44210</v>
      </c>
      <c r="C7622" s="4">
        <v>162</v>
      </c>
      <c r="D7622" s="183">
        <f t="shared" si="593"/>
        <v>61903</v>
      </c>
      <c r="E7622" s="4">
        <v>7</v>
      </c>
      <c r="F7622" s="57">
        <f t="shared" si="594"/>
        <v>1274</v>
      </c>
      <c r="G7622">
        <v>2</v>
      </c>
      <c r="H7622">
        <v>4</v>
      </c>
    </row>
    <row r="7623" spans="1:8" x14ac:dyDescent="0.25">
      <c r="A7623" s="42" t="s">
        <v>24</v>
      </c>
      <c r="B7623" s="182">
        <v>44210</v>
      </c>
      <c r="C7623" s="4">
        <v>215</v>
      </c>
      <c r="D7623" s="183">
        <f t="shared" si="593"/>
        <v>1762</v>
      </c>
      <c r="E7623" s="4">
        <v>7</v>
      </c>
      <c r="F7623" s="57">
        <f t="shared" si="594"/>
        <v>33</v>
      </c>
      <c r="G7623">
        <v>6</v>
      </c>
      <c r="H7623">
        <v>1</v>
      </c>
    </row>
    <row r="7624" spans="1:8" x14ac:dyDescent="0.25">
      <c r="A7624" s="42" t="s">
        <v>20</v>
      </c>
      <c r="B7624" s="182">
        <v>44210</v>
      </c>
      <c r="C7624" s="4">
        <v>532</v>
      </c>
      <c r="D7624" s="183">
        <f t="shared" si="593"/>
        <v>47197</v>
      </c>
      <c r="E7624" s="4">
        <v>0</v>
      </c>
      <c r="F7624" s="57">
        <f t="shared" si="594"/>
        <v>754</v>
      </c>
    </row>
    <row r="7625" spans="1:8" x14ac:dyDescent="0.25">
      <c r="A7625" s="42" t="s">
        <v>19</v>
      </c>
      <c r="B7625" s="182">
        <v>44210</v>
      </c>
      <c r="C7625" s="4">
        <v>437</v>
      </c>
      <c r="D7625" s="183">
        <f t="shared" si="593"/>
        <v>43077</v>
      </c>
      <c r="E7625" s="4">
        <v>10</v>
      </c>
      <c r="F7625" s="57">
        <f t="shared" si="594"/>
        <v>993</v>
      </c>
      <c r="G7625">
        <v>5</v>
      </c>
      <c r="H7625">
        <v>5</v>
      </c>
    </row>
    <row r="7626" spans="1:8" x14ac:dyDescent="0.25">
      <c r="A7626" s="42" t="s">
        <v>35</v>
      </c>
      <c r="B7626" s="182">
        <v>44210</v>
      </c>
      <c r="C7626" s="4">
        <v>57</v>
      </c>
      <c r="D7626" s="183">
        <f t="shared" si="593"/>
        <v>22920</v>
      </c>
      <c r="E7626" s="4">
        <v>0</v>
      </c>
      <c r="F7626" s="57">
        <f t="shared" si="594"/>
        <v>1025</v>
      </c>
    </row>
    <row r="7627" spans="1:8" x14ac:dyDescent="0.25">
      <c r="A7627" s="42" t="s">
        <v>36</v>
      </c>
      <c r="B7627" s="182">
        <v>44210</v>
      </c>
      <c r="C7627" s="4">
        <v>78</v>
      </c>
      <c r="D7627" s="183">
        <f t="shared" si="593"/>
        <v>12917</v>
      </c>
      <c r="E7627" s="4">
        <v>1</v>
      </c>
      <c r="F7627" s="57">
        <f t="shared" si="594"/>
        <v>213</v>
      </c>
      <c r="G7627">
        <v>1</v>
      </c>
    </row>
    <row r="7628" spans="1:8" x14ac:dyDescent="0.25">
      <c r="A7628" s="42" t="s">
        <v>37</v>
      </c>
      <c r="B7628" s="182">
        <v>44210</v>
      </c>
      <c r="C7628" s="4">
        <v>58</v>
      </c>
      <c r="D7628" s="183">
        <f t="shared" si="593"/>
        <v>16760</v>
      </c>
      <c r="E7628" s="4">
        <v>1</v>
      </c>
      <c r="F7628" s="57">
        <f t="shared" si="594"/>
        <v>327</v>
      </c>
      <c r="G7628">
        <v>1</v>
      </c>
    </row>
    <row r="7629" spans="1:8" x14ac:dyDescent="0.25">
      <c r="A7629" s="42" t="s">
        <v>38</v>
      </c>
      <c r="B7629" s="182">
        <v>44210</v>
      </c>
      <c r="C7629" s="4">
        <v>285</v>
      </c>
      <c r="D7629" s="183">
        <f t="shared" si="593"/>
        <v>28537</v>
      </c>
      <c r="E7629" s="4">
        <v>3</v>
      </c>
      <c r="F7629" s="57">
        <f t="shared" si="594"/>
        <v>438</v>
      </c>
      <c r="G7629">
        <v>1</v>
      </c>
      <c r="H7629">
        <v>2</v>
      </c>
    </row>
    <row r="7630" spans="1:8" x14ac:dyDescent="0.25">
      <c r="A7630" s="42" t="s">
        <v>23</v>
      </c>
      <c r="B7630" s="182">
        <v>44210</v>
      </c>
      <c r="C7630" s="4">
        <v>1395</v>
      </c>
      <c r="D7630" s="183">
        <f t="shared" si="593"/>
        <v>191841</v>
      </c>
      <c r="E7630" s="4">
        <v>19</v>
      </c>
      <c r="F7630" s="57">
        <f t="shared" si="594"/>
        <v>3148</v>
      </c>
      <c r="G7630">
        <v>13</v>
      </c>
      <c r="H7630">
        <v>6</v>
      </c>
    </row>
    <row r="7631" spans="1:8" x14ac:dyDescent="0.25">
      <c r="A7631" s="42" t="s">
        <v>39</v>
      </c>
      <c r="B7631" s="182">
        <v>44210</v>
      </c>
      <c r="C7631" s="4">
        <v>198</v>
      </c>
      <c r="D7631" s="183">
        <f t="shared" si="593"/>
        <v>19250</v>
      </c>
      <c r="E7631" s="4">
        <v>0</v>
      </c>
      <c r="F7631" s="57">
        <f t="shared" si="594"/>
        <v>229</v>
      </c>
    </row>
    <row r="7632" spans="1:8" x14ac:dyDescent="0.25">
      <c r="A7632" s="42" t="s">
        <v>40</v>
      </c>
      <c r="B7632" s="182">
        <v>44210</v>
      </c>
      <c r="C7632" s="4">
        <v>72</v>
      </c>
      <c r="D7632" s="183">
        <f t="shared" si="593"/>
        <v>20570</v>
      </c>
      <c r="E7632" s="4">
        <v>3</v>
      </c>
      <c r="F7632" s="57">
        <f t="shared" si="594"/>
        <v>287</v>
      </c>
      <c r="G7632">
        <v>3</v>
      </c>
    </row>
    <row r="7633" spans="1:8" x14ac:dyDescent="0.25">
      <c r="A7633" s="42" t="s">
        <v>41</v>
      </c>
      <c r="B7633" s="182">
        <v>44210</v>
      </c>
      <c r="C7633" s="4">
        <v>231</v>
      </c>
      <c r="D7633" s="183">
        <f t="shared" si="593"/>
        <v>73846</v>
      </c>
      <c r="E7633" s="4">
        <v>0</v>
      </c>
      <c r="F7633" s="57">
        <f t="shared" si="594"/>
        <v>1399</v>
      </c>
    </row>
    <row r="7634" spans="1:8" x14ac:dyDescent="0.25">
      <c r="A7634" s="42" t="s">
        <v>17</v>
      </c>
      <c r="B7634" s="182">
        <v>44211</v>
      </c>
      <c r="C7634" s="4">
        <v>4742</v>
      </c>
      <c r="D7634" s="183">
        <f>C7634+D7610</f>
        <v>745329</v>
      </c>
      <c r="E7634" s="4">
        <v>41</v>
      </c>
      <c r="F7634" s="57">
        <f>E7634+F7610</f>
        <v>23223</v>
      </c>
      <c r="G7634">
        <v>23</v>
      </c>
      <c r="H7634">
        <v>18</v>
      </c>
    </row>
    <row r="7635" spans="1:8" x14ac:dyDescent="0.25">
      <c r="A7635" s="42" t="s">
        <v>44</v>
      </c>
      <c r="B7635" s="182">
        <v>44211</v>
      </c>
      <c r="C7635" s="4">
        <v>1306</v>
      </c>
      <c r="D7635" s="183">
        <f t="shared" si="593"/>
        <v>192387</v>
      </c>
      <c r="E7635" s="4">
        <v>6</v>
      </c>
      <c r="F7635" s="57">
        <f t="shared" si="594"/>
        <v>5647</v>
      </c>
      <c r="G7635">
        <v>3</v>
      </c>
      <c r="H7635">
        <v>2</v>
      </c>
    </row>
    <row r="7636" spans="1:8" x14ac:dyDescent="0.25">
      <c r="A7636" s="42" t="s">
        <v>29</v>
      </c>
      <c r="B7636" s="182">
        <v>44211</v>
      </c>
      <c r="C7636" s="4">
        <v>395</v>
      </c>
      <c r="D7636" s="183">
        <f t="shared" si="593"/>
        <v>3829</v>
      </c>
      <c r="E7636" s="4">
        <v>0</v>
      </c>
      <c r="F7636" s="57">
        <f t="shared" si="594"/>
        <v>17</v>
      </c>
    </row>
    <row r="7637" spans="1:8" x14ac:dyDescent="0.25">
      <c r="A7637" s="42" t="s">
        <v>16</v>
      </c>
      <c r="B7637" s="182">
        <v>44211</v>
      </c>
      <c r="C7637" s="4">
        <v>226</v>
      </c>
      <c r="D7637" s="183">
        <f t="shared" si="593"/>
        <v>28168</v>
      </c>
      <c r="E7637" s="4">
        <v>3</v>
      </c>
      <c r="F7637" s="57">
        <f t="shared" si="594"/>
        <v>755</v>
      </c>
      <c r="G7637">
        <v>1</v>
      </c>
      <c r="H7637">
        <v>2</v>
      </c>
    </row>
    <row r="7638" spans="1:8" x14ac:dyDescent="0.25">
      <c r="A7638" s="42" t="s">
        <v>30</v>
      </c>
      <c r="B7638" s="182">
        <v>44211</v>
      </c>
      <c r="C7638" s="4">
        <v>408</v>
      </c>
      <c r="D7638" s="183">
        <f t="shared" si="593"/>
        <v>37906</v>
      </c>
      <c r="E7638" s="4">
        <v>0</v>
      </c>
      <c r="F7638" s="57">
        <f t="shared" si="594"/>
        <v>559</v>
      </c>
    </row>
    <row r="7639" spans="1:8" x14ac:dyDescent="0.25">
      <c r="A7639" s="42" t="s">
        <v>21</v>
      </c>
      <c r="B7639" s="182">
        <v>44211</v>
      </c>
      <c r="C7639" s="4">
        <v>649</v>
      </c>
      <c r="D7639" s="183">
        <f t="shared" si="593"/>
        <v>136868</v>
      </c>
      <c r="E7639" s="4">
        <v>0</v>
      </c>
      <c r="F7639" s="57">
        <f t="shared" si="594"/>
        <v>2546</v>
      </c>
    </row>
    <row r="7640" spans="1:8" x14ac:dyDescent="0.25">
      <c r="A7640" s="42" t="s">
        <v>31</v>
      </c>
      <c r="B7640" s="182">
        <v>44211</v>
      </c>
      <c r="C7640" s="4">
        <v>235</v>
      </c>
      <c r="D7640" s="183">
        <f t="shared" si="593"/>
        <v>15227</v>
      </c>
      <c r="E7640" s="4">
        <v>0</v>
      </c>
      <c r="F7640" s="57">
        <f t="shared" si="594"/>
        <v>181</v>
      </c>
    </row>
    <row r="7641" spans="1:8" x14ac:dyDescent="0.25">
      <c r="A7641" s="42" t="s">
        <v>32</v>
      </c>
      <c r="B7641" s="182">
        <v>44211</v>
      </c>
      <c r="C7641" s="4">
        <v>537</v>
      </c>
      <c r="D7641" s="183">
        <f t="shared" si="593"/>
        <v>35862</v>
      </c>
      <c r="E7641" s="4">
        <v>1</v>
      </c>
      <c r="F7641" s="57">
        <f t="shared" si="594"/>
        <v>627</v>
      </c>
      <c r="G7641">
        <v>1</v>
      </c>
    </row>
    <row r="7642" spans="1:8" x14ac:dyDescent="0.25">
      <c r="A7642" s="42" t="s">
        <v>42</v>
      </c>
      <c r="B7642" s="182">
        <v>44211</v>
      </c>
      <c r="C7642" s="4">
        <v>58</v>
      </c>
      <c r="D7642" s="183">
        <f t="shared" si="593"/>
        <v>558</v>
      </c>
      <c r="E7642" s="4">
        <v>1</v>
      </c>
      <c r="F7642" s="57">
        <f t="shared" si="594"/>
        <v>4</v>
      </c>
      <c r="G7642">
        <v>1</v>
      </c>
    </row>
    <row r="7643" spans="1:8" x14ac:dyDescent="0.25">
      <c r="A7643" s="42" t="s">
        <v>33</v>
      </c>
      <c r="B7643" s="182">
        <v>44211</v>
      </c>
      <c r="C7643" s="4">
        <v>21</v>
      </c>
      <c r="D7643" s="183">
        <f t="shared" si="593"/>
        <v>18780</v>
      </c>
      <c r="E7643" s="4">
        <v>1</v>
      </c>
      <c r="F7643" s="57">
        <f t="shared" si="594"/>
        <v>861</v>
      </c>
      <c r="G7643">
        <v>1</v>
      </c>
    </row>
    <row r="7644" spans="1:8" x14ac:dyDescent="0.25">
      <c r="A7644" s="42" t="s">
        <v>34</v>
      </c>
      <c r="B7644" s="182">
        <v>44211</v>
      </c>
      <c r="C7644" s="4">
        <v>195</v>
      </c>
      <c r="D7644" s="183">
        <f t="shared" si="593"/>
        <v>14734</v>
      </c>
      <c r="E7644" s="4">
        <v>10</v>
      </c>
      <c r="F7644" s="57">
        <f t="shared" si="594"/>
        <v>184</v>
      </c>
      <c r="G7644">
        <v>5</v>
      </c>
      <c r="H7644">
        <v>5</v>
      </c>
    </row>
    <row r="7645" spans="1:8" x14ac:dyDescent="0.25">
      <c r="A7645" s="42" t="s">
        <v>22</v>
      </c>
      <c r="B7645" s="182">
        <v>44211</v>
      </c>
      <c r="C7645" s="4">
        <v>13</v>
      </c>
      <c r="D7645" s="183">
        <f t="shared" si="593"/>
        <v>9272</v>
      </c>
      <c r="E7645" s="4">
        <v>0</v>
      </c>
      <c r="F7645" s="57">
        <f t="shared" si="594"/>
        <v>401</v>
      </c>
    </row>
    <row r="7646" spans="1:8" x14ac:dyDescent="0.25">
      <c r="A7646" s="42" t="s">
        <v>18</v>
      </c>
      <c r="B7646" s="182">
        <v>44211</v>
      </c>
      <c r="C7646" s="4">
        <v>135</v>
      </c>
      <c r="D7646" s="183">
        <f t="shared" si="593"/>
        <v>62038</v>
      </c>
      <c r="E7646" s="4">
        <v>4</v>
      </c>
      <c r="F7646" s="57">
        <f t="shared" si="594"/>
        <v>1278</v>
      </c>
      <c r="G7646">
        <v>2</v>
      </c>
      <c r="H7646">
        <v>2</v>
      </c>
    </row>
    <row r="7647" spans="1:8" x14ac:dyDescent="0.25">
      <c r="A7647" s="42" t="s">
        <v>24</v>
      </c>
      <c r="B7647" s="182">
        <v>44211</v>
      </c>
      <c r="C7647" s="4">
        <v>104</v>
      </c>
      <c r="D7647" s="183">
        <f t="shared" si="593"/>
        <v>1866</v>
      </c>
      <c r="E7647" s="4">
        <v>3</v>
      </c>
      <c r="F7647" s="57">
        <f t="shared" si="594"/>
        <v>36</v>
      </c>
      <c r="G7647">
        <v>2</v>
      </c>
      <c r="H7647">
        <v>1</v>
      </c>
    </row>
    <row r="7648" spans="1:8" x14ac:dyDescent="0.25">
      <c r="A7648" s="42" t="s">
        <v>20</v>
      </c>
      <c r="B7648" s="182">
        <v>44211</v>
      </c>
      <c r="C7648" s="4">
        <v>515</v>
      </c>
      <c r="D7648" s="183">
        <f t="shared" si="593"/>
        <v>47712</v>
      </c>
      <c r="E7648" s="4">
        <v>1</v>
      </c>
      <c r="F7648" s="57">
        <f t="shared" si="594"/>
        <v>755</v>
      </c>
      <c r="H7648">
        <v>1</v>
      </c>
    </row>
    <row r="7649" spans="1:8" x14ac:dyDescent="0.25">
      <c r="A7649" s="42" t="s">
        <v>19</v>
      </c>
      <c r="B7649" s="182">
        <v>44211</v>
      </c>
      <c r="C7649" s="4">
        <v>334</v>
      </c>
      <c r="D7649" s="183">
        <f t="shared" si="593"/>
        <v>43411</v>
      </c>
      <c r="E7649" s="4">
        <v>4</v>
      </c>
      <c r="F7649" s="57">
        <f t="shared" si="594"/>
        <v>997</v>
      </c>
      <c r="G7649">
        <v>3</v>
      </c>
      <c r="H7649">
        <v>1</v>
      </c>
    </row>
    <row r="7650" spans="1:8" x14ac:dyDescent="0.25">
      <c r="A7650" s="42" t="s">
        <v>35</v>
      </c>
      <c r="B7650" s="182">
        <v>44211</v>
      </c>
      <c r="C7650" s="4">
        <v>59</v>
      </c>
      <c r="D7650" s="183">
        <f t="shared" si="593"/>
        <v>22979</v>
      </c>
      <c r="E7650" s="4">
        <v>0</v>
      </c>
      <c r="F7650" s="57">
        <f t="shared" si="594"/>
        <v>1025</v>
      </c>
    </row>
    <row r="7651" spans="1:8" x14ac:dyDescent="0.25">
      <c r="A7651" s="42" t="s">
        <v>36</v>
      </c>
      <c r="B7651" s="182">
        <v>44211</v>
      </c>
      <c r="C7651" s="4">
        <v>111</v>
      </c>
      <c r="D7651" s="183">
        <f t="shared" si="593"/>
        <v>13028</v>
      </c>
      <c r="E7651" s="4">
        <v>1</v>
      </c>
      <c r="F7651" s="57">
        <f t="shared" si="594"/>
        <v>214</v>
      </c>
      <c r="G7651">
        <v>1</v>
      </c>
    </row>
    <row r="7652" spans="1:8" x14ac:dyDescent="0.25">
      <c r="A7652" s="42" t="s">
        <v>37</v>
      </c>
      <c r="B7652" s="182">
        <v>44211</v>
      </c>
      <c r="C7652" s="4">
        <v>33</v>
      </c>
      <c r="D7652" s="183">
        <f t="shared" si="593"/>
        <v>16793</v>
      </c>
      <c r="E7652" s="4">
        <v>1</v>
      </c>
      <c r="F7652" s="57">
        <f t="shared" si="594"/>
        <v>328</v>
      </c>
      <c r="G7652">
        <v>1</v>
      </c>
    </row>
    <row r="7653" spans="1:8" x14ac:dyDescent="0.25">
      <c r="A7653" s="42" t="s">
        <v>38</v>
      </c>
      <c r="B7653" s="182">
        <v>44211</v>
      </c>
      <c r="C7653" s="4">
        <v>332</v>
      </c>
      <c r="D7653" s="183">
        <f t="shared" si="593"/>
        <v>28869</v>
      </c>
      <c r="E7653" s="4">
        <v>10</v>
      </c>
      <c r="F7653" s="57">
        <f t="shared" si="594"/>
        <v>448</v>
      </c>
      <c r="G7653">
        <v>6</v>
      </c>
      <c r="H7653">
        <v>3</v>
      </c>
    </row>
    <row r="7654" spans="1:8" x14ac:dyDescent="0.25">
      <c r="A7654" s="42" t="s">
        <v>23</v>
      </c>
      <c r="B7654" s="182">
        <v>44211</v>
      </c>
      <c r="C7654" s="4">
        <v>1488</v>
      </c>
      <c r="D7654" s="183">
        <f t="shared" si="593"/>
        <v>193329</v>
      </c>
      <c r="E7654" s="4">
        <v>6</v>
      </c>
      <c r="F7654" s="57">
        <f t="shared" si="594"/>
        <v>3154</v>
      </c>
      <c r="H7654">
        <v>6</v>
      </c>
    </row>
    <row r="7655" spans="1:8" x14ac:dyDescent="0.25">
      <c r="A7655" s="42" t="s">
        <v>39</v>
      </c>
      <c r="B7655" s="182">
        <v>44211</v>
      </c>
      <c r="C7655" s="4">
        <v>92</v>
      </c>
      <c r="D7655" s="183">
        <f t="shared" si="593"/>
        <v>19342</v>
      </c>
      <c r="E7655" s="4">
        <v>0</v>
      </c>
      <c r="F7655" s="57">
        <f t="shared" si="594"/>
        <v>229</v>
      </c>
    </row>
    <row r="7656" spans="1:8" x14ac:dyDescent="0.25">
      <c r="A7656" s="42" t="s">
        <v>40</v>
      </c>
      <c r="B7656" s="182">
        <v>44211</v>
      </c>
      <c r="C7656" s="4">
        <v>91</v>
      </c>
      <c r="D7656" s="183">
        <f t="shared" si="593"/>
        <v>20661</v>
      </c>
      <c r="E7656" s="4">
        <v>9</v>
      </c>
      <c r="F7656" s="57">
        <f t="shared" si="594"/>
        <v>296</v>
      </c>
      <c r="G7656">
        <v>2</v>
      </c>
      <c r="H7656">
        <v>7</v>
      </c>
    </row>
    <row r="7657" spans="1:8" x14ac:dyDescent="0.25">
      <c r="A7657" s="42" t="s">
        <v>41</v>
      </c>
      <c r="B7657" s="182">
        <v>44211</v>
      </c>
      <c r="C7657" s="4">
        <v>253</v>
      </c>
      <c r="D7657" s="183">
        <f t="shared" si="593"/>
        <v>74099</v>
      </c>
      <c r="E7657" s="4">
        <v>1</v>
      </c>
      <c r="F7657" s="57">
        <f t="shared" si="594"/>
        <v>1400</v>
      </c>
      <c r="H7657">
        <v>1</v>
      </c>
    </row>
    <row r="7658" spans="1:8" x14ac:dyDescent="0.25">
      <c r="A7658" s="42" t="s">
        <v>17</v>
      </c>
      <c r="B7658" s="182">
        <v>44212</v>
      </c>
      <c r="C7658" s="4">
        <v>3531</v>
      </c>
      <c r="D7658" s="183">
        <f>C7658+D7634</f>
        <v>748860</v>
      </c>
      <c r="E7658" s="4">
        <v>21</v>
      </c>
      <c r="F7658" s="57">
        <f>E7658+F7634</f>
        <v>23244</v>
      </c>
      <c r="G7658">
        <v>12</v>
      </c>
      <c r="H7658">
        <v>9</v>
      </c>
    </row>
    <row r="7659" spans="1:8" x14ac:dyDescent="0.25">
      <c r="A7659" s="42" t="s">
        <v>44</v>
      </c>
      <c r="B7659" s="182">
        <v>44212</v>
      </c>
      <c r="C7659" s="4">
        <v>1144</v>
      </c>
      <c r="D7659" s="183">
        <f t="shared" si="593"/>
        <v>193531</v>
      </c>
      <c r="E7659" s="4">
        <v>6</v>
      </c>
      <c r="F7659" s="57">
        <f t="shared" si="594"/>
        <v>5653</v>
      </c>
      <c r="G7659">
        <v>2</v>
      </c>
      <c r="H7659">
        <v>4</v>
      </c>
    </row>
    <row r="7660" spans="1:8" x14ac:dyDescent="0.25">
      <c r="A7660" s="42" t="s">
        <v>29</v>
      </c>
      <c r="B7660" s="182">
        <v>44212</v>
      </c>
      <c r="C7660" s="4">
        <v>235</v>
      </c>
      <c r="D7660" s="183">
        <f t="shared" si="593"/>
        <v>4064</v>
      </c>
      <c r="E7660" s="4">
        <v>0</v>
      </c>
      <c r="F7660" s="57">
        <f t="shared" si="594"/>
        <v>17</v>
      </c>
    </row>
    <row r="7661" spans="1:8" x14ac:dyDescent="0.25">
      <c r="A7661" s="42" t="s">
        <v>16</v>
      </c>
      <c r="B7661" s="182">
        <v>44212</v>
      </c>
      <c r="C7661" s="4">
        <v>170</v>
      </c>
      <c r="D7661" s="183">
        <f t="shared" si="593"/>
        <v>28338</v>
      </c>
      <c r="E7661" s="4">
        <v>1</v>
      </c>
      <c r="F7661" s="57">
        <f t="shared" si="594"/>
        <v>756</v>
      </c>
      <c r="H7661">
        <v>1</v>
      </c>
    </row>
    <row r="7662" spans="1:8" x14ac:dyDescent="0.25">
      <c r="A7662" s="42" t="s">
        <v>30</v>
      </c>
      <c r="B7662" s="182">
        <v>44212</v>
      </c>
      <c r="C7662" s="4">
        <v>181</v>
      </c>
      <c r="D7662" s="183">
        <f t="shared" si="593"/>
        <v>38087</v>
      </c>
      <c r="E7662" s="4">
        <v>2</v>
      </c>
      <c r="F7662" s="57">
        <f t="shared" si="594"/>
        <v>561</v>
      </c>
      <c r="H7662">
        <v>2</v>
      </c>
    </row>
    <row r="7663" spans="1:8" x14ac:dyDescent="0.25">
      <c r="A7663" s="42" t="s">
        <v>21</v>
      </c>
      <c r="B7663" s="182">
        <v>44212</v>
      </c>
      <c r="C7663" s="4">
        <v>536</v>
      </c>
      <c r="D7663" s="183">
        <f t="shared" si="593"/>
        <v>137404</v>
      </c>
      <c r="E7663" s="4">
        <v>4</v>
      </c>
      <c r="F7663" s="57">
        <f t="shared" si="594"/>
        <v>2550</v>
      </c>
      <c r="G7663">
        <v>3</v>
      </c>
      <c r="H7663">
        <v>1</v>
      </c>
    </row>
    <row r="7664" spans="1:8" x14ac:dyDescent="0.25">
      <c r="A7664" s="42" t="s">
        <v>31</v>
      </c>
      <c r="B7664" s="182">
        <v>44212</v>
      </c>
      <c r="C7664" s="4">
        <v>78</v>
      </c>
      <c r="D7664" s="183">
        <f t="shared" si="593"/>
        <v>15305</v>
      </c>
      <c r="E7664" s="4">
        <v>0</v>
      </c>
      <c r="F7664" s="57">
        <f t="shared" si="594"/>
        <v>181</v>
      </c>
    </row>
    <row r="7665" spans="1:8" x14ac:dyDescent="0.25">
      <c r="A7665" s="42" t="s">
        <v>32</v>
      </c>
      <c r="B7665" s="182">
        <v>44212</v>
      </c>
      <c r="C7665" s="4">
        <v>314</v>
      </c>
      <c r="D7665" s="183">
        <f t="shared" si="593"/>
        <v>36176</v>
      </c>
      <c r="E7665" s="4">
        <v>5</v>
      </c>
      <c r="F7665" s="57">
        <f t="shared" si="594"/>
        <v>632</v>
      </c>
      <c r="G7665">
        <v>3</v>
      </c>
      <c r="H7665">
        <v>2</v>
      </c>
    </row>
    <row r="7666" spans="1:8" x14ac:dyDescent="0.25">
      <c r="A7666" s="42" t="s">
        <v>42</v>
      </c>
      <c r="B7666" s="182">
        <v>44212</v>
      </c>
      <c r="C7666" s="4">
        <v>29</v>
      </c>
      <c r="D7666" s="183">
        <f t="shared" si="593"/>
        <v>587</v>
      </c>
      <c r="E7666" s="4">
        <v>0</v>
      </c>
      <c r="F7666" s="57">
        <f t="shared" si="594"/>
        <v>4</v>
      </c>
    </row>
    <row r="7667" spans="1:8" x14ac:dyDescent="0.25">
      <c r="A7667" s="42" t="s">
        <v>33</v>
      </c>
      <c r="B7667" s="182">
        <v>44212</v>
      </c>
      <c r="C7667" s="4">
        <v>21</v>
      </c>
      <c r="D7667" s="183">
        <f t="shared" si="593"/>
        <v>18801</v>
      </c>
      <c r="E7667" s="4">
        <v>2</v>
      </c>
      <c r="F7667" s="57">
        <f t="shared" si="594"/>
        <v>863</v>
      </c>
      <c r="G7667">
        <v>1</v>
      </c>
      <c r="H7667">
        <v>1</v>
      </c>
    </row>
    <row r="7668" spans="1:8" x14ac:dyDescent="0.25">
      <c r="A7668" s="42" t="s">
        <v>34</v>
      </c>
      <c r="B7668" s="182">
        <v>44212</v>
      </c>
      <c r="C7668" s="4">
        <v>110</v>
      </c>
      <c r="D7668" s="183">
        <f t="shared" si="593"/>
        <v>14844</v>
      </c>
      <c r="E7668" s="4">
        <v>1</v>
      </c>
      <c r="F7668" s="57">
        <f t="shared" si="594"/>
        <v>185</v>
      </c>
      <c r="H7668">
        <v>1</v>
      </c>
    </row>
    <row r="7669" spans="1:8" x14ac:dyDescent="0.25">
      <c r="A7669" s="42" t="s">
        <v>22</v>
      </c>
      <c r="B7669" s="182">
        <v>44212</v>
      </c>
      <c r="C7669" s="4">
        <v>12</v>
      </c>
      <c r="D7669" s="183">
        <f t="shared" si="593"/>
        <v>9284</v>
      </c>
      <c r="E7669" s="4">
        <v>0</v>
      </c>
      <c r="F7669" s="57">
        <f t="shared" si="594"/>
        <v>401</v>
      </c>
    </row>
    <row r="7670" spans="1:8" x14ac:dyDescent="0.25">
      <c r="A7670" s="42" t="s">
        <v>18</v>
      </c>
      <c r="B7670" s="182">
        <v>44212</v>
      </c>
      <c r="C7670" s="4">
        <v>135</v>
      </c>
      <c r="D7670" s="183">
        <f t="shared" si="593"/>
        <v>62173</v>
      </c>
      <c r="E7670" s="4">
        <v>5</v>
      </c>
      <c r="F7670" s="57">
        <f t="shared" si="594"/>
        <v>1283</v>
      </c>
      <c r="G7670">
        <v>5</v>
      </c>
    </row>
    <row r="7671" spans="1:8" x14ac:dyDescent="0.25">
      <c r="A7671" s="42" t="s">
        <v>24</v>
      </c>
      <c r="B7671" s="182">
        <v>44212</v>
      </c>
      <c r="C7671" s="4">
        <v>144</v>
      </c>
      <c r="D7671" s="183">
        <f t="shared" si="593"/>
        <v>2010</v>
      </c>
      <c r="E7671" s="4">
        <v>3</v>
      </c>
      <c r="F7671" s="57">
        <f t="shared" si="594"/>
        <v>39</v>
      </c>
      <c r="G7671">
        <v>3</v>
      </c>
    </row>
    <row r="7672" spans="1:8" x14ac:dyDescent="0.25">
      <c r="A7672" s="42" t="s">
        <v>20</v>
      </c>
      <c r="B7672" s="182">
        <v>44212</v>
      </c>
      <c r="C7672" s="4">
        <v>280</v>
      </c>
      <c r="D7672" s="183">
        <f t="shared" si="593"/>
        <v>47992</v>
      </c>
      <c r="E7672" s="4">
        <v>0</v>
      </c>
      <c r="F7672" s="57">
        <f t="shared" si="594"/>
        <v>755</v>
      </c>
    </row>
    <row r="7673" spans="1:8" x14ac:dyDescent="0.25">
      <c r="A7673" s="42" t="s">
        <v>19</v>
      </c>
      <c r="B7673" s="182">
        <v>44212</v>
      </c>
      <c r="C7673" s="4">
        <v>296</v>
      </c>
      <c r="D7673" s="183">
        <f t="shared" si="593"/>
        <v>43707</v>
      </c>
      <c r="E7673" s="4">
        <v>1</v>
      </c>
      <c r="F7673" s="57">
        <f t="shared" si="594"/>
        <v>998</v>
      </c>
      <c r="G7673">
        <v>1</v>
      </c>
    </row>
    <row r="7674" spans="1:8" x14ac:dyDescent="0.25">
      <c r="A7674" s="42" t="s">
        <v>35</v>
      </c>
      <c r="B7674" s="182">
        <v>44212</v>
      </c>
      <c r="C7674" s="4">
        <v>64</v>
      </c>
      <c r="D7674" s="183">
        <f t="shared" si="593"/>
        <v>23043</v>
      </c>
      <c r="E7674" s="4">
        <v>0</v>
      </c>
      <c r="F7674" s="57">
        <f t="shared" si="594"/>
        <v>1025</v>
      </c>
    </row>
    <row r="7675" spans="1:8" x14ac:dyDescent="0.25">
      <c r="A7675" s="42" t="s">
        <v>36</v>
      </c>
      <c r="B7675" s="182">
        <v>44212</v>
      </c>
      <c r="C7675" s="4">
        <v>60</v>
      </c>
      <c r="D7675" s="183">
        <f t="shared" ref="D7675:D7681" si="595">C7675+D7651</f>
        <v>13088</v>
      </c>
      <c r="E7675" s="4">
        <v>0</v>
      </c>
      <c r="F7675" s="57">
        <f t="shared" ref="F7675:F7681" si="596">E7675+F7651</f>
        <v>214</v>
      </c>
    </row>
    <row r="7676" spans="1:8" x14ac:dyDescent="0.25">
      <c r="A7676" s="42" t="s">
        <v>37</v>
      </c>
      <c r="B7676" s="182">
        <v>44212</v>
      </c>
      <c r="C7676" s="4">
        <v>24</v>
      </c>
      <c r="D7676" s="183">
        <f t="shared" si="595"/>
        <v>16817</v>
      </c>
      <c r="E7676" s="4">
        <v>0</v>
      </c>
      <c r="F7676" s="57">
        <f t="shared" si="596"/>
        <v>328</v>
      </c>
    </row>
    <row r="7677" spans="1:8" x14ac:dyDescent="0.25">
      <c r="A7677" s="42" t="s">
        <v>38</v>
      </c>
      <c r="B7677" s="182">
        <v>44212</v>
      </c>
      <c r="C7677" s="4">
        <v>244</v>
      </c>
      <c r="D7677" s="183">
        <f t="shared" si="595"/>
        <v>29113</v>
      </c>
      <c r="E7677" s="4">
        <v>2</v>
      </c>
      <c r="F7677" s="57">
        <f t="shared" si="596"/>
        <v>450</v>
      </c>
      <c r="G7677">
        <v>1</v>
      </c>
      <c r="H7677">
        <v>1</v>
      </c>
    </row>
    <row r="7678" spans="1:8" x14ac:dyDescent="0.25">
      <c r="A7678" s="42" t="s">
        <v>23</v>
      </c>
      <c r="B7678" s="182">
        <v>44212</v>
      </c>
      <c r="C7678" s="4">
        <v>1078</v>
      </c>
      <c r="D7678" s="183">
        <f t="shared" si="595"/>
        <v>194407</v>
      </c>
      <c r="E7678" s="4">
        <v>12</v>
      </c>
      <c r="F7678" s="57">
        <f t="shared" si="596"/>
        <v>3166</v>
      </c>
      <c r="G7678">
        <v>6</v>
      </c>
      <c r="H7678">
        <v>6</v>
      </c>
    </row>
    <row r="7679" spans="1:8" x14ac:dyDescent="0.25">
      <c r="A7679" s="42" t="s">
        <v>39</v>
      </c>
      <c r="B7679" s="182">
        <v>44212</v>
      </c>
      <c r="C7679" s="4">
        <v>113</v>
      </c>
      <c r="D7679" s="183">
        <f t="shared" si="595"/>
        <v>19455</v>
      </c>
      <c r="E7679" s="4">
        <v>0</v>
      </c>
      <c r="F7679" s="57">
        <f t="shared" si="596"/>
        <v>229</v>
      </c>
    </row>
    <row r="7680" spans="1:8" x14ac:dyDescent="0.25">
      <c r="A7680" s="42" t="s">
        <v>40</v>
      </c>
      <c r="B7680" s="182">
        <v>44212</v>
      </c>
      <c r="C7680" s="4">
        <v>39</v>
      </c>
      <c r="D7680" s="183">
        <f t="shared" si="595"/>
        <v>20700</v>
      </c>
      <c r="E7680" s="4">
        <v>3</v>
      </c>
      <c r="F7680" s="57">
        <f t="shared" si="596"/>
        <v>299</v>
      </c>
      <c r="G7680">
        <v>2</v>
      </c>
      <c r="H7680">
        <v>1</v>
      </c>
    </row>
    <row r="7681" spans="1:8" x14ac:dyDescent="0.25">
      <c r="A7681" s="42" t="s">
        <v>41</v>
      </c>
      <c r="B7681" s="182">
        <v>44212</v>
      </c>
      <c r="C7681" s="4">
        <v>94</v>
      </c>
      <c r="D7681" s="183">
        <f t="shared" si="595"/>
        <v>74193</v>
      </c>
      <c r="E7681" s="4">
        <v>0</v>
      </c>
      <c r="F7681" s="57">
        <f t="shared" si="596"/>
        <v>1400</v>
      </c>
    </row>
    <row r="7682" spans="1:8" x14ac:dyDescent="0.25">
      <c r="A7682" s="42" t="s">
        <v>17</v>
      </c>
      <c r="B7682" s="182">
        <v>44213</v>
      </c>
      <c r="C7682" s="4">
        <v>2598</v>
      </c>
      <c r="D7682" s="183">
        <f>C7682+D7658</f>
        <v>751458</v>
      </c>
      <c r="E7682" s="4">
        <v>76</v>
      </c>
      <c r="F7682" s="57">
        <f>E7682+F7658</f>
        <v>23320</v>
      </c>
      <c r="G7682">
        <v>35</v>
      </c>
      <c r="H7682">
        <v>40</v>
      </c>
    </row>
    <row r="7683" spans="1:8" x14ac:dyDescent="0.25">
      <c r="A7683" s="42" t="s">
        <v>44</v>
      </c>
      <c r="B7683" s="182">
        <v>44213</v>
      </c>
      <c r="C7683" s="4">
        <v>1157</v>
      </c>
      <c r="D7683" s="183">
        <f t="shared" ref="D7683:D7746" si="597">C7683+D7659</f>
        <v>194688</v>
      </c>
      <c r="E7683" s="4">
        <v>8</v>
      </c>
      <c r="F7683" s="57">
        <f t="shared" ref="F7683:F7746" si="598">E7683+F7659</f>
        <v>5661</v>
      </c>
      <c r="G7683">
        <v>4</v>
      </c>
      <c r="H7683">
        <v>2</v>
      </c>
    </row>
    <row r="7684" spans="1:8" x14ac:dyDescent="0.25">
      <c r="A7684" s="42" t="s">
        <v>29</v>
      </c>
      <c r="B7684" s="182">
        <v>44213</v>
      </c>
      <c r="C7684" s="4">
        <v>117</v>
      </c>
      <c r="D7684" s="183">
        <f t="shared" si="597"/>
        <v>4181</v>
      </c>
      <c r="E7684" s="4">
        <v>0</v>
      </c>
      <c r="F7684" s="57">
        <f t="shared" si="598"/>
        <v>17</v>
      </c>
    </row>
    <row r="7685" spans="1:8" x14ac:dyDescent="0.25">
      <c r="A7685" s="42" t="s">
        <v>16</v>
      </c>
      <c r="B7685" s="182">
        <v>44213</v>
      </c>
      <c r="C7685" s="4">
        <v>173</v>
      </c>
      <c r="D7685" s="183">
        <f t="shared" si="597"/>
        <v>28511</v>
      </c>
      <c r="E7685" s="4">
        <v>1</v>
      </c>
      <c r="F7685" s="57">
        <f t="shared" si="598"/>
        <v>757</v>
      </c>
      <c r="G7685">
        <v>1</v>
      </c>
    </row>
    <row r="7686" spans="1:8" x14ac:dyDescent="0.25">
      <c r="A7686" s="42" t="s">
        <v>30</v>
      </c>
      <c r="B7686" s="182">
        <v>44213</v>
      </c>
      <c r="C7686" s="4">
        <v>151</v>
      </c>
      <c r="D7686" s="183">
        <f t="shared" si="597"/>
        <v>38238</v>
      </c>
      <c r="E7686" s="4">
        <v>1</v>
      </c>
      <c r="F7686" s="57">
        <f t="shared" si="598"/>
        <v>562</v>
      </c>
      <c r="G7686">
        <v>1</v>
      </c>
    </row>
    <row r="7687" spans="1:8" x14ac:dyDescent="0.25">
      <c r="A7687" s="42" t="s">
        <v>21</v>
      </c>
      <c r="B7687" s="182">
        <v>44213</v>
      </c>
      <c r="C7687" s="4">
        <v>336</v>
      </c>
      <c r="D7687" s="183">
        <f t="shared" si="597"/>
        <v>137740</v>
      </c>
      <c r="E7687" s="4">
        <v>1</v>
      </c>
      <c r="F7687" s="57">
        <f t="shared" si="598"/>
        <v>2551</v>
      </c>
      <c r="H7687">
        <v>1</v>
      </c>
    </row>
    <row r="7688" spans="1:8" x14ac:dyDescent="0.25">
      <c r="A7688" s="42" t="s">
        <v>31</v>
      </c>
      <c r="B7688" s="182">
        <v>44213</v>
      </c>
      <c r="C7688" s="4">
        <v>162</v>
      </c>
      <c r="D7688" s="183">
        <f t="shared" si="597"/>
        <v>15467</v>
      </c>
      <c r="E7688" s="4">
        <v>1</v>
      </c>
      <c r="F7688" s="57">
        <f t="shared" si="598"/>
        <v>182</v>
      </c>
      <c r="H7688">
        <v>1</v>
      </c>
    </row>
    <row r="7689" spans="1:8" x14ac:dyDescent="0.25">
      <c r="A7689" s="42" t="s">
        <v>32</v>
      </c>
      <c r="B7689" s="182">
        <v>44213</v>
      </c>
      <c r="C7689" s="4">
        <v>315</v>
      </c>
      <c r="D7689" s="183">
        <f t="shared" si="597"/>
        <v>36491</v>
      </c>
      <c r="E7689" s="4">
        <v>3</v>
      </c>
      <c r="F7689" s="57">
        <f t="shared" si="598"/>
        <v>635</v>
      </c>
      <c r="G7689">
        <v>2</v>
      </c>
    </row>
    <row r="7690" spans="1:8" x14ac:dyDescent="0.25">
      <c r="A7690" s="42" t="s">
        <v>42</v>
      </c>
      <c r="B7690" s="182">
        <v>44213</v>
      </c>
      <c r="C7690" s="4">
        <v>76</v>
      </c>
      <c r="D7690" s="183">
        <f t="shared" si="597"/>
        <v>663</v>
      </c>
      <c r="E7690" s="4">
        <v>2</v>
      </c>
      <c r="F7690" s="57">
        <f t="shared" si="598"/>
        <v>6</v>
      </c>
      <c r="G7690">
        <v>1</v>
      </c>
    </row>
    <row r="7691" spans="1:8" x14ac:dyDescent="0.25">
      <c r="A7691" s="42" t="s">
        <v>33</v>
      </c>
      <c r="B7691" s="182">
        <v>44213</v>
      </c>
      <c r="C7691" s="4">
        <v>60</v>
      </c>
      <c r="D7691" s="183">
        <f t="shared" si="597"/>
        <v>18861</v>
      </c>
      <c r="E7691" s="4">
        <v>0</v>
      </c>
      <c r="F7691" s="57">
        <f t="shared" si="598"/>
        <v>863</v>
      </c>
    </row>
    <row r="7692" spans="1:8" x14ac:dyDescent="0.25">
      <c r="A7692" s="42" t="s">
        <v>34</v>
      </c>
      <c r="B7692" s="182">
        <v>44213</v>
      </c>
      <c r="C7692" s="4">
        <v>151</v>
      </c>
      <c r="D7692" s="183">
        <f t="shared" si="597"/>
        <v>14995</v>
      </c>
      <c r="E7692" s="4">
        <v>3</v>
      </c>
      <c r="F7692" s="57">
        <f t="shared" si="598"/>
        <v>188</v>
      </c>
      <c r="G7692">
        <v>2</v>
      </c>
      <c r="H7692">
        <v>1</v>
      </c>
    </row>
    <row r="7693" spans="1:8" x14ac:dyDescent="0.25">
      <c r="A7693" s="42" t="s">
        <v>22</v>
      </c>
      <c r="B7693" s="182">
        <v>44213</v>
      </c>
      <c r="C7693" s="4">
        <v>24</v>
      </c>
      <c r="D7693" s="183">
        <f t="shared" si="597"/>
        <v>9308</v>
      </c>
      <c r="E7693" s="4">
        <v>0</v>
      </c>
      <c r="F7693" s="57">
        <f t="shared" si="598"/>
        <v>401</v>
      </c>
    </row>
    <row r="7694" spans="1:8" x14ac:dyDescent="0.25">
      <c r="A7694" s="42" t="s">
        <v>18</v>
      </c>
      <c r="B7694" s="182">
        <v>44213</v>
      </c>
      <c r="C7694" s="4">
        <v>47</v>
      </c>
      <c r="D7694" s="183">
        <f t="shared" si="597"/>
        <v>62220</v>
      </c>
      <c r="E7694" s="4">
        <v>3</v>
      </c>
      <c r="F7694" s="57">
        <f t="shared" si="598"/>
        <v>1286</v>
      </c>
      <c r="G7694">
        <v>2</v>
      </c>
      <c r="H7694">
        <v>1</v>
      </c>
    </row>
    <row r="7695" spans="1:8" x14ac:dyDescent="0.25">
      <c r="A7695" s="42" t="s">
        <v>24</v>
      </c>
      <c r="B7695" s="182">
        <v>44213</v>
      </c>
      <c r="C7695" s="4">
        <v>170</v>
      </c>
      <c r="D7695" s="183">
        <f t="shared" si="597"/>
        <v>2180</v>
      </c>
      <c r="E7695" s="4">
        <v>0</v>
      </c>
      <c r="F7695" s="57">
        <f t="shared" si="598"/>
        <v>39</v>
      </c>
    </row>
    <row r="7696" spans="1:8" x14ac:dyDescent="0.25">
      <c r="A7696" s="42" t="s">
        <v>20</v>
      </c>
      <c r="B7696" s="182">
        <v>44213</v>
      </c>
      <c r="C7696" s="4">
        <v>218</v>
      </c>
      <c r="D7696" s="183">
        <f t="shared" si="597"/>
        <v>48210</v>
      </c>
      <c r="E7696" s="4">
        <v>0</v>
      </c>
      <c r="F7696" s="57">
        <f t="shared" si="598"/>
        <v>755</v>
      </c>
    </row>
    <row r="7697" spans="1:12" x14ac:dyDescent="0.25">
      <c r="A7697" s="42" t="s">
        <v>19</v>
      </c>
      <c r="B7697" s="182">
        <v>44213</v>
      </c>
      <c r="C7697" s="4">
        <v>177</v>
      </c>
      <c r="D7697" s="183">
        <f t="shared" si="597"/>
        <v>43884</v>
      </c>
      <c r="E7697" s="4">
        <v>4</v>
      </c>
      <c r="F7697" s="57">
        <f t="shared" si="598"/>
        <v>1002</v>
      </c>
      <c r="G7697">
        <v>2</v>
      </c>
      <c r="H7697">
        <v>2</v>
      </c>
    </row>
    <row r="7698" spans="1:12" x14ac:dyDescent="0.25">
      <c r="A7698" s="42" t="s">
        <v>35</v>
      </c>
      <c r="B7698" s="182">
        <v>44213</v>
      </c>
      <c r="C7698" s="4">
        <v>42</v>
      </c>
      <c r="D7698" s="183">
        <f t="shared" si="597"/>
        <v>23085</v>
      </c>
      <c r="E7698" s="4">
        <v>0</v>
      </c>
      <c r="F7698" s="57">
        <f t="shared" si="598"/>
        <v>1025</v>
      </c>
    </row>
    <row r="7699" spans="1:12" x14ac:dyDescent="0.25">
      <c r="A7699" s="42" t="s">
        <v>36</v>
      </c>
      <c r="B7699" s="182">
        <v>44213</v>
      </c>
      <c r="C7699" s="4">
        <v>3</v>
      </c>
      <c r="D7699" s="183">
        <f t="shared" si="597"/>
        <v>13091</v>
      </c>
      <c r="E7699" s="4">
        <v>0</v>
      </c>
      <c r="F7699" s="57">
        <f t="shared" si="598"/>
        <v>214</v>
      </c>
    </row>
    <row r="7700" spans="1:12" x14ac:dyDescent="0.25">
      <c r="A7700" s="42" t="s">
        <v>37</v>
      </c>
      <c r="B7700" s="182">
        <v>44213</v>
      </c>
      <c r="C7700" s="4">
        <v>58</v>
      </c>
      <c r="D7700" s="183">
        <f t="shared" si="597"/>
        <v>16875</v>
      </c>
      <c r="E7700" s="4">
        <v>0</v>
      </c>
      <c r="F7700" s="57">
        <f t="shared" si="598"/>
        <v>328</v>
      </c>
    </row>
    <row r="7701" spans="1:12" x14ac:dyDescent="0.25">
      <c r="A7701" s="42" t="s">
        <v>38</v>
      </c>
      <c r="B7701" s="182">
        <v>44213</v>
      </c>
      <c r="C7701" s="4">
        <v>266</v>
      </c>
      <c r="D7701" s="183">
        <f t="shared" si="597"/>
        <v>29379</v>
      </c>
      <c r="E7701" s="4">
        <v>1</v>
      </c>
      <c r="F7701" s="57">
        <f t="shared" si="598"/>
        <v>451</v>
      </c>
      <c r="G7701">
        <v>1</v>
      </c>
    </row>
    <row r="7702" spans="1:12" x14ac:dyDescent="0.25">
      <c r="A7702" s="42" t="s">
        <v>23</v>
      </c>
      <c r="B7702" s="182">
        <v>44213</v>
      </c>
      <c r="C7702" s="4">
        <v>655</v>
      </c>
      <c r="D7702" s="183">
        <f t="shared" si="597"/>
        <v>195062</v>
      </c>
      <c r="E7702" s="4">
        <v>7</v>
      </c>
      <c r="F7702" s="57">
        <f t="shared" si="598"/>
        <v>3173</v>
      </c>
      <c r="H7702">
        <v>6</v>
      </c>
    </row>
    <row r="7703" spans="1:12" x14ac:dyDescent="0.25">
      <c r="A7703" s="42" t="s">
        <v>39</v>
      </c>
      <c r="B7703" s="182">
        <v>44213</v>
      </c>
      <c r="C7703" s="4">
        <v>144</v>
      </c>
      <c r="D7703" s="183">
        <f t="shared" si="597"/>
        <v>19599</v>
      </c>
      <c r="E7703" s="4">
        <v>0</v>
      </c>
      <c r="F7703" s="57">
        <f t="shared" si="598"/>
        <v>229</v>
      </c>
    </row>
    <row r="7704" spans="1:12" x14ac:dyDescent="0.25">
      <c r="A7704" s="42" t="s">
        <v>40</v>
      </c>
      <c r="B7704" s="182">
        <v>44213</v>
      </c>
      <c r="C7704" s="4">
        <v>60</v>
      </c>
      <c r="D7704" s="183">
        <f t="shared" si="597"/>
        <v>20760</v>
      </c>
      <c r="E7704" s="4">
        <v>0</v>
      </c>
      <c r="F7704" s="57">
        <f t="shared" si="598"/>
        <v>299</v>
      </c>
    </row>
    <row r="7705" spans="1:12" x14ac:dyDescent="0.25">
      <c r="A7705" s="42" t="s">
        <v>41</v>
      </c>
      <c r="B7705" s="182">
        <v>44213</v>
      </c>
      <c r="C7705" s="4">
        <v>104</v>
      </c>
      <c r="D7705" s="183">
        <f t="shared" si="597"/>
        <v>74297</v>
      </c>
      <c r="E7705" s="4">
        <v>1</v>
      </c>
      <c r="F7705" s="57">
        <f t="shared" si="598"/>
        <v>1401</v>
      </c>
      <c r="G7705">
        <v>1</v>
      </c>
    </row>
    <row r="7706" spans="1:12" x14ac:dyDescent="0.25">
      <c r="A7706" s="42" t="s">
        <v>17</v>
      </c>
      <c r="B7706" s="182">
        <v>44214</v>
      </c>
      <c r="C7706" s="4">
        <v>2987</v>
      </c>
      <c r="D7706" s="183">
        <f>C7706+D7682</f>
        <v>754445</v>
      </c>
      <c r="E7706" s="4">
        <v>250</v>
      </c>
      <c r="F7706" s="57">
        <f>E7706+F7682</f>
        <v>23570</v>
      </c>
      <c r="G7706" s="62">
        <v>10</v>
      </c>
      <c r="H7706" s="62">
        <v>98</v>
      </c>
    </row>
    <row r="7707" spans="1:12" x14ac:dyDescent="0.25">
      <c r="A7707" s="42" t="s">
        <v>44</v>
      </c>
      <c r="B7707" s="182">
        <v>44214</v>
      </c>
      <c r="C7707" s="4">
        <v>1210</v>
      </c>
      <c r="D7707" s="183">
        <f t="shared" si="597"/>
        <v>195898</v>
      </c>
      <c r="E7707" s="4">
        <v>40</v>
      </c>
      <c r="F7707" s="57">
        <f t="shared" si="598"/>
        <v>5701</v>
      </c>
      <c r="G7707" s="62">
        <v>4</v>
      </c>
      <c r="H7707" s="62">
        <v>13</v>
      </c>
    </row>
    <row r="7708" spans="1:12" x14ac:dyDescent="0.25">
      <c r="A7708" s="42" t="s">
        <v>29</v>
      </c>
      <c r="B7708" s="182">
        <v>44214</v>
      </c>
      <c r="C7708" s="4">
        <v>59</v>
      </c>
      <c r="D7708" s="183">
        <f t="shared" si="597"/>
        <v>4240</v>
      </c>
      <c r="E7708" s="4">
        <v>0</v>
      </c>
      <c r="F7708" s="57">
        <f t="shared" si="598"/>
        <v>17</v>
      </c>
      <c r="L7708" s="62"/>
    </row>
    <row r="7709" spans="1:12" x14ac:dyDescent="0.25">
      <c r="A7709" s="42" t="s">
        <v>16</v>
      </c>
      <c r="B7709" s="182">
        <v>44214</v>
      </c>
      <c r="C7709" s="4">
        <v>141</v>
      </c>
      <c r="D7709" s="183">
        <f t="shared" si="597"/>
        <v>28652</v>
      </c>
      <c r="E7709" s="4">
        <v>8</v>
      </c>
      <c r="F7709" s="57">
        <f t="shared" si="598"/>
        <v>765</v>
      </c>
      <c r="G7709" s="62">
        <v>2</v>
      </c>
      <c r="H7709" s="62">
        <v>6</v>
      </c>
      <c r="L7709" s="62"/>
    </row>
    <row r="7710" spans="1:12" x14ac:dyDescent="0.25">
      <c r="A7710" s="42" t="s">
        <v>30</v>
      </c>
      <c r="B7710" s="182">
        <v>44214</v>
      </c>
      <c r="C7710" s="4">
        <v>183</v>
      </c>
      <c r="D7710" s="183">
        <f t="shared" si="597"/>
        <v>38421</v>
      </c>
      <c r="E7710" s="4">
        <v>1</v>
      </c>
      <c r="F7710" s="57">
        <f t="shared" si="598"/>
        <v>563</v>
      </c>
      <c r="G7710">
        <v>1</v>
      </c>
      <c r="L7710" s="62"/>
    </row>
    <row r="7711" spans="1:12" x14ac:dyDescent="0.25">
      <c r="A7711" s="42" t="s">
        <v>31</v>
      </c>
      <c r="B7711" s="182">
        <v>44214</v>
      </c>
      <c r="C7711" s="4">
        <v>94</v>
      </c>
      <c r="D7711" s="183">
        <f>C7711+D7688</f>
        <v>15561</v>
      </c>
      <c r="E7711" s="4">
        <v>0</v>
      </c>
      <c r="F7711" s="57">
        <f t="shared" si="598"/>
        <v>2551</v>
      </c>
      <c r="L7711" s="62"/>
    </row>
    <row r="7712" spans="1:12" x14ac:dyDescent="0.25">
      <c r="A7712" s="42" t="s">
        <v>21</v>
      </c>
      <c r="B7712" s="182">
        <v>44214</v>
      </c>
      <c r="C7712" s="4">
        <v>343</v>
      </c>
      <c r="D7712" s="183">
        <f>C7712+D7687</f>
        <v>138083</v>
      </c>
      <c r="E7712" s="4">
        <v>11</v>
      </c>
      <c r="F7712" s="57">
        <f t="shared" si="598"/>
        <v>193</v>
      </c>
      <c r="G7712" s="62">
        <v>3</v>
      </c>
      <c r="H7712" s="62">
        <v>8</v>
      </c>
      <c r="L7712" s="62"/>
    </row>
    <row r="7713" spans="1:12" x14ac:dyDescent="0.25">
      <c r="A7713" s="42" t="s">
        <v>32</v>
      </c>
      <c r="B7713" s="182">
        <v>44214</v>
      </c>
      <c r="C7713" s="4">
        <v>241</v>
      </c>
      <c r="D7713" s="183">
        <f t="shared" si="597"/>
        <v>36732</v>
      </c>
      <c r="E7713" s="4">
        <v>5</v>
      </c>
      <c r="F7713" s="57">
        <f t="shared" si="598"/>
        <v>640</v>
      </c>
      <c r="G7713" s="62">
        <v>2</v>
      </c>
      <c r="H7713" s="62">
        <v>3</v>
      </c>
      <c r="L7713" s="62"/>
    </row>
    <row r="7714" spans="1:12" x14ac:dyDescent="0.25">
      <c r="A7714" s="42" t="s">
        <v>42</v>
      </c>
      <c r="B7714" s="182">
        <v>44214</v>
      </c>
      <c r="C7714" s="4">
        <v>13</v>
      </c>
      <c r="D7714" s="183">
        <f t="shared" si="597"/>
        <v>676</v>
      </c>
      <c r="E7714" s="4">
        <v>0</v>
      </c>
      <c r="F7714" s="57">
        <f t="shared" si="598"/>
        <v>6</v>
      </c>
      <c r="L7714" s="62"/>
    </row>
    <row r="7715" spans="1:12" x14ac:dyDescent="0.25">
      <c r="A7715" s="42" t="s">
        <v>33</v>
      </c>
      <c r="B7715" s="182">
        <v>44214</v>
      </c>
      <c r="C7715" s="4">
        <v>56</v>
      </c>
      <c r="D7715" s="183">
        <f t="shared" si="597"/>
        <v>18917</v>
      </c>
      <c r="E7715" s="4">
        <v>0</v>
      </c>
      <c r="F7715" s="57">
        <f t="shared" si="598"/>
        <v>863</v>
      </c>
      <c r="L7715" s="62"/>
    </row>
    <row r="7716" spans="1:12" x14ac:dyDescent="0.25">
      <c r="A7716" s="42" t="s">
        <v>34</v>
      </c>
      <c r="B7716" s="182">
        <v>44214</v>
      </c>
      <c r="C7716" s="4">
        <v>133</v>
      </c>
      <c r="D7716" s="183">
        <f t="shared" si="597"/>
        <v>15128</v>
      </c>
      <c r="E7716" s="4">
        <v>17</v>
      </c>
      <c r="F7716" s="57">
        <f t="shared" si="598"/>
        <v>205</v>
      </c>
      <c r="G7716" s="62">
        <v>2</v>
      </c>
      <c r="H7716" s="62">
        <v>8</v>
      </c>
      <c r="L7716" s="62"/>
    </row>
    <row r="7717" spans="1:12" x14ac:dyDescent="0.25">
      <c r="A7717" s="42" t="s">
        <v>22</v>
      </c>
      <c r="B7717" s="182">
        <v>44214</v>
      </c>
      <c r="C7717" s="4">
        <v>12</v>
      </c>
      <c r="D7717" s="183">
        <f t="shared" si="597"/>
        <v>9320</v>
      </c>
      <c r="E7717" s="4">
        <v>1</v>
      </c>
      <c r="F7717" s="57">
        <f t="shared" si="598"/>
        <v>402</v>
      </c>
      <c r="G7717" s="62">
        <v>1</v>
      </c>
      <c r="L7717" s="62"/>
    </row>
    <row r="7718" spans="1:12" x14ac:dyDescent="0.25">
      <c r="A7718" s="42" t="s">
        <v>18</v>
      </c>
      <c r="B7718" s="182">
        <v>44214</v>
      </c>
      <c r="C7718" s="4">
        <v>71</v>
      </c>
      <c r="D7718" s="183">
        <f t="shared" si="597"/>
        <v>62291</v>
      </c>
      <c r="E7718" s="4">
        <v>9</v>
      </c>
      <c r="F7718" s="57">
        <f t="shared" si="598"/>
        <v>1295</v>
      </c>
      <c r="G7718" s="62">
        <v>1</v>
      </c>
      <c r="H7718" s="62">
        <v>6</v>
      </c>
      <c r="L7718" s="62"/>
    </row>
    <row r="7719" spans="1:12" x14ac:dyDescent="0.25">
      <c r="A7719" s="42" t="s">
        <v>24</v>
      </c>
      <c r="B7719" s="182">
        <v>44214</v>
      </c>
      <c r="C7719" s="4">
        <v>148</v>
      </c>
      <c r="D7719" s="183">
        <f t="shared" si="597"/>
        <v>2328</v>
      </c>
      <c r="E7719" s="4">
        <v>6</v>
      </c>
      <c r="F7719" s="57">
        <f t="shared" si="598"/>
        <v>45</v>
      </c>
      <c r="G7719" s="62">
        <v>2</v>
      </c>
      <c r="H7719" s="62">
        <v>4</v>
      </c>
      <c r="L7719" s="62"/>
    </row>
    <row r="7720" spans="1:12" x14ac:dyDescent="0.25">
      <c r="A7720" s="42" t="s">
        <v>20</v>
      </c>
      <c r="B7720" s="182">
        <v>44214</v>
      </c>
      <c r="C7720" s="4">
        <v>469</v>
      </c>
      <c r="D7720" s="183">
        <f t="shared" si="597"/>
        <v>48679</v>
      </c>
      <c r="E7720" s="4">
        <v>1</v>
      </c>
      <c r="F7720" s="57">
        <f t="shared" si="598"/>
        <v>756</v>
      </c>
      <c r="G7720" s="62">
        <v>1</v>
      </c>
      <c r="L7720" s="62"/>
    </row>
    <row r="7721" spans="1:12" x14ac:dyDescent="0.25">
      <c r="A7721" s="42" t="s">
        <v>19</v>
      </c>
      <c r="B7721" s="182">
        <v>44214</v>
      </c>
      <c r="C7721" s="4">
        <v>276</v>
      </c>
      <c r="D7721" s="183">
        <f t="shared" si="597"/>
        <v>44160</v>
      </c>
      <c r="E7721" s="4">
        <v>2</v>
      </c>
      <c r="F7721" s="57">
        <f t="shared" si="598"/>
        <v>1004</v>
      </c>
      <c r="G7721" s="62">
        <v>1</v>
      </c>
      <c r="H7721" s="62">
        <v>1</v>
      </c>
      <c r="L7721" s="62"/>
    </row>
    <row r="7722" spans="1:12" x14ac:dyDescent="0.25">
      <c r="A7722" s="42" t="s">
        <v>35</v>
      </c>
      <c r="B7722" s="182">
        <v>44214</v>
      </c>
      <c r="C7722" s="4">
        <v>22</v>
      </c>
      <c r="D7722" s="183">
        <f t="shared" si="597"/>
        <v>23107</v>
      </c>
      <c r="E7722" s="4">
        <v>2</v>
      </c>
      <c r="F7722" s="57">
        <f t="shared" si="598"/>
        <v>1027</v>
      </c>
      <c r="G7722" s="62">
        <v>2</v>
      </c>
      <c r="L7722" s="62"/>
    </row>
    <row r="7723" spans="1:12" x14ac:dyDescent="0.25">
      <c r="A7723" s="42" t="s">
        <v>36</v>
      </c>
      <c r="B7723" s="182">
        <v>44214</v>
      </c>
      <c r="C7723" s="4">
        <v>78</v>
      </c>
      <c r="D7723" s="183">
        <f t="shared" si="597"/>
        <v>13169</v>
      </c>
      <c r="E7723" s="4">
        <v>2</v>
      </c>
      <c r="F7723" s="57">
        <f t="shared" si="598"/>
        <v>216</v>
      </c>
      <c r="G7723" s="62">
        <v>2</v>
      </c>
      <c r="L7723" s="62"/>
    </row>
    <row r="7724" spans="1:12" x14ac:dyDescent="0.25">
      <c r="A7724" s="42" t="s">
        <v>37</v>
      </c>
      <c r="B7724" s="182">
        <v>44214</v>
      </c>
      <c r="C7724" s="4">
        <v>89</v>
      </c>
      <c r="D7724" s="183">
        <f t="shared" si="597"/>
        <v>16964</v>
      </c>
      <c r="E7724" s="4">
        <v>0</v>
      </c>
      <c r="F7724" s="57">
        <f t="shared" si="598"/>
        <v>328</v>
      </c>
      <c r="L7724" s="62"/>
    </row>
    <row r="7725" spans="1:12" x14ac:dyDescent="0.25">
      <c r="A7725" s="42" t="s">
        <v>38</v>
      </c>
      <c r="B7725" s="182">
        <v>44214</v>
      </c>
      <c r="C7725" s="4">
        <v>299</v>
      </c>
      <c r="D7725" s="183">
        <f t="shared" si="597"/>
        <v>29678</v>
      </c>
      <c r="E7725" s="4">
        <v>13</v>
      </c>
      <c r="F7725" s="57">
        <f t="shared" si="598"/>
        <v>464</v>
      </c>
      <c r="G7725" s="62">
        <v>4</v>
      </c>
      <c r="H7725" s="62">
        <v>10</v>
      </c>
      <c r="L7725" s="62"/>
    </row>
    <row r="7726" spans="1:12" x14ac:dyDescent="0.25">
      <c r="A7726" s="42" t="s">
        <v>23</v>
      </c>
      <c r="B7726" s="182">
        <v>44214</v>
      </c>
      <c r="C7726" s="4">
        <v>855</v>
      </c>
      <c r="D7726" s="183">
        <f t="shared" si="597"/>
        <v>195917</v>
      </c>
      <c r="E7726" s="4">
        <v>37</v>
      </c>
      <c r="F7726" s="57">
        <f t="shared" si="598"/>
        <v>3210</v>
      </c>
      <c r="G7726" s="62">
        <v>19</v>
      </c>
      <c r="H7726" s="62">
        <v>18</v>
      </c>
      <c r="L7726" s="62"/>
    </row>
    <row r="7727" spans="1:12" x14ac:dyDescent="0.25">
      <c r="A7727" s="42" t="s">
        <v>39</v>
      </c>
      <c r="B7727" s="182">
        <v>44214</v>
      </c>
      <c r="C7727" s="4">
        <v>102</v>
      </c>
      <c r="D7727" s="183">
        <f t="shared" si="597"/>
        <v>19701</v>
      </c>
      <c r="E7727" s="4">
        <v>9</v>
      </c>
      <c r="F7727" s="57">
        <f t="shared" si="598"/>
        <v>238</v>
      </c>
      <c r="G7727" s="62">
        <v>4</v>
      </c>
      <c r="H7727" s="62">
        <v>5</v>
      </c>
      <c r="L7727" s="62"/>
    </row>
    <row r="7728" spans="1:12" x14ac:dyDescent="0.25">
      <c r="A7728" s="42" t="s">
        <v>40</v>
      </c>
      <c r="B7728" s="182">
        <v>44214</v>
      </c>
      <c r="C7728" s="4">
        <v>125</v>
      </c>
      <c r="D7728" s="183">
        <f t="shared" si="597"/>
        <v>20885</v>
      </c>
      <c r="E7728" s="4">
        <v>5</v>
      </c>
      <c r="F7728" s="57">
        <f t="shared" si="598"/>
        <v>304</v>
      </c>
      <c r="G7728" s="62">
        <v>1</v>
      </c>
      <c r="H7728" s="62">
        <v>4</v>
      </c>
      <c r="L7728" s="62"/>
    </row>
    <row r="7729" spans="1:12" x14ac:dyDescent="0.25">
      <c r="A7729" s="42" t="s">
        <v>41</v>
      </c>
      <c r="B7729" s="182">
        <v>44214</v>
      </c>
      <c r="C7729" s="4">
        <v>179</v>
      </c>
      <c r="D7729" s="183">
        <f t="shared" si="597"/>
        <v>74476</v>
      </c>
      <c r="E7729" s="4">
        <v>5</v>
      </c>
      <c r="F7729" s="57">
        <f t="shared" si="598"/>
        <v>1406</v>
      </c>
      <c r="G7729" s="62">
        <v>1</v>
      </c>
      <c r="H7729" s="62">
        <v>4</v>
      </c>
      <c r="L7729" s="62"/>
    </row>
    <row r="7730" spans="1:12" x14ac:dyDescent="0.25">
      <c r="A7730" s="42" t="s">
        <v>17</v>
      </c>
      <c r="B7730" s="182">
        <v>44215</v>
      </c>
      <c r="C7730" s="4">
        <v>5123</v>
      </c>
      <c r="D7730" s="183">
        <f>C7730+D7706</f>
        <v>759568</v>
      </c>
      <c r="E7730" s="4">
        <v>125</v>
      </c>
      <c r="F7730" s="57">
        <f>E7730+F7706</f>
        <v>23695</v>
      </c>
      <c r="G7730">
        <v>70</v>
      </c>
      <c r="H7730">
        <v>56</v>
      </c>
      <c r="L7730" s="62"/>
    </row>
    <row r="7731" spans="1:12" x14ac:dyDescent="0.25">
      <c r="A7731" s="42" t="s">
        <v>44</v>
      </c>
      <c r="B7731" s="182">
        <v>44215</v>
      </c>
      <c r="C7731" s="4">
        <v>1388</v>
      </c>
      <c r="D7731" s="183">
        <f t="shared" si="597"/>
        <v>197286</v>
      </c>
      <c r="E7731" s="4">
        <v>9</v>
      </c>
      <c r="F7731" s="57">
        <f t="shared" si="598"/>
        <v>5710</v>
      </c>
      <c r="G7731">
        <v>1</v>
      </c>
      <c r="H7731">
        <v>6</v>
      </c>
      <c r="I7731" s="62"/>
    </row>
    <row r="7732" spans="1:12" x14ac:dyDescent="0.25">
      <c r="A7732" s="42" t="s">
        <v>29</v>
      </c>
      <c r="B7732" s="182">
        <v>44215</v>
      </c>
      <c r="C7732" s="4">
        <v>154</v>
      </c>
      <c r="D7732" s="183">
        <f t="shared" si="597"/>
        <v>4394</v>
      </c>
      <c r="E7732" s="4">
        <v>0</v>
      </c>
      <c r="F7732" s="57">
        <f t="shared" si="598"/>
        <v>17</v>
      </c>
      <c r="I7732" s="62"/>
    </row>
    <row r="7733" spans="1:12" x14ac:dyDescent="0.25">
      <c r="A7733" s="42" t="s">
        <v>16</v>
      </c>
      <c r="B7733" s="182">
        <v>44215</v>
      </c>
      <c r="C7733" s="4">
        <v>212</v>
      </c>
      <c r="D7733" s="183">
        <f t="shared" si="597"/>
        <v>28864</v>
      </c>
      <c r="E7733" s="4">
        <v>2</v>
      </c>
      <c r="F7733" s="57">
        <f t="shared" si="598"/>
        <v>767</v>
      </c>
      <c r="G7733">
        <v>2</v>
      </c>
      <c r="I7733" s="62"/>
    </row>
    <row r="7734" spans="1:12" x14ac:dyDescent="0.25">
      <c r="A7734" s="42" t="s">
        <v>30</v>
      </c>
      <c r="B7734" s="182">
        <v>44215</v>
      </c>
      <c r="C7734" s="4">
        <v>349</v>
      </c>
      <c r="D7734" s="183">
        <f t="shared" si="597"/>
        <v>38770</v>
      </c>
      <c r="E7734" s="4">
        <v>5</v>
      </c>
      <c r="F7734" s="57">
        <f t="shared" si="598"/>
        <v>568</v>
      </c>
      <c r="G7734">
        <v>4</v>
      </c>
      <c r="H7734">
        <v>1</v>
      </c>
      <c r="I7734" s="62"/>
    </row>
    <row r="7735" spans="1:12" x14ac:dyDescent="0.25">
      <c r="A7735" s="42" t="s">
        <v>31</v>
      </c>
      <c r="B7735" s="182">
        <v>44215</v>
      </c>
      <c r="C7735" s="4">
        <v>90</v>
      </c>
      <c r="D7735" s="183">
        <f>C7735+D7711</f>
        <v>15651</v>
      </c>
      <c r="E7735" s="4">
        <v>2</v>
      </c>
      <c r="F7735" s="57">
        <f t="shared" si="598"/>
        <v>2553</v>
      </c>
      <c r="G7735">
        <v>2</v>
      </c>
      <c r="I7735" s="62"/>
    </row>
    <row r="7736" spans="1:12" x14ac:dyDescent="0.25">
      <c r="A7736" s="42" t="s">
        <v>21</v>
      </c>
      <c r="B7736" s="182">
        <v>44215</v>
      </c>
      <c r="C7736" s="4">
        <v>668</v>
      </c>
      <c r="D7736" s="183">
        <f>C7736+D7712</f>
        <v>138751</v>
      </c>
      <c r="E7736" s="4">
        <v>8</v>
      </c>
      <c r="F7736" s="57">
        <f t="shared" si="598"/>
        <v>201</v>
      </c>
      <c r="G7736">
        <v>7</v>
      </c>
      <c r="H7736">
        <v>1</v>
      </c>
      <c r="I7736" s="62"/>
    </row>
    <row r="7737" spans="1:12" x14ac:dyDescent="0.25">
      <c r="A7737" s="42" t="s">
        <v>32</v>
      </c>
      <c r="B7737" s="182">
        <v>44215</v>
      </c>
      <c r="C7737" s="4">
        <v>445</v>
      </c>
      <c r="D7737" s="183">
        <f t="shared" si="597"/>
        <v>37177</v>
      </c>
      <c r="E7737" s="4">
        <v>7</v>
      </c>
      <c r="F7737" s="57">
        <f t="shared" si="598"/>
        <v>647</v>
      </c>
      <c r="G7737">
        <v>6</v>
      </c>
      <c r="H7737">
        <v>1</v>
      </c>
      <c r="I7737" s="62"/>
    </row>
    <row r="7738" spans="1:12" x14ac:dyDescent="0.25">
      <c r="A7738" s="42" t="s">
        <v>42</v>
      </c>
      <c r="B7738" s="182">
        <v>44215</v>
      </c>
      <c r="C7738" s="4">
        <v>8</v>
      </c>
      <c r="D7738" s="183">
        <f t="shared" si="597"/>
        <v>684</v>
      </c>
      <c r="E7738" s="4">
        <v>0</v>
      </c>
      <c r="F7738" s="57">
        <f t="shared" si="598"/>
        <v>6</v>
      </c>
      <c r="I7738" s="62"/>
    </row>
    <row r="7739" spans="1:12" x14ac:dyDescent="0.25">
      <c r="A7739" s="42" t="s">
        <v>33</v>
      </c>
      <c r="B7739" s="182">
        <v>44215</v>
      </c>
      <c r="C7739" s="4">
        <v>25</v>
      </c>
      <c r="D7739" s="183">
        <f t="shared" si="597"/>
        <v>18942</v>
      </c>
      <c r="E7739" s="4">
        <v>1</v>
      </c>
      <c r="F7739" s="57">
        <f t="shared" si="598"/>
        <v>864</v>
      </c>
      <c r="H7739">
        <v>1</v>
      </c>
      <c r="I7739" s="62"/>
    </row>
    <row r="7740" spans="1:12" x14ac:dyDescent="0.25">
      <c r="A7740" s="42" t="s">
        <v>34</v>
      </c>
      <c r="B7740" s="182">
        <v>44215</v>
      </c>
      <c r="C7740" s="4">
        <v>157</v>
      </c>
      <c r="D7740" s="183">
        <f t="shared" si="597"/>
        <v>15285</v>
      </c>
      <c r="E7740" s="4">
        <v>1</v>
      </c>
      <c r="F7740" s="57">
        <f t="shared" si="598"/>
        <v>206</v>
      </c>
      <c r="G7740">
        <v>1</v>
      </c>
      <c r="I7740" s="62"/>
    </row>
    <row r="7741" spans="1:12" x14ac:dyDescent="0.25">
      <c r="A7741" s="42" t="s">
        <v>22</v>
      </c>
      <c r="B7741" s="182">
        <v>44215</v>
      </c>
      <c r="C7741" s="4">
        <v>9</v>
      </c>
      <c r="D7741" s="183">
        <f t="shared" si="597"/>
        <v>9329</v>
      </c>
      <c r="E7741" s="4">
        <v>0</v>
      </c>
      <c r="F7741" s="57">
        <f t="shared" si="598"/>
        <v>402</v>
      </c>
      <c r="I7741" s="62"/>
    </row>
    <row r="7742" spans="1:12" x14ac:dyDescent="0.25">
      <c r="A7742" s="42" t="s">
        <v>18</v>
      </c>
      <c r="B7742" s="182">
        <v>44215</v>
      </c>
      <c r="C7742" s="4">
        <v>148</v>
      </c>
      <c r="D7742" s="183">
        <f t="shared" si="597"/>
        <v>62439</v>
      </c>
      <c r="E7742" s="4">
        <v>3</v>
      </c>
      <c r="F7742" s="57">
        <f t="shared" si="598"/>
        <v>1298</v>
      </c>
      <c r="G7742">
        <v>1</v>
      </c>
      <c r="H7742">
        <v>2</v>
      </c>
      <c r="I7742" s="62"/>
    </row>
    <row r="7743" spans="1:12" x14ac:dyDescent="0.25">
      <c r="A7743" s="42" t="s">
        <v>24</v>
      </c>
      <c r="B7743" s="182">
        <v>44215</v>
      </c>
      <c r="C7743" s="4">
        <v>238</v>
      </c>
      <c r="D7743" s="183">
        <f t="shared" si="597"/>
        <v>2566</v>
      </c>
      <c r="E7743" s="4">
        <v>4</v>
      </c>
      <c r="F7743" s="57">
        <f t="shared" si="598"/>
        <v>49</v>
      </c>
      <c r="G7743">
        <v>4</v>
      </c>
      <c r="I7743" s="62"/>
    </row>
    <row r="7744" spans="1:12" x14ac:dyDescent="0.25">
      <c r="A7744" s="42" t="s">
        <v>20</v>
      </c>
      <c r="B7744" s="182">
        <v>44215</v>
      </c>
      <c r="C7744" s="4">
        <v>417</v>
      </c>
      <c r="D7744" s="183">
        <f t="shared" si="597"/>
        <v>49096</v>
      </c>
      <c r="E7744" s="4">
        <v>1</v>
      </c>
      <c r="F7744" s="57">
        <f t="shared" si="598"/>
        <v>757</v>
      </c>
      <c r="H7744">
        <v>1</v>
      </c>
      <c r="I7744" s="62"/>
    </row>
    <row r="7745" spans="1:9" x14ac:dyDescent="0.25">
      <c r="A7745" s="42" t="s">
        <v>19</v>
      </c>
      <c r="B7745" s="182">
        <v>44215</v>
      </c>
      <c r="C7745" s="4">
        <v>405</v>
      </c>
      <c r="D7745" s="183">
        <f t="shared" si="597"/>
        <v>44565</v>
      </c>
      <c r="E7745" s="4">
        <v>4</v>
      </c>
      <c r="F7745" s="57">
        <f t="shared" si="598"/>
        <v>1008</v>
      </c>
      <c r="G7745">
        <v>1</v>
      </c>
      <c r="H7745">
        <v>3</v>
      </c>
      <c r="I7745" s="62"/>
    </row>
    <row r="7746" spans="1:9" x14ac:dyDescent="0.25">
      <c r="A7746" s="42" t="s">
        <v>35</v>
      </c>
      <c r="B7746" s="182">
        <v>44215</v>
      </c>
      <c r="C7746" s="4">
        <v>45</v>
      </c>
      <c r="D7746" s="183">
        <f t="shared" si="597"/>
        <v>23152</v>
      </c>
      <c r="E7746" s="4">
        <v>3</v>
      </c>
      <c r="F7746" s="57">
        <f t="shared" si="598"/>
        <v>1030</v>
      </c>
      <c r="G7746">
        <v>1</v>
      </c>
      <c r="H7746">
        <v>2</v>
      </c>
      <c r="I7746" s="62"/>
    </row>
    <row r="7747" spans="1:9" x14ac:dyDescent="0.25">
      <c r="A7747" s="42" t="s">
        <v>36</v>
      </c>
      <c r="B7747" s="182">
        <v>44215</v>
      </c>
      <c r="C7747" s="4">
        <v>87</v>
      </c>
      <c r="D7747" s="183">
        <f t="shared" ref="D7747:D7753" si="599">C7747+D7723</f>
        <v>13256</v>
      </c>
      <c r="E7747" s="4">
        <v>0</v>
      </c>
      <c r="F7747" s="57">
        <f t="shared" ref="F7747:F7753" si="600">E7747+F7723</f>
        <v>216</v>
      </c>
      <c r="I7747" s="62"/>
    </row>
    <row r="7748" spans="1:9" x14ac:dyDescent="0.25">
      <c r="A7748" s="42" t="s">
        <v>37</v>
      </c>
      <c r="B7748" s="182">
        <v>44215</v>
      </c>
      <c r="C7748" s="4">
        <v>94</v>
      </c>
      <c r="D7748" s="183">
        <f t="shared" si="599"/>
        <v>17058</v>
      </c>
      <c r="E7748" s="4">
        <v>2</v>
      </c>
      <c r="F7748" s="57">
        <f t="shared" si="600"/>
        <v>330</v>
      </c>
      <c r="G7748">
        <v>2</v>
      </c>
      <c r="I7748" s="62"/>
    </row>
    <row r="7749" spans="1:9" x14ac:dyDescent="0.25">
      <c r="A7749" s="42" t="s">
        <v>38</v>
      </c>
      <c r="B7749" s="182">
        <v>44215</v>
      </c>
      <c r="C7749" s="4">
        <v>437</v>
      </c>
      <c r="D7749" s="183">
        <f t="shared" si="599"/>
        <v>30115</v>
      </c>
      <c r="E7749" s="4">
        <v>5</v>
      </c>
      <c r="F7749" s="57">
        <f t="shared" si="600"/>
        <v>469</v>
      </c>
      <c r="G7749">
        <v>4</v>
      </c>
      <c r="H7749">
        <v>1</v>
      </c>
      <c r="I7749" s="62"/>
    </row>
    <row r="7750" spans="1:9" x14ac:dyDescent="0.25">
      <c r="A7750" s="42" t="s">
        <v>23</v>
      </c>
      <c r="B7750" s="182">
        <v>44215</v>
      </c>
      <c r="C7750" s="4">
        <v>1206</v>
      </c>
      <c r="D7750" s="183">
        <f t="shared" si="599"/>
        <v>197123</v>
      </c>
      <c r="E7750" s="4">
        <v>46</v>
      </c>
      <c r="F7750" s="57">
        <f t="shared" si="600"/>
        <v>3256</v>
      </c>
      <c r="G7750">
        <v>25</v>
      </c>
      <c r="H7750">
        <v>21</v>
      </c>
      <c r="I7750" s="62"/>
    </row>
    <row r="7751" spans="1:9" x14ac:dyDescent="0.25">
      <c r="A7751" s="42" t="s">
        <v>39</v>
      </c>
      <c r="B7751" s="182">
        <v>44215</v>
      </c>
      <c r="C7751" s="4">
        <v>92</v>
      </c>
      <c r="D7751" s="183">
        <f t="shared" si="599"/>
        <v>19793</v>
      </c>
      <c r="E7751" s="4">
        <v>1</v>
      </c>
      <c r="F7751" s="57">
        <f t="shared" si="600"/>
        <v>239</v>
      </c>
      <c r="H7751">
        <v>1</v>
      </c>
      <c r="I7751" s="62"/>
    </row>
    <row r="7752" spans="1:9" x14ac:dyDescent="0.25">
      <c r="A7752" s="42" t="s">
        <v>40</v>
      </c>
      <c r="B7752" s="182">
        <v>44215</v>
      </c>
      <c r="C7752" s="4">
        <v>140</v>
      </c>
      <c r="D7752" s="183">
        <f t="shared" si="599"/>
        <v>21025</v>
      </c>
      <c r="E7752" s="4">
        <v>2</v>
      </c>
      <c r="F7752" s="57">
        <f t="shared" si="600"/>
        <v>306</v>
      </c>
      <c r="G7752">
        <v>2</v>
      </c>
      <c r="I7752" s="62"/>
    </row>
    <row r="7753" spans="1:9" x14ac:dyDescent="0.25">
      <c r="A7753" s="42" t="s">
        <v>41</v>
      </c>
      <c r="B7753" s="182">
        <v>44215</v>
      </c>
      <c r="C7753" s="4">
        <v>204</v>
      </c>
      <c r="D7753" s="183">
        <f t="shared" si="599"/>
        <v>74680</v>
      </c>
      <c r="E7753" s="4">
        <v>5</v>
      </c>
      <c r="F7753" s="57">
        <f t="shared" si="600"/>
        <v>1411</v>
      </c>
      <c r="G7753">
        <v>4</v>
      </c>
      <c r="H7753">
        <v>1</v>
      </c>
      <c r="I7753" s="62"/>
    </row>
    <row r="7754" spans="1:9" x14ac:dyDescent="0.25">
      <c r="A7754" s="42" t="s">
        <v>17</v>
      </c>
      <c r="B7754" s="182">
        <v>44216</v>
      </c>
      <c r="C7754" s="4">
        <v>4898</v>
      </c>
      <c r="D7754" s="183">
        <f>C7754+D7730</f>
        <v>764466</v>
      </c>
      <c r="E7754" s="4">
        <v>69</v>
      </c>
      <c r="F7754" s="57">
        <f>E7754+F7730</f>
        <v>23764</v>
      </c>
    </row>
    <row r="7755" spans="1:9" x14ac:dyDescent="0.25">
      <c r="A7755" s="42" t="s">
        <v>44</v>
      </c>
      <c r="B7755" s="182">
        <v>44216</v>
      </c>
      <c r="C7755" s="4">
        <v>1272</v>
      </c>
      <c r="D7755" s="183">
        <f t="shared" ref="D7755:D7818" si="601">C7755+D7731</f>
        <v>198558</v>
      </c>
      <c r="E7755" s="4">
        <v>22</v>
      </c>
      <c r="F7755" s="57">
        <f t="shared" ref="F7755:F7818" si="602">E7755+F7731</f>
        <v>5732</v>
      </c>
      <c r="G7755" s="62"/>
      <c r="H7755" s="62"/>
    </row>
    <row r="7756" spans="1:9" x14ac:dyDescent="0.25">
      <c r="A7756" s="42" t="s">
        <v>29</v>
      </c>
      <c r="B7756" s="182">
        <v>44216</v>
      </c>
      <c r="C7756" s="4">
        <v>88</v>
      </c>
      <c r="D7756" s="183">
        <f t="shared" si="601"/>
        <v>4482</v>
      </c>
      <c r="F7756" s="57">
        <f t="shared" si="602"/>
        <v>17</v>
      </c>
      <c r="G7756" s="62"/>
      <c r="H7756" s="62"/>
    </row>
    <row r="7757" spans="1:9" x14ac:dyDescent="0.25">
      <c r="A7757" s="42" t="s">
        <v>16</v>
      </c>
      <c r="B7757" s="182">
        <v>44216</v>
      </c>
      <c r="C7757" s="4">
        <v>178</v>
      </c>
      <c r="D7757" s="183">
        <f t="shared" si="601"/>
        <v>29042</v>
      </c>
      <c r="E7757" s="4">
        <v>4</v>
      </c>
      <c r="F7757" s="57">
        <f t="shared" si="602"/>
        <v>771</v>
      </c>
      <c r="G7757" s="62"/>
      <c r="H7757" s="62"/>
    </row>
    <row r="7758" spans="1:9" x14ac:dyDescent="0.25">
      <c r="A7758" s="42" t="s">
        <v>30</v>
      </c>
      <c r="B7758" s="182">
        <v>44216</v>
      </c>
      <c r="C7758" s="4">
        <v>341</v>
      </c>
      <c r="D7758" s="183">
        <f t="shared" si="601"/>
        <v>39111</v>
      </c>
      <c r="E7758" s="4">
        <v>2</v>
      </c>
      <c r="F7758" s="57">
        <f t="shared" si="602"/>
        <v>570</v>
      </c>
      <c r="G7758" s="62"/>
      <c r="H7758" s="62"/>
    </row>
    <row r="7759" spans="1:9" x14ac:dyDescent="0.25">
      <c r="A7759" s="42" t="s">
        <v>31</v>
      </c>
      <c r="B7759" s="182">
        <v>44216</v>
      </c>
      <c r="C7759" s="4">
        <v>123</v>
      </c>
      <c r="D7759" s="183">
        <f>C7759+D7735</f>
        <v>15774</v>
      </c>
      <c r="E7759" s="4">
        <v>1</v>
      </c>
      <c r="F7759" s="57">
        <f t="shared" si="602"/>
        <v>2554</v>
      </c>
      <c r="G7759" s="62"/>
      <c r="H7759" s="62"/>
    </row>
    <row r="7760" spans="1:9" x14ac:dyDescent="0.25">
      <c r="A7760" s="42" t="s">
        <v>21</v>
      </c>
      <c r="B7760" s="182">
        <v>44216</v>
      </c>
      <c r="C7760" s="4">
        <v>694</v>
      </c>
      <c r="D7760" s="183">
        <f>C7760+D7736</f>
        <v>139445</v>
      </c>
      <c r="E7760" s="4">
        <v>6</v>
      </c>
      <c r="F7760" s="57">
        <f t="shared" si="602"/>
        <v>207</v>
      </c>
      <c r="G7760" s="62"/>
      <c r="H7760" s="62"/>
    </row>
    <row r="7761" spans="1:8" x14ac:dyDescent="0.25">
      <c r="A7761" s="42" t="s">
        <v>32</v>
      </c>
      <c r="B7761" s="182">
        <v>44216</v>
      </c>
      <c r="C7761" s="4">
        <v>548</v>
      </c>
      <c r="D7761" s="183">
        <f t="shared" si="601"/>
        <v>37725</v>
      </c>
      <c r="E7761" s="4">
        <v>6</v>
      </c>
      <c r="F7761" s="57">
        <f t="shared" si="602"/>
        <v>653</v>
      </c>
      <c r="G7761" s="62"/>
      <c r="H7761" s="62"/>
    </row>
    <row r="7762" spans="1:8" x14ac:dyDescent="0.25">
      <c r="A7762" s="42" t="s">
        <v>42</v>
      </c>
      <c r="B7762" s="182">
        <v>44216</v>
      </c>
      <c r="C7762" s="4">
        <v>16</v>
      </c>
      <c r="D7762" s="183">
        <f t="shared" si="601"/>
        <v>700</v>
      </c>
      <c r="F7762" s="57">
        <f t="shared" si="602"/>
        <v>6</v>
      </c>
      <c r="G7762" s="62"/>
      <c r="H7762" s="62"/>
    </row>
    <row r="7763" spans="1:8" x14ac:dyDescent="0.25">
      <c r="A7763" s="42" t="s">
        <v>33</v>
      </c>
      <c r="B7763" s="182">
        <v>44216</v>
      </c>
      <c r="C7763" s="4">
        <v>39</v>
      </c>
      <c r="D7763" s="183">
        <f t="shared" si="601"/>
        <v>18981</v>
      </c>
      <c r="F7763" s="57">
        <f t="shared" si="602"/>
        <v>864</v>
      </c>
      <c r="G7763" s="62"/>
      <c r="H7763" s="62"/>
    </row>
    <row r="7764" spans="1:8" x14ac:dyDescent="0.25">
      <c r="A7764" s="42" t="s">
        <v>34</v>
      </c>
      <c r="B7764" s="182">
        <v>44216</v>
      </c>
      <c r="C7764" s="4">
        <v>121</v>
      </c>
      <c r="D7764" s="183">
        <f t="shared" si="601"/>
        <v>15406</v>
      </c>
      <c r="E7764" s="4">
        <v>4</v>
      </c>
      <c r="F7764" s="57">
        <f t="shared" si="602"/>
        <v>210</v>
      </c>
      <c r="G7764" s="62"/>
      <c r="H7764" s="62"/>
    </row>
    <row r="7765" spans="1:8" x14ac:dyDescent="0.25">
      <c r="A7765" s="42" t="s">
        <v>22</v>
      </c>
      <c r="B7765" s="182">
        <v>44216</v>
      </c>
      <c r="C7765" s="4">
        <v>30</v>
      </c>
      <c r="D7765" s="183">
        <f t="shared" si="601"/>
        <v>9359</v>
      </c>
      <c r="F7765" s="57">
        <f t="shared" si="602"/>
        <v>402</v>
      </c>
      <c r="G7765" s="62"/>
      <c r="H7765" s="62"/>
    </row>
    <row r="7766" spans="1:8" x14ac:dyDescent="0.25">
      <c r="A7766" s="42" t="s">
        <v>18</v>
      </c>
      <c r="B7766" s="182">
        <v>44216</v>
      </c>
      <c r="C7766" s="4">
        <v>198</v>
      </c>
      <c r="D7766" s="183">
        <f t="shared" si="601"/>
        <v>62637</v>
      </c>
      <c r="E7766" s="4">
        <v>4</v>
      </c>
      <c r="F7766" s="57">
        <f t="shared" si="602"/>
        <v>1302</v>
      </c>
      <c r="G7766" s="62"/>
      <c r="H7766" s="62"/>
    </row>
    <row r="7767" spans="1:8" x14ac:dyDescent="0.25">
      <c r="A7767" s="42" t="s">
        <v>24</v>
      </c>
      <c r="B7767" s="182">
        <v>44216</v>
      </c>
      <c r="C7767" s="4">
        <v>193</v>
      </c>
      <c r="D7767" s="183">
        <f t="shared" si="601"/>
        <v>2759</v>
      </c>
      <c r="E7767" s="4">
        <v>4</v>
      </c>
      <c r="F7767" s="57">
        <f t="shared" si="602"/>
        <v>53</v>
      </c>
      <c r="G7767" s="62"/>
      <c r="H7767" s="62"/>
    </row>
    <row r="7768" spans="1:8" x14ac:dyDescent="0.25">
      <c r="A7768" s="42" t="s">
        <v>20</v>
      </c>
      <c r="B7768" s="182">
        <v>44216</v>
      </c>
      <c r="C7768" s="4">
        <v>533</v>
      </c>
      <c r="D7768" s="183">
        <f t="shared" si="601"/>
        <v>49629</v>
      </c>
      <c r="F7768" s="57">
        <f t="shared" si="602"/>
        <v>757</v>
      </c>
      <c r="G7768" s="62"/>
      <c r="H7768" s="62"/>
    </row>
    <row r="7769" spans="1:8" x14ac:dyDescent="0.25">
      <c r="A7769" s="42" t="s">
        <v>19</v>
      </c>
      <c r="B7769" s="182">
        <v>44216</v>
      </c>
      <c r="C7769" s="4">
        <v>442</v>
      </c>
      <c r="D7769" s="183">
        <f t="shared" si="601"/>
        <v>45007</v>
      </c>
      <c r="E7769" s="4">
        <v>2</v>
      </c>
      <c r="F7769" s="57">
        <f t="shared" si="602"/>
        <v>1010</v>
      </c>
      <c r="G7769" s="62"/>
      <c r="H7769" s="62"/>
    </row>
    <row r="7770" spans="1:8" x14ac:dyDescent="0.25">
      <c r="A7770" s="42" t="s">
        <v>35</v>
      </c>
      <c r="B7770" s="182">
        <v>44216</v>
      </c>
      <c r="C7770" s="4">
        <v>77</v>
      </c>
      <c r="D7770" s="183">
        <f t="shared" si="601"/>
        <v>23229</v>
      </c>
      <c r="F7770" s="57">
        <f t="shared" si="602"/>
        <v>1030</v>
      </c>
      <c r="G7770" s="62"/>
      <c r="H7770" s="62"/>
    </row>
    <row r="7771" spans="1:8" x14ac:dyDescent="0.25">
      <c r="A7771" s="42" t="s">
        <v>36</v>
      </c>
      <c r="B7771" s="182">
        <v>44216</v>
      </c>
      <c r="C7771" s="4">
        <v>96</v>
      </c>
      <c r="D7771" s="183">
        <f t="shared" si="601"/>
        <v>13352</v>
      </c>
      <c r="F7771" s="57">
        <f t="shared" si="602"/>
        <v>216</v>
      </c>
      <c r="G7771" s="62"/>
      <c r="H7771" s="62"/>
    </row>
    <row r="7772" spans="1:8" x14ac:dyDescent="0.25">
      <c r="A7772" s="42" t="s">
        <v>37</v>
      </c>
      <c r="B7772" s="182">
        <v>44216</v>
      </c>
      <c r="C7772" s="4">
        <v>104</v>
      </c>
      <c r="D7772" s="183">
        <f t="shared" si="601"/>
        <v>17162</v>
      </c>
      <c r="E7772" s="4">
        <v>3</v>
      </c>
      <c r="F7772" s="57">
        <f t="shared" si="602"/>
        <v>333</v>
      </c>
      <c r="G7772" s="62"/>
      <c r="H7772" s="62"/>
    </row>
    <row r="7773" spans="1:8" x14ac:dyDescent="0.25">
      <c r="A7773" s="42" t="s">
        <v>38</v>
      </c>
      <c r="B7773" s="182">
        <v>44216</v>
      </c>
      <c r="C7773" s="4">
        <v>494</v>
      </c>
      <c r="D7773" s="183">
        <f t="shared" si="601"/>
        <v>30609</v>
      </c>
      <c r="E7773" s="4">
        <v>4</v>
      </c>
      <c r="F7773" s="57">
        <f t="shared" si="602"/>
        <v>473</v>
      </c>
      <c r="G7773" s="62"/>
      <c r="H7773" s="62"/>
    </row>
    <row r="7774" spans="1:8" x14ac:dyDescent="0.25">
      <c r="A7774" s="42" t="s">
        <v>23</v>
      </c>
      <c r="B7774" s="182">
        <v>44216</v>
      </c>
      <c r="C7774" s="4">
        <v>1222</v>
      </c>
      <c r="D7774" s="183">
        <f t="shared" si="601"/>
        <v>198345</v>
      </c>
      <c r="E7774" s="4">
        <v>13</v>
      </c>
      <c r="F7774" s="57">
        <f t="shared" si="602"/>
        <v>3269</v>
      </c>
      <c r="G7774" s="62"/>
      <c r="H7774" s="62"/>
    </row>
    <row r="7775" spans="1:8" x14ac:dyDescent="0.25">
      <c r="A7775" s="42" t="s">
        <v>39</v>
      </c>
      <c r="B7775" s="182">
        <v>44216</v>
      </c>
      <c r="C7775" s="4">
        <v>166</v>
      </c>
      <c r="D7775" s="183">
        <f t="shared" si="601"/>
        <v>19959</v>
      </c>
      <c r="F7775" s="57">
        <f t="shared" si="602"/>
        <v>239</v>
      </c>
      <c r="G7775" s="62"/>
      <c r="H7775" s="62"/>
    </row>
    <row r="7776" spans="1:8" x14ac:dyDescent="0.25">
      <c r="A7776" s="42" t="s">
        <v>40</v>
      </c>
      <c r="B7776" s="182">
        <v>44216</v>
      </c>
      <c r="C7776" s="4">
        <v>91</v>
      </c>
      <c r="D7776" s="183">
        <f t="shared" si="601"/>
        <v>21116</v>
      </c>
      <c r="E7776" s="4">
        <v>1</v>
      </c>
      <c r="F7776" s="57">
        <f t="shared" si="602"/>
        <v>307</v>
      </c>
      <c r="G7776" s="62"/>
      <c r="H7776" s="62"/>
    </row>
    <row r="7777" spans="1:8" x14ac:dyDescent="0.25">
      <c r="A7777" s="42" t="s">
        <v>41</v>
      </c>
      <c r="B7777" s="182">
        <v>44216</v>
      </c>
      <c r="C7777" s="4">
        <v>148</v>
      </c>
      <c r="D7777" s="183">
        <f t="shared" si="601"/>
        <v>74828</v>
      </c>
      <c r="E7777" s="4">
        <v>4</v>
      </c>
      <c r="F7777" s="57">
        <f t="shared" si="602"/>
        <v>1415</v>
      </c>
      <c r="G7777" s="62"/>
      <c r="H7777" s="62"/>
    </row>
    <row r="7778" spans="1:8" x14ac:dyDescent="0.25">
      <c r="A7778" s="42" t="s">
        <v>17</v>
      </c>
      <c r="B7778" s="182">
        <v>44217</v>
      </c>
      <c r="C7778" s="4">
        <v>4630</v>
      </c>
      <c r="D7778" s="183">
        <f>C7778+D7754</f>
        <v>769096</v>
      </c>
      <c r="E7778" s="4">
        <v>45</v>
      </c>
      <c r="F7778" s="57">
        <f>E7778+F7754</f>
        <v>23809</v>
      </c>
    </row>
    <row r="7779" spans="1:8" x14ac:dyDescent="0.25">
      <c r="A7779" s="42" t="s">
        <v>44</v>
      </c>
      <c r="B7779" s="182">
        <v>44217</v>
      </c>
      <c r="C7779" s="4">
        <v>1265</v>
      </c>
      <c r="D7779" s="183">
        <f t="shared" si="601"/>
        <v>199823</v>
      </c>
      <c r="E7779" s="4">
        <v>25</v>
      </c>
      <c r="F7779" s="57">
        <f t="shared" si="602"/>
        <v>5757</v>
      </c>
      <c r="H7779" s="62"/>
    </row>
    <row r="7780" spans="1:8" x14ac:dyDescent="0.25">
      <c r="A7780" s="42" t="s">
        <v>29</v>
      </c>
      <c r="B7780" s="182">
        <v>44217</v>
      </c>
      <c r="C7780" s="4">
        <v>95</v>
      </c>
      <c r="D7780" s="183">
        <f t="shared" si="601"/>
        <v>4577</v>
      </c>
      <c r="F7780" s="57">
        <f t="shared" si="602"/>
        <v>17</v>
      </c>
      <c r="H7780" s="62"/>
    </row>
    <row r="7781" spans="1:8" x14ac:dyDescent="0.25">
      <c r="A7781" s="42" t="s">
        <v>16</v>
      </c>
      <c r="B7781" s="182">
        <v>44217</v>
      </c>
      <c r="C7781" s="4">
        <v>281</v>
      </c>
      <c r="D7781" s="183">
        <f t="shared" si="601"/>
        <v>29323</v>
      </c>
      <c r="F7781" s="57">
        <f t="shared" si="602"/>
        <v>771</v>
      </c>
      <c r="H7781" s="62"/>
    </row>
    <row r="7782" spans="1:8" x14ac:dyDescent="0.25">
      <c r="A7782" s="42" t="s">
        <v>30</v>
      </c>
      <c r="B7782" s="182">
        <v>44217</v>
      </c>
      <c r="C7782" s="4">
        <v>381</v>
      </c>
      <c r="D7782" s="183">
        <f t="shared" si="601"/>
        <v>39492</v>
      </c>
      <c r="E7782" s="4">
        <v>8</v>
      </c>
      <c r="F7782" s="57">
        <f t="shared" si="602"/>
        <v>578</v>
      </c>
      <c r="H7782" s="62"/>
    </row>
    <row r="7783" spans="1:8" x14ac:dyDescent="0.25">
      <c r="A7783" s="42" t="s">
        <v>31</v>
      </c>
      <c r="B7783" s="182">
        <v>44217</v>
      </c>
      <c r="C7783" s="4">
        <v>135</v>
      </c>
      <c r="D7783" s="183">
        <f>C7783+D7759</f>
        <v>15909</v>
      </c>
      <c r="E7783" s="4">
        <v>4</v>
      </c>
      <c r="F7783" s="57">
        <f t="shared" si="602"/>
        <v>2558</v>
      </c>
      <c r="H7783" s="62"/>
    </row>
    <row r="7784" spans="1:8" x14ac:dyDescent="0.25">
      <c r="A7784" s="42" t="s">
        <v>21</v>
      </c>
      <c r="B7784" s="182">
        <v>44217</v>
      </c>
      <c r="C7784" s="4">
        <v>649</v>
      </c>
      <c r="D7784" s="183">
        <f>C7784+D7760</f>
        <v>140094</v>
      </c>
      <c r="E7784" s="4">
        <v>7</v>
      </c>
      <c r="F7784" s="57">
        <f t="shared" si="602"/>
        <v>214</v>
      </c>
      <c r="H7784" s="62"/>
    </row>
    <row r="7785" spans="1:8" x14ac:dyDescent="0.25">
      <c r="A7785" s="42" t="s">
        <v>32</v>
      </c>
      <c r="B7785" s="182">
        <v>44217</v>
      </c>
      <c r="C7785" s="4">
        <v>445</v>
      </c>
      <c r="D7785" s="183">
        <f t="shared" si="601"/>
        <v>38170</v>
      </c>
      <c r="E7785" s="4">
        <v>6</v>
      </c>
      <c r="F7785" s="57">
        <f t="shared" si="602"/>
        <v>659</v>
      </c>
      <c r="H7785" s="62"/>
    </row>
    <row r="7786" spans="1:8" x14ac:dyDescent="0.25">
      <c r="A7786" s="42" t="s">
        <v>42</v>
      </c>
      <c r="B7786" s="182">
        <v>44217</v>
      </c>
      <c r="C7786" s="4">
        <v>59</v>
      </c>
      <c r="D7786" s="183">
        <f t="shared" si="601"/>
        <v>759</v>
      </c>
      <c r="F7786" s="57">
        <f t="shared" si="602"/>
        <v>6</v>
      </c>
      <c r="H7786" s="62"/>
    </row>
    <row r="7787" spans="1:8" x14ac:dyDescent="0.25">
      <c r="A7787" s="42" t="s">
        <v>33</v>
      </c>
      <c r="B7787" s="182">
        <v>44217</v>
      </c>
      <c r="C7787" s="4">
        <v>45</v>
      </c>
      <c r="D7787" s="183">
        <f t="shared" si="601"/>
        <v>19026</v>
      </c>
      <c r="F7787" s="57">
        <f t="shared" si="602"/>
        <v>864</v>
      </c>
      <c r="H7787" s="62"/>
    </row>
    <row r="7788" spans="1:8" x14ac:dyDescent="0.25">
      <c r="A7788" s="42" t="s">
        <v>34</v>
      </c>
      <c r="B7788" s="182">
        <v>44217</v>
      </c>
      <c r="C7788" s="4">
        <v>139</v>
      </c>
      <c r="D7788" s="183">
        <f t="shared" si="601"/>
        <v>15545</v>
      </c>
      <c r="F7788" s="57">
        <f t="shared" si="602"/>
        <v>210</v>
      </c>
      <c r="H7788" s="62"/>
    </row>
    <row r="7789" spans="1:8" x14ac:dyDescent="0.25">
      <c r="A7789" s="42" t="s">
        <v>22</v>
      </c>
      <c r="B7789" s="182">
        <v>44217</v>
      </c>
      <c r="C7789" s="4">
        <v>19</v>
      </c>
      <c r="D7789" s="183">
        <f t="shared" si="601"/>
        <v>9378</v>
      </c>
      <c r="F7789" s="57">
        <f t="shared" si="602"/>
        <v>402</v>
      </c>
      <c r="H7789" s="62"/>
    </row>
    <row r="7790" spans="1:8" x14ac:dyDescent="0.25">
      <c r="A7790" s="42" t="s">
        <v>18</v>
      </c>
      <c r="B7790" s="182">
        <v>44217</v>
      </c>
      <c r="C7790" s="4">
        <v>172</v>
      </c>
      <c r="D7790" s="183">
        <f t="shared" si="601"/>
        <v>62809</v>
      </c>
      <c r="E7790" s="4">
        <v>9</v>
      </c>
      <c r="F7790" s="57">
        <f t="shared" si="602"/>
        <v>1311</v>
      </c>
      <c r="H7790" s="62"/>
    </row>
    <row r="7791" spans="1:8" x14ac:dyDescent="0.25">
      <c r="A7791" s="42" t="s">
        <v>24</v>
      </c>
      <c r="B7791" s="182">
        <v>44217</v>
      </c>
      <c r="C7791" s="4">
        <v>175</v>
      </c>
      <c r="D7791" s="183">
        <f t="shared" si="601"/>
        <v>2934</v>
      </c>
      <c r="E7791" s="4">
        <v>7</v>
      </c>
      <c r="F7791" s="57">
        <f t="shared" si="602"/>
        <v>60</v>
      </c>
      <c r="H7791" s="62"/>
    </row>
    <row r="7792" spans="1:8" x14ac:dyDescent="0.25">
      <c r="A7792" s="42" t="s">
        <v>20</v>
      </c>
      <c r="B7792" s="182">
        <v>44217</v>
      </c>
      <c r="C7792" s="4">
        <v>524</v>
      </c>
      <c r="D7792" s="183">
        <f t="shared" si="601"/>
        <v>50153</v>
      </c>
      <c r="E7792" s="4">
        <v>1</v>
      </c>
      <c r="F7792" s="57">
        <f t="shared" si="602"/>
        <v>758</v>
      </c>
      <c r="H7792" s="62"/>
    </row>
    <row r="7793" spans="1:8" x14ac:dyDescent="0.25">
      <c r="A7793" s="42" t="s">
        <v>19</v>
      </c>
      <c r="B7793" s="182">
        <v>44217</v>
      </c>
      <c r="C7793" s="4">
        <v>265</v>
      </c>
      <c r="D7793" s="183">
        <f t="shared" si="601"/>
        <v>45272</v>
      </c>
      <c r="E7793" s="4">
        <v>6</v>
      </c>
      <c r="F7793" s="57">
        <f t="shared" si="602"/>
        <v>1016</v>
      </c>
      <c r="H7793" s="62"/>
    </row>
    <row r="7794" spans="1:8" x14ac:dyDescent="0.25">
      <c r="A7794" s="42" t="s">
        <v>35</v>
      </c>
      <c r="B7794" s="182">
        <v>44217</v>
      </c>
      <c r="C7794" s="4">
        <v>75</v>
      </c>
      <c r="D7794" s="183">
        <f t="shared" si="601"/>
        <v>23304</v>
      </c>
      <c r="F7794" s="57">
        <f t="shared" si="602"/>
        <v>1030</v>
      </c>
      <c r="H7794" s="62"/>
    </row>
    <row r="7795" spans="1:8" x14ac:dyDescent="0.25">
      <c r="A7795" s="42" t="s">
        <v>36</v>
      </c>
      <c r="B7795" s="182">
        <v>44217</v>
      </c>
      <c r="C7795" s="4">
        <v>81</v>
      </c>
      <c r="D7795" s="183">
        <f t="shared" si="601"/>
        <v>13433</v>
      </c>
      <c r="F7795" s="57">
        <f t="shared" si="602"/>
        <v>216</v>
      </c>
      <c r="H7795" s="62"/>
    </row>
    <row r="7796" spans="1:8" x14ac:dyDescent="0.25">
      <c r="A7796" s="42" t="s">
        <v>37</v>
      </c>
      <c r="B7796" s="182">
        <v>44217</v>
      </c>
      <c r="C7796" s="4">
        <v>202</v>
      </c>
      <c r="D7796" s="183">
        <f t="shared" si="601"/>
        <v>17364</v>
      </c>
      <c r="E7796" s="4">
        <v>2</v>
      </c>
      <c r="F7796" s="57">
        <f t="shared" si="602"/>
        <v>335</v>
      </c>
      <c r="H7796" s="62"/>
    </row>
    <row r="7797" spans="1:8" x14ac:dyDescent="0.25">
      <c r="A7797" s="42" t="s">
        <v>38</v>
      </c>
      <c r="B7797" s="182">
        <v>44217</v>
      </c>
      <c r="C7797" s="4">
        <v>314</v>
      </c>
      <c r="D7797" s="183">
        <f t="shared" si="601"/>
        <v>30923</v>
      </c>
      <c r="E7797" s="4">
        <v>3</v>
      </c>
      <c r="F7797" s="57">
        <f t="shared" si="602"/>
        <v>476</v>
      </c>
      <c r="H7797" s="62"/>
    </row>
    <row r="7798" spans="1:8" x14ac:dyDescent="0.25">
      <c r="A7798" s="42" t="s">
        <v>23</v>
      </c>
      <c r="B7798" s="182">
        <v>44217</v>
      </c>
      <c r="C7798" s="4">
        <v>1101</v>
      </c>
      <c r="D7798" s="183">
        <f t="shared" si="601"/>
        <v>199446</v>
      </c>
      <c r="E7798" s="4">
        <v>13</v>
      </c>
      <c r="F7798" s="57">
        <f t="shared" si="602"/>
        <v>3282</v>
      </c>
      <c r="H7798" s="62"/>
    </row>
    <row r="7799" spans="1:8" x14ac:dyDescent="0.25">
      <c r="A7799" s="42" t="s">
        <v>39</v>
      </c>
      <c r="B7799" s="182">
        <v>44217</v>
      </c>
      <c r="C7799" s="4">
        <v>100</v>
      </c>
      <c r="D7799" s="183">
        <f t="shared" si="601"/>
        <v>20059</v>
      </c>
      <c r="E7799" s="4">
        <v>1</v>
      </c>
      <c r="F7799" s="57">
        <f t="shared" si="602"/>
        <v>240</v>
      </c>
      <c r="H7799" s="62"/>
    </row>
    <row r="7800" spans="1:8" x14ac:dyDescent="0.25">
      <c r="A7800" s="42" t="s">
        <v>40</v>
      </c>
      <c r="B7800" s="182">
        <v>44217</v>
      </c>
      <c r="C7800" s="4">
        <v>106</v>
      </c>
      <c r="D7800" s="183">
        <f t="shared" si="601"/>
        <v>21222</v>
      </c>
      <c r="E7800" s="4">
        <v>4</v>
      </c>
      <c r="F7800" s="57">
        <f t="shared" si="602"/>
        <v>311</v>
      </c>
      <c r="H7800" s="62"/>
    </row>
    <row r="7801" spans="1:8" ht="15.75" thickBot="1" x14ac:dyDescent="0.3">
      <c r="A7801" s="42" t="s">
        <v>41</v>
      </c>
      <c r="B7801" s="182">
        <v>44217</v>
      </c>
      <c r="C7801" s="4">
        <v>138</v>
      </c>
      <c r="D7801" s="183">
        <f t="shared" si="601"/>
        <v>74966</v>
      </c>
      <c r="E7801" s="4">
        <v>1</v>
      </c>
      <c r="F7801" s="57">
        <f t="shared" si="602"/>
        <v>1416</v>
      </c>
      <c r="H7801" s="62"/>
    </row>
    <row r="7802" spans="1:8" ht="15.75" thickBot="1" x14ac:dyDescent="0.3">
      <c r="A7802" s="42" t="s">
        <v>17</v>
      </c>
      <c r="B7802" s="182">
        <v>44218</v>
      </c>
      <c r="C7802" s="4">
        <v>4177</v>
      </c>
      <c r="D7802" s="183">
        <f>C7802+D7778</f>
        <v>773273</v>
      </c>
      <c r="E7802" s="4">
        <v>117</v>
      </c>
      <c r="F7802" s="57">
        <f>E7802+F7778</f>
        <v>23926</v>
      </c>
      <c r="G7802" s="251">
        <f>SUM(C7802,C7778,C7754,C7730,C7706,C7682,C7658,C7634,C7610,C7586,C7562,C7538,C7514,C7490)/POBLA!$B$1*100000</f>
        <v>336.36922478418023</v>
      </c>
      <c r="H7802" s="239">
        <f t="shared" ref="H7802:H7825" si="603">SUM(C7802,C7778,C7754,C7730,C7706,C7682,C7658,C7634,C7610,C7586,C7562,C7538,C7514,C7490)/SUM(C7466,C7442,C7418,C7394,C7370,C7346,C7322,C7298,C7274,C7250,C7226,C7202,C7178,C7154)</f>
        <v>1.1891211028033617</v>
      </c>
    </row>
    <row r="7803" spans="1:8" ht="15.75" thickBot="1" x14ac:dyDescent="0.3">
      <c r="A7803" s="42" t="s">
        <v>44</v>
      </c>
      <c r="B7803" s="182">
        <v>44218</v>
      </c>
      <c r="C7803" s="4">
        <v>1160</v>
      </c>
      <c r="D7803" s="183">
        <f t="shared" si="601"/>
        <v>200983</v>
      </c>
      <c r="E7803" s="4">
        <v>14</v>
      </c>
      <c r="F7803" s="57">
        <f t="shared" si="602"/>
        <v>5771</v>
      </c>
      <c r="G7803" s="251">
        <f>SUM(C7803,C7779,C7755,C7731,C7707,C7683,C7659,C7635,C7611,C7587,C7563,C7539,C7515,C7491)/POBLA!$B$2*100000</f>
        <v>570.3842379779727</v>
      </c>
      <c r="H7803" s="239">
        <f t="shared" si="603"/>
        <v>1.2340320765334833</v>
      </c>
    </row>
    <row r="7804" spans="1:8" ht="15.75" thickBot="1" x14ac:dyDescent="0.3">
      <c r="A7804" s="42" t="s">
        <v>29</v>
      </c>
      <c r="B7804" s="182">
        <v>44218</v>
      </c>
      <c r="C7804" s="4">
        <v>52</v>
      </c>
      <c r="D7804" s="183">
        <f t="shared" si="601"/>
        <v>4629</v>
      </c>
      <c r="F7804" s="57">
        <f t="shared" si="602"/>
        <v>17</v>
      </c>
      <c r="G7804" s="251">
        <f>SUM(C7804,C7780,C7756,C7732,C7708,C7684,C7660,C7636,C7612,C7588,C7564,C7540,C7516,C7492)/POBLA!$B$3*100000</f>
        <v>379.35865279536301</v>
      </c>
      <c r="H7804" s="239">
        <f t="shared" si="603"/>
        <v>2.8864468864468864</v>
      </c>
    </row>
    <row r="7805" spans="1:8" ht="15.75" thickBot="1" x14ac:dyDescent="0.3">
      <c r="A7805" s="42" t="s">
        <v>16</v>
      </c>
      <c r="B7805" s="182">
        <v>44218</v>
      </c>
      <c r="C7805" s="4">
        <v>182</v>
      </c>
      <c r="D7805" s="183">
        <f t="shared" si="601"/>
        <v>29505</v>
      </c>
      <c r="E7805" s="4">
        <v>5</v>
      </c>
      <c r="F7805" s="57">
        <f t="shared" si="602"/>
        <v>776</v>
      </c>
      <c r="G7805" s="251">
        <f>SUM(C7805,C7781,C7757,C7733,C7709,C7685,C7661,C7637,C7613,C7589,C7565,C7541,C7517,C7493)/POBLA!$B$4*100000</f>
        <v>248.39337141699616</v>
      </c>
      <c r="H7805" s="239">
        <f t="shared" si="603"/>
        <v>1.0689531975705608</v>
      </c>
    </row>
    <row r="7806" spans="1:8" ht="15.75" thickBot="1" x14ac:dyDescent="0.3">
      <c r="A7806" s="42" t="s">
        <v>30</v>
      </c>
      <c r="B7806" s="182">
        <v>44218</v>
      </c>
      <c r="C7806" s="4">
        <v>457</v>
      </c>
      <c r="D7806" s="183">
        <f t="shared" si="601"/>
        <v>39949</v>
      </c>
      <c r="E7806" s="4">
        <v>14</v>
      </c>
      <c r="F7806" s="57">
        <f t="shared" si="602"/>
        <v>592</v>
      </c>
      <c r="G7806" s="251">
        <f>SUM(C7806,C7782,C7758,C7734,C7710,C7686,C7662,C7638,C7614,C7590,C7566,C7542,C7518,C7494)/POBLA!$B$5*100000</f>
        <v>832.47979786556891</v>
      </c>
      <c r="H7806" s="239">
        <f t="shared" si="603"/>
        <v>0.97502365184484385</v>
      </c>
    </row>
    <row r="7807" spans="1:8" ht="15.75" thickBot="1" x14ac:dyDescent="0.3">
      <c r="A7807" s="42" t="s">
        <v>31</v>
      </c>
      <c r="B7807" s="182">
        <v>44218</v>
      </c>
      <c r="C7807" s="4">
        <v>168</v>
      </c>
      <c r="D7807" s="183">
        <f>C7807+D7783</f>
        <v>16077</v>
      </c>
      <c r="E7807" s="4">
        <v>6</v>
      </c>
      <c r="F7807" s="57">
        <f t="shared" si="602"/>
        <v>2564</v>
      </c>
      <c r="G7807" s="251">
        <f>SUM(C7807,C7783,C7759,C7735,C7711,C7687,C7663,C7639,C7615,C7591,C7567,C7543,C7519,C7495)/POBLA!$B$7*100000</f>
        <v>156.89611615631108</v>
      </c>
      <c r="H7807" s="239">
        <f t="shared" si="603"/>
        <v>0.76158512972763648</v>
      </c>
    </row>
    <row r="7808" spans="1:8" ht="15.75" thickBot="1" x14ac:dyDescent="0.3">
      <c r="A7808" s="42" t="s">
        <v>21</v>
      </c>
      <c r="B7808" s="182">
        <v>44218</v>
      </c>
      <c r="C7808" s="4">
        <v>582</v>
      </c>
      <c r="D7808" s="183">
        <f>C7808+D7784</f>
        <v>140676</v>
      </c>
      <c r="E7808" s="4">
        <v>8</v>
      </c>
      <c r="F7808" s="57">
        <f t="shared" si="602"/>
        <v>222</v>
      </c>
      <c r="G7808" s="251">
        <f>SUM(C7808,C7784,C7760,C7736,C7712,C7688,C7664,C7640,C7616,C7592,C7568,C7544,C7520,C7496)/POBLA!$B$6*100000</f>
        <v>451.01672821491059</v>
      </c>
      <c r="H7808" s="239">
        <f t="shared" si="603"/>
        <v>2.2729316546762588</v>
      </c>
    </row>
    <row r="7809" spans="1:8" ht="15.75" thickBot="1" x14ac:dyDescent="0.3">
      <c r="A7809" s="42" t="s">
        <v>32</v>
      </c>
      <c r="B7809" s="182">
        <v>44218</v>
      </c>
      <c r="C7809" s="4">
        <v>382</v>
      </c>
      <c r="D7809" s="183">
        <f t="shared" si="601"/>
        <v>38552</v>
      </c>
      <c r="E7809" s="4">
        <v>6</v>
      </c>
      <c r="F7809" s="57">
        <f t="shared" si="602"/>
        <v>665</v>
      </c>
      <c r="G7809" s="251">
        <f>SUM(C7809,C7785,C7761,C7737,C7713,C7689,C7665,C7641,C7617,C7593,C7569,C7545,C7521,C7497)/POBLA!$B$8*100000</f>
        <v>424.037905828519</v>
      </c>
      <c r="H7809" s="239">
        <f t="shared" si="603"/>
        <v>1.2150093032871614</v>
      </c>
    </row>
    <row r="7810" spans="1:8" ht="15.75" thickBot="1" x14ac:dyDescent="0.3">
      <c r="A7810" s="42" t="s">
        <v>42</v>
      </c>
      <c r="B7810" s="182">
        <v>44218</v>
      </c>
      <c r="C7810" s="4">
        <v>38</v>
      </c>
      <c r="D7810" s="183">
        <f t="shared" si="601"/>
        <v>797</v>
      </c>
      <c r="F7810" s="57">
        <f t="shared" si="602"/>
        <v>6</v>
      </c>
      <c r="G7810" s="251">
        <f>SUM(C7810,C7786,C7762,C7738,C7714,C7690,C7666,C7642,C7618,C7594,C7570,C7546,C7522,C7498)/POBLA!$B$9*100000</f>
        <v>91.871518672555695</v>
      </c>
      <c r="H7810" s="239">
        <f t="shared" si="603"/>
        <v>19.857142857142858</v>
      </c>
    </row>
    <row r="7811" spans="1:8" ht="15.75" thickBot="1" x14ac:dyDescent="0.3">
      <c r="A7811" s="42" t="s">
        <v>33</v>
      </c>
      <c r="B7811" s="182">
        <v>44218</v>
      </c>
      <c r="C7811" s="4">
        <v>30</v>
      </c>
      <c r="D7811" s="183">
        <f t="shared" si="601"/>
        <v>19056</v>
      </c>
      <c r="E7811" s="4">
        <v>1</v>
      </c>
      <c r="F7811" s="57">
        <f t="shared" si="602"/>
        <v>865</v>
      </c>
      <c r="G7811" s="251">
        <f>SUM(C7811,C7787,C7763,C7739,C7715,C7691,C7667,C7643,C7619,C7595,C7571,C7547,C7523,C7499)/POBLA!$B$10*100000</f>
        <v>51.629239791874497</v>
      </c>
      <c r="H7811" s="239">
        <f t="shared" si="603"/>
        <v>2.4874999999999998</v>
      </c>
    </row>
    <row r="7812" spans="1:8" ht="15.75" thickBot="1" x14ac:dyDescent="0.3">
      <c r="A7812" s="42" t="s">
        <v>34</v>
      </c>
      <c r="B7812" s="182">
        <v>44218</v>
      </c>
      <c r="C7812" s="4">
        <v>99</v>
      </c>
      <c r="D7812" s="183">
        <f t="shared" si="601"/>
        <v>15644</v>
      </c>
      <c r="F7812" s="57">
        <f t="shared" si="602"/>
        <v>210</v>
      </c>
      <c r="G7812" s="251">
        <f>SUM(C7812,C7788,C7764,C7740,C7716,C7692,C7668,C7644,C7620,C7596,C7572,C7548,C7524,C7500)/POBLA!$B$11*100000</f>
        <v>714.50891113417481</v>
      </c>
      <c r="H7812" s="239">
        <f t="shared" si="603"/>
        <v>0.68329775880469579</v>
      </c>
    </row>
    <row r="7813" spans="1:8" ht="15.75" thickBot="1" x14ac:dyDescent="0.3">
      <c r="A7813" s="42" t="s">
        <v>22</v>
      </c>
      <c r="B7813" s="182">
        <v>44218</v>
      </c>
      <c r="C7813" s="4">
        <v>11</v>
      </c>
      <c r="D7813" s="183">
        <f t="shared" si="601"/>
        <v>9389</v>
      </c>
      <c r="E7813" s="4">
        <v>2</v>
      </c>
      <c r="F7813" s="57">
        <f t="shared" si="602"/>
        <v>404</v>
      </c>
      <c r="G7813" s="251">
        <f>SUM(C7813,C7789,C7765,C7741,C7717,C7693,C7669,C7645,C7621,C7597,C7573,C7549,C7525,C7501)/POBLA!$B$12*100000</f>
        <v>52.092465396626949</v>
      </c>
      <c r="H7813" s="239">
        <f t="shared" si="603"/>
        <v>1.6141732283464567</v>
      </c>
    </row>
    <row r="7814" spans="1:8" ht="15.75" thickBot="1" x14ac:dyDescent="0.3">
      <c r="A7814" s="42" t="s">
        <v>18</v>
      </c>
      <c r="B7814" s="182">
        <v>44218</v>
      </c>
      <c r="C7814" s="4">
        <v>182</v>
      </c>
      <c r="D7814" s="183">
        <f t="shared" si="601"/>
        <v>62991</v>
      </c>
      <c r="E7814" s="4">
        <v>2</v>
      </c>
      <c r="F7814" s="57">
        <f t="shared" si="602"/>
        <v>1313</v>
      </c>
      <c r="G7814" s="251">
        <f>SUM(C7814,C7790,C7766,C7742,C7718,C7694,C7670,C7646,C7622,C7598,C7574,C7550,C7526,C7502)/POBLA!$B$13*100000</f>
        <v>96.566512823450097</v>
      </c>
      <c r="H7814" s="239">
        <f t="shared" si="603"/>
        <v>1.2289002557544757</v>
      </c>
    </row>
    <row r="7815" spans="1:8" ht="15.75" thickBot="1" x14ac:dyDescent="0.3">
      <c r="A7815" s="42" t="s">
        <v>24</v>
      </c>
      <c r="B7815" s="182">
        <v>44218</v>
      </c>
      <c r="C7815" s="4">
        <v>160</v>
      </c>
      <c r="D7815" s="183">
        <f t="shared" si="601"/>
        <v>3094</v>
      </c>
      <c r="E7815" s="4">
        <v>3</v>
      </c>
      <c r="F7815" s="57">
        <f t="shared" si="602"/>
        <v>63</v>
      </c>
      <c r="G7815" s="251">
        <f>SUM(C7815,C7791,C7767,C7743,C7719,C7695,C7671,C7647,C7623,C7599,C7575,C7551,C7527,C7503)/POBLA!$B$14*100000</f>
        <v>151.82820183081819</v>
      </c>
      <c r="H7815" s="239">
        <f t="shared" si="603"/>
        <v>8.1837606837606831</v>
      </c>
    </row>
    <row r="7816" spans="1:8" ht="15.75" thickBot="1" x14ac:dyDescent="0.3">
      <c r="A7816" s="42" t="s">
        <v>20</v>
      </c>
      <c r="B7816" s="182">
        <v>44218</v>
      </c>
      <c r="C7816" s="4">
        <v>442</v>
      </c>
      <c r="D7816" s="183">
        <f t="shared" si="601"/>
        <v>50595</v>
      </c>
      <c r="E7816" s="4">
        <v>2</v>
      </c>
      <c r="F7816" s="57">
        <f t="shared" si="602"/>
        <v>760</v>
      </c>
      <c r="G7816" s="251">
        <f>SUM(C7816,C7792,C7768,C7744,C7720,C7696,C7672,C7648,C7624,C7600,C7576,C7552,C7528,C7504)/POBLA!$B$15*100000</f>
        <v>907.3016322394011</v>
      </c>
      <c r="H7816" s="239">
        <f t="shared" si="603"/>
        <v>1.1180181851920579</v>
      </c>
    </row>
    <row r="7817" spans="1:8" ht="15.75" thickBot="1" x14ac:dyDescent="0.3">
      <c r="A7817" s="42" t="s">
        <v>19</v>
      </c>
      <c r="B7817" s="182">
        <v>44218</v>
      </c>
      <c r="C7817" s="4">
        <v>312</v>
      </c>
      <c r="D7817" s="183">
        <f t="shared" si="601"/>
        <v>45584</v>
      </c>
      <c r="E7817" s="4">
        <v>7</v>
      </c>
      <c r="F7817" s="57">
        <f t="shared" si="602"/>
        <v>1023</v>
      </c>
      <c r="G7817" s="251">
        <f>SUM(C7817,C7793,C7769,C7745,C7721,C7697,C7673,C7649,C7625,C7601,C7577,C7553,C7529,C7505)/POBLA!$B$16*100000</f>
        <v>607.00097644493781</v>
      </c>
      <c r="H7817" s="239">
        <f t="shared" si="603"/>
        <v>1.1081807081807082</v>
      </c>
    </row>
    <row r="7818" spans="1:8" ht="15.75" thickBot="1" x14ac:dyDescent="0.3">
      <c r="A7818" s="42" t="s">
        <v>35</v>
      </c>
      <c r="B7818" s="182">
        <v>44218</v>
      </c>
      <c r="C7818" s="4">
        <v>53</v>
      </c>
      <c r="D7818" s="183">
        <f t="shared" si="601"/>
        <v>23357</v>
      </c>
      <c r="E7818" s="4">
        <v>1</v>
      </c>
      <c r="F7818" s="57">
        <f t="shared" si="602"/>
        <v>1031</v>
      </c>
      <c r="G7818" s="251">
        <f>SUM(C7818,C7794,C7770,C7746,C7722,C7698,C7674,C7650,C7626,C7602,C7578,C7554,C7530,C7506)/POBLA!$B$17*100000</f>
        <v>52.022013525723516</v>
      </c>
      <c r="H7818" s="239">
        <f t="shared" si="603"/>
        <v>1.5765957446808512</v>
      </c>
    </row>
    <row r="7819" spans="1:8" ht="15.75" thickBot="1" x14ac:dyDescent="0.3">
      <c r="A7819" s="42" t="s">
        <v>36</v>
      </c>
      <c r="B7819" s="182">
        <v>44218</v>
      </c>
      <c r="C7819" s="4">
        <v>71</v>
      </c>
      <c r="D7819" s="183">
        <f t="shared" ref="D7819:D7825" si="604">C7819+D7795</f>
        <v>13504</v>
      </c>
      <c r="F7819" s="57">
        <f t="shared" ref="F7819:F7825" si="605">E7819+F7795</f>
        <v>216</v>
      </c>
      <c r="G7819" s="251">
        <f>SUM(C7819,C7795,C7771,C7747,C7723,C7699,C7675,C7651,C7627,C7603,C7579,C7555,C7531,C7507)/POBLA!$B$18*100000</f>
        <v>156.67861810482873</v>
      </c>
      <c r="H7819" s="239">
        <f t="shared" si="603"/>
        <v>0.87303851640513552</v>
      </c>
    </row>
    <row r="7820" spans="1:8" ht="15.75" thickBot="1" x14ac:dyDescent="0.3">
      <c r="A7820" s="42" t="s">
        <v>37</v>
      </c>
      <c r="B7820" s="182">
        <v>44218</v>
      </c>
      <c r="C7820" s="4">
        <v>562</v>
      </c>
      <c r="D7820" s="183">
        <f t="shared" si="604"/>
        <v>17926</v>
      </c>
      <c r="F7820" s="57">
        <f t="shared" si="605"/>
        <v>335</v>
      </c>
      <c r="G7820" s="251">
        <f>SUM(C7820,C7796,C7772,C7748,C7724,C7700,C7676,C7652,C7628,C7604,C7580,C7556,C7532,C7508)/POBLA!$B$19*100000</f>
        <v>276.5930658944618</v>
      </c>
      <c r="H7820" s="239">
        <f t="shared" si="603"/>
        <v>2.6428571428571428</v>
      </c>
    </row>
    <row r="7821" spans="1:8" ht="15.75" thickBot="1" x14ac:dyDescent="0.3">
      <c r="A7821" s="42" t="s">
        <v>38</v>
      </c>
      <c r="B7821" s="182">
        <v>44218</v>
      </c>
      <c r="C7821" s="4">
        <v>245</v>
      </c>
      <c r="D7821" s="183">
        <f t="shared" si="604"/>
        <v>31168</v>
      </c>
      <c r="E7821" s="4">
        <v>1</v>
      </c>
      <c r="F7821" s="57">
        <f t="shared" si="605"/>
        <v>477</v>
      </c>
      <c r="G7821" s="251">
        <f>SUM(C7821,C7797,C7773,C7749,C7725,C7701,C7677,C7653,C7629,C7605,C7581,C7557,C7533,C7509)/POBLA!$B$20*100000</f>
        <v>1256.2278163949488</v>
      </c>
      <c r="H7821" s="239">
        <f t="shared" si="603"/>
        <v>0.97001689189189189</v>
      </c>
    </row>
    <row r="7822" spans="1:8" ht="15.75" thickBot="1" x14ac:dyDescent="0.3">
      <c r="A7822" s="42" t="s">
        <v>23</v>
      </c>
      <c r="B7822" s="182">
        <v>44218</v>
      </c>
      <c r="C7822" s="4">
        <v>1043</v>
      </c>
      <c r="D7822" s="183">
        <f t="shared" si="604"/>
        <v>200489</v>
      </c>
      <c r="E7822" s="4">
        <v>17</v>
      </c>
      <c r="F7822" s="57">
        <f t="shared" si="605"/>
        <v>3299</v>
      </c>
      <c r="G7822" s="251">
        <f>SUM(C7822,C7798,C7774,C7750,C7726,C7702,C7678,C7654,C7630,C7606,C7582,C7558,C7534,C7510)/POBLA!$B$21*100000</f>
        <v>445.93144814894617</v>
      </c>
      <c r="H7822" s="239">
        <f t="shared" si="603"/>
        <v>1.1445783132530121</v>
      </c>
    </row>
    <row r="7823" spans="1:8" ht="15.75" thickBot="1" x14ac:dyDescent="0.3">
      <c r="A7823" s="42" t="s">
        <v>39</v>
      </c>
      <c r="B7823" s="182">
        <v>44218</v>
      </c>
      <c r="C7823" s="4">
        <v>99</v>
      </c>
      <c r="D7823" s="183">
        <f t="shared" si="604"/>
        <v>20158</v>
      </c>
      <c r="E7823" s="4">
        <v>3</v>
      </c>
      <c r="F7823" s="57">
        <f t="shared" si="605"/>
        <v>243</v>
      </c>
      <c r="G7823" s="251">
        <f>SUM(C7823,C7799,C7775,C7751,C7727,C7703,C7679,C7655,C7631,C7607,C7583,C7559,C7535,C7511)/POBLA!$B$22*100000</f>
        <v>176.93723787785709</v>
      </c>
      <c r="H7823" s="239">
        <f t="shared" si="603"/>
        <v>1.2130343377715487</v>
      </c>
    </row>
    <row r="7824" spans="1:8" ht="15.75" thickBot="1" x14ac:dyDescent="0.3">
      <c r="A7824" s="42" t="s">
        <v>40</v>
      </c>
      <c r="B7824" s="182">
        <v>44218</v>
      </c>
      <c r="C7824" s="4">
        <v>48</v>
      </c>
      <c r="D7824" s="183">
        <f t="shared" si="604"/>
        <v>21270</v>
      </c>
      <c r="E7824" s="4">
        <v>9</v>
      </c>
      <c r="F7824" s="57">
        <f t="shared" si="605"/>
        <v>320</v>
      </c>
      <c r="G7824" s="251">
        <f>SUM(C7824,C7800,C7776,C7752,C7728,C7704,C7680,C7656,C7632,C7608,C7584,C7560,C7536,C7512)/POBLA!$B$23*100000</f>
        <v>695.58332862070915</v>
      </c>
      <c r="H7824" s="239">
        <f t="shared" si="603"/>
        <v>0.81295439524124258</v>
      </c>
    </row>
    <row r="7825" spans="1:8" ht="15.75" thickBot="1" x14ac:dyDescent="0.3">
      <c r="A7825" s="42" t="s">
        <v>41</v>
      </c>
      <c r="B7825" s="182">
        <v>44218</v>
      </c>
      <c r="C7825" s="4">
        <v>198</v>
      </c>
      <c r="D7825" s="183">
        <f t="shared" si="604"/>
        <v>75164</v>
      </c>
      <c r="E7825" s="4">
        <v>2</v>
      </c>
      <c r="F7825" s="57">
        <f t="shared" si="605"/>
        <v>1418</v>
      </c>
      <c r="G7825" s="251">
        <f>SUM(C7825,C7801,C7777,C7753,C7729,C7705,C7681,C7657,C7633,C7609,C7585,C7561,C7537,C7513)/POBLA!$B$24*100000</f>
        <v>151.24013369084935</v>
      </c>
      <c r="H7825" s="239">
        <f t="shared" si="603"/>
        <v>1.1037898363479759</v>
      </c>
    </row>
    <row r="7826" spans="1:8" ht="15.75" thickBot="1" x14ac:dyDescent="0.3">
      <c r="A7826" s="42" t="s">
        <v>17</v>
      </c>
      <c r="B7826" s="182">
        <v>44219</v>
      </c>
      <c r="C7826" s="233">
        <v>3265</v>
      </c>
      <c r="D7826" s="183">
        <f>C7826+D7802</f>
        <v>776538</v>
      </c>
      <c r="E7826" s="4">
        <v>109</v>
      </c>
      <c r="F7826" s="57">
        <f>E7826+F7802</f>
        <v>24035</v>
      </c>
      <c r="G7826" s="251">
        <f>SUM(C7826,C7802,C7778,C7754,C7730,C7706,C7682,C7658,C7634,C7610,C7586,C7562,C7538,C7514)/POBLA!$B$1*100000</f>
        <v>329.9614318133581</v>
      </c>
      <c r="H7826" s="239">
        <f t="shared" ref="H7826:H7849" si="606">SUM(C7826,C7802,C7778,C7754,C7730,C7706,C7682,C7658,C7634,C7610,C7586,C7562,C7538,C7514)/SUM(C7490,C7466,C7442,C7418,C7394,C7370,C7346,C7322,C7298,C7274,C7250,C7226,C7202,C7178)</f>
        <v>1.0990031330105383</v>
      </c>
    </row>
    <row r="7827" spans="1:8" ht="15.75" thickBot="1" x14ac:dyDescent="0.3">
      <c r="A7827" s="42" t="s">
        <v>44</v>
      </c>
      <c r="B7827" s="182">
        <v>44219</v>
      </c>
      <c r="C7827" s="233">
        <v>924</v>
      </c>
      <c r="D7827" s="183">
        <f t="shared" ref="D7827:D7873" si="607">C7827+D7803</f>
        <v>201907</v>
      </c>
      <c r="E7827" s="4">
        <v>11</v>
      </c>
      <c r="F7827" s="57">
        <f t="shared" ref="F7827:F7873" si="608">E7827+F7803</f>
        <v>5782</v>
      </c>
      <c r="G7827" s="251">
        <f>SUM(C7827,C7803,C7779,C7755,C7731,C7707,C7683,C7659,C7635,C7611,C7587,C7563,C7539,C7515)/POBLA!$B$2*100000</f>
        <v>556.53348922470275</v>
      </c>
      <c r="H7827" s="239">
        <f t="shared" si="606"/>
        <v>1.1267855967349087</v>
      </c>
    </row>
    <row r="7828" spans="1:8" ht="15.75" thickBot="1" x14ac:dyDescent="0.3">
      <c r="A7828" s="42" t="s">
        <v>29</v>
      </c>
      <c r="B7828" s="182">
        <v>44219</v>
      </c>
      <c r="C7828" s="233">
        <v>53</v>
      </c>
      <c r="D7828" s="183">
        <f t="shared" si="607"/>
        <v>4682</v>
      </c>
      <c r="F7828" s="57">
        <f t="shared" si="608"/>
        <v>17</v>
      </c>
      <c r="G7828" s="251">
        <f>SUM(C7828,C7804,C7780,C7756,C7732,C7708,C7684,C7660,C7636,C7612,C7588,C7564,C7540,C7516)/POBLA!$B$3*100000</f>
        <v>375.50729591419179</v>
      </c>
      <c r="H7828" s="239">
        <f t="shared" si="606"/>
        <v>2.6351351351351351</v>
      </c>
    </row>
    <row r="7829" spans="1:8" ht="15.75" thickBot="1" x14ac:dyDescent="0.3">
      <c r="A7829" s="42" t="s">
        <v>16</v>
      </c>
      <c r="B7829" s="182">
        <v>44219</v>
      </c>
      <c r="C7829" s="233">
        <v>172</v>
      </c>
      <c r="D7829" s="183">
        <f t="shared" si="607"/>
        <v>29677</v>
      </c>
      <c r="F7829" s="57">
        <f t="shared" si="608"/>
        <v>776</v>
      </c>
      <c r="G7829" s="251">
        <f>SUM(C7829,C7805,C7781,C7757,C7733,C7709,C7685,C7661,C7637,C7613,C7589,C7565,C7541,C7517)/POBLA!$B$4*100000</f>
        <v>243.9933551452379</v>
      </c>
      <c r="H7829" s="239">
        <f t="shared" si="606"/>
        <v>0.99257007767646066</v>
      </c>
    </row>
    <row r="7830" spans="1:8" ht="15.75" thickBot="1" x14ac:dyDescent="0.3">
      <c r="A7830" s="42" t="s">
        <v>30</v>
      </c>
      <c r="B7830" s="182">
        <v>44219</v>
      </c>
      <c r="C7830" s="233">
        <v>199</v>
      </c>
      <c r="D7830" s="183">
        <f t="shared" si="607"/>
        <v>40148</v>
      </c>
      <c r="E7830" s="4">
        <v>2</v>
      </c>
      <c r="F7830" s="57">
        <f t="shared" si="608"/>
        <v>594</v>
      </c>
      <c r="G7830" s="251">
        <f>SUM(C7830,C7806,C7782,C7758,C7734,C7710,C7686,C7662,C7638,C7614,C7590,C7566,C7542,C7518)/POBLA!$B$5*100000</f>
        <v>811.31642633046533</v>
      </c>
      <c r="H7830" s="239">
        <f t="shared" si="606"/>
        <v>0.93</v>
      </c>
    </row>
    <row r="7831" spans="1:8" ht="15.75" thickBot="1" x14ac:dyDescent="0.3">
      <c r="A7831" s="42" t="s">
        <v>31</v>
      </c>
      <c r="B7831" s="182">
        <v>44219</v>
      </c>
      <c r="C7831" s="233">
        <v>162</v>
      </c>
      <c r="D7831" s="183">
        <f>C7831+D7807</f>
        <v>16239</v>
      </c>
      <c r="E7831" s="4">
        <v>1</v>
      </c>
      <c r="F7831" s="57">
        <f t="shared" si="608"/>
        <v>2565</v>
      </c>
      <c r="G7831" s="251">
        <f>SUM(C7831,C7807,C7783,C7759,C7735,C7711,C7687,C7663,C7639,C7615,C7591,C7567,C7543,C7519)/POBLA!$B$7*100000</f>
        <v>144.50398223616855</v>
      </c>
      <c r="H7831" s="239">
        <f t="shared" si="606"/>
        <v>0.66171456405260598</v>
      </c>
    </row>
    <row r="7832" spans="1:8" ht="15.75" thickBot="1" x14ac:dyDescent="0.3">
      <c r="A7832" s="42" t="s">
        <v>21</v>
      </c>
      <c r="B7832" s="182">
        <v>44219</v>
      </c>
      <c r="C7832" s="233">
        <v>544</v>
      </c>
      <c r="D7832" s="183">
        <f>C7832+D7808</f>
        <v>141220</v>
      </c>
      <c r="E7832" s="4">
        <v>17</v>
      </c>
      <c r="F7832" s="57">
        <f t="shared" si="608"/>
        <v>239</v>
      </c>
      <c r="G7832" s="251">
        <f>SUM(C7832,C7808,C7784,C7760,C7736,C7712,C7688,C7664,C7640,C7616,C7592,C7568,C7544,C7520)/POBLA!$B$6*100000</f>
        <v>472.96531676898934</v>
      </c>
      <c r="H7832" s="239">
        <f t="shared" si="606"/>
        <v>2.1220976781425138</v>
      </c>
    </row>
    <row r="7833" spans="1:8" ht="15.75" thickBot="1" x14ac:dyDescent="0.3">
      <c r="A7833" s="42" t="s">
        <v>32</v>
      </c>
      <c r="B7833" s="182">
        <v>44219</v>
      </c>
      <c r="C7833" s="233">
        <v>302</v>
      </c>
      <c r="D7833" s="183">
        <f t="shared" si="607"/>
        <v>38854</v>
      </c>
      <c r="E7833" s="4">
        <v>1</v>
      </c>
      <c r="F7833" s="57">
        <f t="shared" si="608"/>
        <v>666</v>
      </c>
      <c r="G7833" s="251">
        <f>SUM(C7833,C7809,C7785,C7761,C7737,C7713,C7689,C7665,C7641,C7617,C7593,C7569,C7545,C7521)/POBLA!$B$8*100000</f>
        <v>408.5973559140553</v>
      </c>
      <c r="H7833" s="239">
        <f t="shared" si="606"/>
        <v>1.0749810174639332</v>
      </c>
    </row>
    <row r="7834" spans="1:8" ht="15.75" thickBot="1" x14ac:dyDescent="0.3">
      <c r="A7834" s="42" t="s">
        <v>42</v>
      </c>
      <c r="B7834" s="182">
        <v>44219</v>
      </c>
      <c r="C7834" s="233">
        <v>3</v>
      </c>
      <c r="D7834" s="183">
        <f t="shared" si="607"/>
        <v>800</v>
      </c>
      <c r="F7834" s="57">
        <f t="shared" si="608"/>
        <v>6</v>
      </c>
      <c r="G7834" s="251">
        <f>SUM(C7834,C7810,C7786,C7762,C7738,C7714,C7690,C7666,C7642,C7618,C7594,C7570,C7546,C7522)/POBLA!$B$9*100000</f>
        <v>89.392970506929188</v>
      </c>
      <c r="H7834" s="239">
        <f t="shared" si="606"/>
        <v>11.760869565217391</v>
      </c>
    </row>
    <row r="7835" spans="1:8" ht="15.75" thickBot="1" x14ac:dyDescent="0.3">
      <c r="A7835" s="42" t="s">
        <v>33</v>
      </c>
      <c r="B7835" s="182">
        <v>44219</v>
      </c>
      <c r="C7835" s="233">
        <v>8</v>
      </c>
      <c r="D7835" s="183">
        <f t="shared" si="607"/>
        <v>19064</v>
      </c>
      <c r="E7835" s="4">
        <v>1</v>
      </c>
      <c r="F7835" s="57">
        <f t="shared" si="608"/>
        <v>866</v>
      </c>
      <c r="G7835" s="251">
        <f>SUM(C7835,C7811,C7787,C7763,C7739,C7715,C7691,C7667,C7643,C7619,C7595,C7571,C7547,C7523)/POBLA!$B$10*100000</f>
        <v>51.629239791874497</v>
      </c>
      <c r="H7835" s="239">
        <f t="shared" si="606"/>
        <v>2.3975903614457832</v>
      </c>
    </row>
    <row r="7836" spans="1:8" ht="15.75" thickBot="1" x14ac:dyDescent="0.3">
      <c r="A7836" s="42" t="s">
        <v>34</v>
      </c>
      <c r="B7836" s="182">
        <v>44219</v>
      </c>
      <c r="C7836" s="233">
        <v>106</v>
      </c>
      <c r="D7836" s="183">
        <f t="shared" si="607"/>
        <v>15750</v>
      </c>
      <c r="F7836" s="57">
        <f t="shared" si="608"/>
        <v>210</v>
      </c>
      <c r="G7836" s="251">
        <f>SUM(C7836,C7812,C7788,C7764,C7740,C7716,C7692,C7668,C7644,C7620,C7596,C7572,C7548,C7524)/POBLA!$B$11*100000</f>
        <v>656.19873447386919</v>
      </c>
      <c r="H7836" s="239">
        <f t="shared" si="606"/>
        <v>0.60602937387271327</v>
      </c>
    </row>
    <row r="7837" spans="1:8" ht="15.75" thickBot="1" x14ac:dyDescent="0.3">
      <c r="A7837" s="42" t="s">
        <v>22</v>
      </c>
      <c r="B7837" s="182">
        <v>44219</v>
      </c>
      <c r="C7837" s="233">
        <v>13</v>
      </c>
      <c r="D7837" s="183">
        <f t="shared" si="607"/>
        <v>9402</v>
      </c>
      <c r="F7837" s="57">
        <f t="shared" si="608"/>
        <v>404</v>
      </c>
      <c r="G7837" s="251">
        <f>SUM(C7837,C7813,C7789,C7765,C7741,C7717,C7693,C7669,C7645,C7621,C7597,C7573,C7549,C7525)/POBLA!$B$12*100000</f>
        <v>51.584246222025719</v>
      </c>
      <c r="H7837" s="239">
        <f t="shared" si="606"/>
        <v>1.4710144927536233</v>
      </c>
    </row>
    <row r="7838" spans="1:8" ht="15.75" thickBot="1" x14ac:dyDescent="0.3">
      <c r="A7838" s="42" t="s">
        <v>18</v>
      </c>
      <c r="B7838" s="182">
        <v>44219</v>
      </c>
      <c r="C7838" s="233">
        <v>101</v>
      </c>
      <c r="D7838" s="183">
        <f t="shared" si="607"/>
        <v>63092</v>
      </c>
      <c r="E7838" s="4">
        <v>2</v>
      </c>
      <c r="F7838" s="57">
        <f t="shared" si="608"/>
        <v>1315</v>
      </c>
      <c r="G7838" s="251">
        <f>SUM(C7838,C7814,C7790,C7766,C7742,C7718,C7694,C7670,C7646,C7622,C7598,C7574,C7550,C7526)/POBLA!$B$13*100000</f>
        <v>94.355833029364859</v>
      </c>
      <c r="H7838" s="239">
        <f t="shared" si="606"/>
        <v>1.1340579710144927</v>
      </c>
    </row>
    <row r="7839" spans="1:8" ht="15.75" thickBot="1" x14ac:dyDescent="0.3">
      <c r="A7839" s="42" t="s">
        <v>24</v>
      </c>
      <c r="B7839" s="182">
        <v>44219</v>
      </c>
      <c r="C7839" s="233">
        <v>214</v>
      </c>
      <c r="D7839" s="183">
        <f t="shared" si="607"/>
        <v>3308</v>
      </c>
      <c r="F7839" s="57">
        <f t="shared" si="608"/>
        <v>63</v>
      </c>
      <c r="G7839" s="251">
        <f>SUM(C7839,C7815,C7791,C7767,C7743,C7719,C7695,C7671,C7647,C7623,C7599,C7575,C7551,C7527)/POBLA!$B$14*100000</f>
        <v>156.42665389671242</v>
      </c>
      <c r="H7839" s="239">
        <f t="shared" si="606"/>
        <v>5.6858789625360231</v>
      </c>
    </row>
    <row r="7840" spans="1:8" ht="15.75" thickBot="1" x14ac:dyDescent="0.3">
      <c r="A7840" s="42" t="s">
        <v>20</v>
      </c>
      <c r="B7840" s="182">
        <v>44219</v>
      </c>
      <c r="C7840" s="233">
        <v>241</v>
      </c>
      <c r="D7840" s="183">
        <f t="shared" si="607"/>
        <v>50836</v>
      </c>
      <c r="E7840" s="4">
        <v>1</v>
      </c>
      <c r="F7840" s="57">
        <f t="shared" si="608"/>
        <v>761</v>
      </c>
      <c r="G7840" s="251">
        <f>SUM(C7840,C7816,C7792,C7768,C7744,C7720,C7696,C7672,C7648,C7624,C7600,C7576,C7552,C7528)/POBLA!$B$15*100000</f>
        <v>890.73678916117149</v>
      </c>
      <c r="H7840" s="239">
        <f t="shared" si="606"/>
        <v>1.0491308974813764</v>
      </c>
    </row>
    <row r="7841" spans="1:8" ht="15.75" thickBot="1" x14ac:dyDescent="0.3">
      <c r="A7841" s="42" t="s">
        <v>19</v>
      </c>
      <c r="B7841" s="182">
        <v>44219</v>
      </c>
      <c r="C7841" s="233">
        <v>286</v>
      </c>
      <c r="D7841" s="183">
        <f t="shared" si="607"/>
        <v>45870</v>
      </c>
      <c r="E7841" s="4">
        <v>3</v>
      </c>
      <c r="F7841" s="57">
        <f t="shared" si="608"/>
        <v>1026</v>
      </c>
      <c r="G7841" s="251">
        <f>SUM(C7841,C7817,C7793,C7769,C7745,C7721,C7697,C7673,C7649,C7625,C7601,C7577,C7553,C7529)/POBLA!$B$16*100000</f>
        <v>613.55519589090568</v>
      </c>
      <c r="H7841" s="239">
        <f t="shared" si="606"/>
        <v>1.1002638522427441</v>
      </c>
    </row>
    <row r="7842" spans="1:8" ht="15.75" thickBot="1" x14ac:dyDescent="0.3">
      <c r="A7842" s="42" t="s">
        <v>35</v>
      </c>
      <c r="B7842" s="182">
        <v>44219</v>
      </c>
      <c r="C7842" s="233">
        <v>59</v>
      </c>
      <c r="D7842" s="183">
        <f t="shared" si="607"/>
        <v>23416</v>
      </c>
      <c r="E7842" s="4">
        <v>2</v>
      </c>
      <c r="F7842" s="57">
        <f t="shared" si="608"/>
        <v>1033</v>
      </c>
      <c r="G7842" s="251">
        <f>SUM(C7842,C7818,C7794,C7770,C7746,C7722,C7698,C7674,C7650,C7626,C7602,C7578,C7554,C7530)/POBLA!$B$17*100000</f>
        <v>51.039141475304987</v>
      </c>
      <c r="H7842" s="239">
        <f t="shared" si="606"/>
        <v>1.4034749034749034</v>
      </c>
    </row>
    <row r="7843" spans="1:8" ht="15.75" thickBot="1" x14ac:dyDescent="0.3">
      <c r="A7843" s="42" t="s">
        <v>36</v>
      </c>
      <c r="B7843" s="182">
        <v>44219</v>
      </c>
      <c r="C7843" s="233">
        <v>32</v>
      </c>
      <c r="D7843" s="183">
        <f t="shared" si="607"/>
        <v>13536</v>
      </c>
      <c r="F7843" s="57">
        <f t="shared" si="608"/>
        <v>216</v>
      </c>
      <c r="G7843" s="251">
        <f>SUM(C7843,C7819,C7795,C7771,C7747,C7723,C7699,C7675,C7651,C7627,C7603,C7579,C7555,C7531)/POBLA!$B$18*100000</f>
        <v>150.66236397825443</v>
      </c>
      <c r="H7843" s="239">
        <f t="shared" si="606"/>
        <v>0.80122532334921714</v>
      </c>
    </row>
    <row r="7844" spans="1:8" ht="15.75" thickBot="1" x14ac:dyDescent="0.3">
      <c r="A7844" s="42" t="s">
        <v>37</v>
      </c>
      <c r="B7844" s="182">
        <v>44219</v>
      </c>
      <c r="C7844" s="233">
        <v>475</v>
      </c>
      <c r="D7844" s="183">
        <f t="shared" si="607"/>
        <v>18401</v>
      </c>
      <c r="E7844" s="4">
        <v>1</v>
      </c>
      <c r="F7844" s="57">
        <f t="shared" si="608"/>
        <v>336</v>
      </c>
      <c r="G7844" s="251">
        <f>SUM(C7844,C7820,C7796,C7772,C7748,C7724,C7700,C7676,C7652,C7628,C7604,C7580,C7556,C7532)/POBLA!$B$19*100000</f>
        <v>366.88909522985159</v>
      </c>
      <c r="H7844" s="239">
        <f t="shared" si="606"/>
        <v>3.4409594095940959</v>
      </c>
    </row>
    <row r="7845" spans="1:8" ht="15.75" thickBot="1" x14ac:dyDescent="0.3">
      <c r="A7845" s="42" t="s">
        <v>38</v>
      </c>
      <c r="B7845" s="182">
        <v>44219</v>
      </c>
      <c r="C7845" s="233">
        <v>179</v>
      </c>
      <c r="D7845" s="183">
        <f t="shared" si="607"/>
        <v>31347</v>
      </c>
      <c r="E7845" s="4">
        <v>4</v>
      </c>
      <c r="F7845" s="57">
        <f t="shared" si="608"/>
        <v>481</v>
      </c>
      <c r="G7845" s="251">
        <f>SUM(C7845,C7821,C7797,C7773,C7749,C7725,C7701,C7677,C7653,C7629,C7605,C7581,C7557,C7533)/POBLA!$B$20*100000</f>
        <v>1205.3661764625456</v>
      </c>
      <c r="H7845" s="239">
        <f t="shared" si="606"/>
        <v>0.89194658033184948</v>
      </c>
    </row>
    <row r="7846" spans="1:8" ht="15.75" thickBot="1" x14ac:dyDescent="0.3">
      <c r="A7846" s="42" t="s">
        <v>23</v>
      </c>
      <c r="B7846" s="182">
        <v>44219</v>
      </c>
      <c r="C7846" s="233">
        <v>698</v>
      </c>
      <c r="D7846" s="183">
        <f t="shared" si="607"/>
        <v>201187</v>
      </c>
      <c r="E7846" s="4">
        <v>5</v>
      </c>
      <c r="F7846" s="57">
        <f t="shared" si="608"/>
        <v>3304</v>
      </c>
      <c r="G7846" s="251">
        <f>SUM(C7846,C7822,C7798,C7774,C7750,C7726,C7702,C7678,C7654,C7630,C7606,C7582,C7558,C7534)/POBLA!$B$21*100000</f>
        <v>432.55633242450415</v>
      </c>
      <c r="H7846" s="239">
        <f t="shared" si="606"/>
        <v>1.0530772408095828</v>
      </c>
    </row>
    <row r="7847" spans="1:8" ht="15.75" thickBot="1" x14ac:dyDescent="0.3">
      <c r="A7847" s="42" t="s">
        <v>39</v>
      </c>
      <c r="B7847" s="182">
        <v>44219</v>
      </c>
      <c r="C7847" s="233">
        <v>170</v>
      </c>
      <c r="D7847" s="183">
        <f t="shared" si="607"/>
        <v>20328</v>
      </c>
      <c r="E7847" s="4">
        <v>1</v>
      </c>
      <c r="F7847" s="57">
        <f t="shared" si="608"/>
        <v>244</v>
      </c>
      <c r="G7847" s="251">
        <f>SUM(C7847,C7823,C7799,C7775,C7751,C7727,C7703,C7679,C7655,C7631,C7607,C7583,C7559,C7535)/POBLA!$B$22*100000</f>
        <v>181.53699276203014</v>
      </c>
      <c r="H7847" s="239">
        <f t="shared" si="606"/>
        <v>1.1800664451827243</v>
      </c>
    </row>
    <row r="7848" spans="1:8" ht="15.75" thickBot="1" x14ac:dyDescent="0.3">
      <c r="A7848" s="42" t="s">
        <v>40</v>
      </c>
      <c r="B7848" s="182">
        <v>44219</v>
      </c>
      <c r="C7848" s="233">
        <v>74</v>
      </c>
      <c r="D7848" s="183">
        <f t="shared" si="607"/>
        <v>21344</v>
      </c>
      <c r="E7848" s="4">
        <v>1</v>
      </c>
      <c r="F7848" s="57">
        <f t="shared" si="608"/>
        <v>321</v>
      </c>
      <c r="G7848" s="251">
        <f>SUM(C7848,C7824,C7800,C7776,C7752,C7728,C7704,C7680,C7656,C7632,C7608,C7584,C7560,C7536)/POBLA!$B$23*100000</f>
        <v>705.1970819431092</v>
      </c>
      <c r="H7848" s="239">
        <f t="shared" si="606"/>
        <v>0.86237897648686035</v>
      </c>
    </row>
    <row r="7849" spans="1:8" ht="15.75" thickBot="1" x14ac:dyDescent="0.3">
      <c r="A7849" s="42" t="s">
        <v>41</v>
      </c>
      <c r="B7849" s="182">
        <v>44219</v>
      </c>
      <c r="C7849" s="233">
        <v>82</v>
      </c>
      <c r="D7849" s="183">
        <f t="shared" si="607"/>
        <v>75246</v>
      </c>
      <c r="F7849" s="100">
        <f t="shared" si="608"/>
        <v>1418</v>
      </c>
      <c r="G7849" s="251">
        <f>SUM(C7849,C7825,C7801,C7777,C7753,C7729,C7705,C7681,C7657,C7633,C7609,C7585,C7561,C7537)/POBLA!$B$24*100000</f>
        <v>148.93878167604515</v>
      </c>
      <c r="H7849" s="239">
        <f t="shared" si="606"/>
        <v>1.0667793744716823</v>
      </c>
    </row>
    <row r="7850" spans="1:8" ht="15.75" thickBot="1" x14ac:dyDescent="0.3">
      <c r="A7850" s="42" t="s">
        <v>17</v>
      </c>
      <c r="B7850" s="182">
        <v>44220</v>
      </c>
      <c r="C7850" s="4">
        <v>2091</v>
      </c>
      <c r="D7850" s="183">
        <f>C7850+D7826</f>
        <v>778629</v>
      </c>
      <c r="E7850" s="4">
        <v>44</v>
      </c>
      <c r="F7850" s="57">
        <f>E7850+F7826</f>
        <v>24079</v>
      </c>
      <c r="G7850" s="251">
        <f>SUM(C7850,C7826,C7802,C7778,C7754,C7730,C7706,C7682,C7658,C7634,C7610,C7586,C7562,C7538)/POBLA!$B$1*100000</f>
        <v>323.09756816845606</v>
      </c>
      <c r="H7850" s="239">
        <f t="shared" ref="H7850:H7872" si="609">SUM(C7850,C7826,C7802,C7778,C7754,C7730,C7706,C7682,C7658,C7634,C7610,C7586,C7562,C7538)/SUM(C7514,C7490,C7466,C7442,C7418,C7394,C7370,C7346,C7322,C7298,C7274,C7250,C7226,C7202)</f>
        <v>1.0502371951671485</v>
      </c>
    </row>
    <row r="7851" spans="1:8" ht="15.75" thickBot="1" x14ac:dyDescent="0.3">
      <c r="A7851" s="42" t="s">
        <v>44</v>
      </c>
      <c r="B7851" s="182">
        <v>44220</v>
      </c>
      <c r="C7851" s="4">
        <v>706</v>
      </c>
      <c r="D7851" s="183">
        <f t="shared" si="607"/>
        <v>202613</v>
      </c>
      <c r="E7851" s="4">
        <v>21</v>
      </c>
      <c r="F7851" s="57">
        <f t="shared" si="608"/>
        <v>5803</v>
      </c>
      <c r="G7851" s="251">
        <f>SUM(C7851,C7827,C7803,C7779,C7755,C7731,C7707,C7683,C7659,C7635,C7611,C7587,C7563,C7539)/POBLA!$B$2*100000</f>
        <v>538.94368857794427</v>
      </c>
      <c r="H7851" s="239">
        <f t="shared" si="609"/>
        <v>1.0551241247612986</v>
      </c>
    </row>
    <row r="7852" spans="1:8" ht="15.75" thickBot="1" x14ac:dyDescent="0.3">
      <c r="A7852" s="42" t="s">
        <v>29</v>
      </c>
      <c r="B7852" s="182">
        <v>44220</v>
      </c>
      <c r="C7852" s="4">
        <v>49</v>
      </c>
      <c r="D7852" s="183">
        <f t="shared" si="607"/>
        <v>4731</v>
      </c>
      <c r="F7852" s="57">
        <f t="shared" si="608"/>
        <v>17</v>
      </c>
      <c r="G7852" s="251">
        <f>SUM(C7852,C7828,C7804,C7780,C7756,C7732,C7708,C7684,C7660,C7636,C7612,C7588,C7564,C7540)/POBLA!$B$3*100000</f>
        <v>375.02587630404537</v>
      </c>
      <c r="H7852" s="239">
        <f t="shared" si="609"/>
        <v>2.6097152428810722</v>
      </c>
    </row>
    <row r="7853" spans="1:8" ht="15.75" thickBot="1" x14ac:dyDescent="0.3">
      <c r="A7853" s="42" t="s">
        <v>16</v>
      </c>
      <c r="B7853" s="182">
        <v>44220</v>
      </c>
      <c r="C7853" s="4">
        <v>137</v>
      </c>
      <c r="D7853" s="183">
        <f t="shared" si="607"/>
        <v>29814</v>
      </c>
      <c r="F7853" s="57">
        <f t="shared" si="608"/>
        <v>776</v>
      </c>
      <c r="G7853" s="251">
        <f>SUM(C7853,C7829,C7805,C7781,C7757,C7733,C7709,C7685,C7661,C7637,C7613,C7589,C7565,C7541)/POBLA!$B$4*100000</f>
        <v>239.51031969854077</v>
      </c>
      <c r="H7853" s="239">
        <f t="shared" si="609"/>
        <v>0.93608046722907201</v>
      </c>
    </row>
    <row r="7854" spans="1:8" ht="15.75" thickBot="1" x14ac:dyDescent="0.3">
      <c r="A7854" s="42" t="s">
        <v>30</v>
      </c>
      <c r="B7854" s="182">
        <v>44220</v>
      </c>
      <c r="C7854" s="4">
        <v>108</v>
      </c>
      <c r="D7854" s="183">
        <f t="shared" si="607"/>
        <v>40256</v>
      </c>
      <c r="F7854" s="57">
        <f t="shared" si="608"/>
        <v>594</v>
      </c>
      <c r="G7854" s="251">
        <f>SUM(C7854,C7830,C7806,C7782,C7758,C7734,C7710,C7686,C7662,C7638,C7614,C7590,C7566,C7542)/POBLA!$B$5*100000</f>
        <v>797.42291524635129</v>
      </c>
      <c r="H7854" s="239">
        <f t="shared" si="609"/>
        <v>0.90751976466262185</v>
      </c>
    </row>
    <row r="7855" spans="1:8" ht="15.75" thickBot="1" x14ac:dyDescent="0.3">
      <c r="A7855" s="42" t="s">
        <v>31</v>
      </c>
      <c r="B7855" s="182">
        <v>44220</v>
      </c>
      <c r="C7855" s="4">
        <v>64</v>
      </c>
      <c r="D7855" s="183">
        <f>C7855+D7831</f>
        <v>16303</v>
      </c>
      <c r="F7855" s="57">
        <f t="shared" si="608"/>
        <v>2565</v>
      </c>
      <c r="G7855" s="251">
        <f>SUM(C7855,C7831,C7807,C7783,C7759,C7735,C7711,C7687,C7663,C7639,C7615,C7591,C7567,C7543)/POBLA!$B$7*100000</f>
        <v>133.81377228789106</v>
      </c>
      <c r="H7855" s="239">
        <f t="shared" si="609"/>
        <v>0.5954324931960715</v>
      </c>
    </row>
    <row r="7856" spans="1:8" ht="15.75" thickBot="1" x14ac:dyDescent="0.3">
      <c r="A7856" s="42" t="s">
        <v>21</v>
      </c>
      <c r="B7856" s="182">
        <v>44220</v>
      </c>
      <c r="C7856" s="4">
        <v>264</v>
      </c>
      <c r="D7856" s="183">
        <f>C7856+D7832</f>
        <v>141484</v>
      </c>
      <c r="E7856" s="4">
        <v>4</v>
      </c>
      <c r="F7856" s="57">
        <f t="shared" si="608"/>
        <v>243</v>
      </c>
      <c r="G7856" s="251">
        <f>SUM(C7856,C7832,C7808,C7784,C7760,C7736,C7712,C7688,C7664,C7640,C7616,C7592,C7568,C7544)/POBLA!$B$6*100000</f>
        <v>485.90249294923899</v>
      </c>
      <c r="H7856" s="239">
        <f t="shared" si="609"/>
        <v>2.2863140218303948</v>
      </c>
    </row>
    <row r="7857" spans="1:8" ht="15.75" thickBot="1" x14ac:dyDescent="0.3">
      <c r="A7857" s="42" t="s">
        <v>32</v>
      </c>
      <c r="B7857" s="182">
        <v>44220</v>
      </c>
      <c r="C7857" s="4">
        <v>219</v>
      </c>
      <c r="D7857" s="183">
        <f t="shared" si="607"/>
        <v>39073</v>
      </c>
      <c r="E7857" s="4">
        <v>4</v>
      </c>
      <c r="F7857" s="57">
        <f t="shared" si="608"/>
        <v>670</v>
      </c>
      <c r="G7857" s="251">
        <f>SUM(C7857,C7833,C7809,C7785,C7761,C7737,C7713,C7689,C7665,C7641,C7617,C7593,C7569,C7545)/POBLA!$B$8*100000</f>
        <v>399.14543049912658</v>
      </c>
      <c r="H7857" s="239">
        <f t="shared" si="609"/>
        <v>1.0126304228445908</v>
      </c>
    </row>
    <row r="7858" spans="1:8" ht="15.75" thickBot="1" x14ac:dyDescent="0.3">
      <c r="A7858" s="42" t="s">
        <v>42</v>
      </c>
      <c r="B7858" s="182">
        <v>44220</v>
      </c>
      <c r="C7858" s="4">
        <v>6</v>
      </c>
      <c r="D7858" s="183">
        <f t="shared" si="607"/>
        <v>806</v>
      </c>
      <c r="F7858" s="57">
        <f t="shared" si="608"/>
        <v>6</v>
      </c>
      <c r="G7858" s="251">
        <f>SUM(C7858,C7834,C7810,C7786,C7762,C7738,C7714,C7690,C7666,C7642,C7618,C7594,C7570,C7546)/POBLA!$B$9*100000</f>
        <v>85.096820353176582</v>
      </c>
      <c r="H7858" s="239">
        <f t="shared" si="609"/>
        <v>6.6883116883116882</v>
      </c>
    </row>
    <row r="7859" spans="1:8" ht="15.75" thickBot="1" x14ac:dyDescent="0.3">
      <c r="A7859" s="42" t="s">
        <v>33</v>
      </c>
      <c r="B7859" s="182">
        <v>44220</v>
      </c>
      <c r="C7859" s="4">
        <v>29</v>
      </c>
      <c r="D7859" s="183">
        <f t="shared" si="607"/>
        <v>19093</v>
      </c>
      <c r="F7859" s="57">
        <f t="shared" si="608"/>
        <v>866</v>
      </c>
      <c r="G7859" s="251">
        <f>SUM(C7859,C7835,C7811,C7787,C7763,C7739,C7715,C7691,C7667,C7643,C7619,C7595,C7571,C7547)/POBLA!$B$10*100000</f>
        <v>52.796735164052556</v>
      </c>
      <c r="H7859" s="239">
        <f t="shared" si="609"/>
        <v>2.2611111111111111</v>
      </c>
    </row>
    <row r="7860" spans="1:8" ht="15.75" thickBot="1" x14ac:dyDescent="0.3">
      <c r="A7860" s="42" t="s">
        <v>34</v>
      </c>
      <c r="B7860" s="182">
        <v>44220</v>
      </c>
      <c r="C7860" s="4">
        <v>43</v>
      </c>
      <c r="D7860" s="183">
        <f t="shared" si="607"/>
        <v>15793</v>
      </c>
      <c r="E7860" s="4">
        <v>1</v>
      </c>
      <c r="F7860" s="57">
        <f t="shared" si="608"/>
        <v>211</v>
      </c>
      <c r="G7860" s="251">
        <f>SUM(C7860,C7836,C7812,C7788,C7764,C7740,C7716,C7692,C7668,C7644,C7620,C7596,C7572,C7548)/POBLA!$B$11*100000</f>
        <v>639.73796689990741</v>
      </c>
      <c r="H7860" s="239">
        <f t="shared" si="609"/>
        <v>0.60437532946758044</v>
      </c>
    </row>
    <row r="7861" spans="1:8" ht="15.75" thickBot="1" x14ac:dyDescent="0.3">
      <c r="A7861" s="42" t="s">
        <v>22</v>
      </c>
      <c r="B7861" s="182">
        <v>44220</v>
      </c>
      <c r="C7861" s="4">
        <v>36</v>
      </c>
      <c r="D7861" s="183">
        <f t="shared" si="607"/>
        <v>9438</v>
      </c>
      <c r="F7861" s="57">
        <f t="shared" si="608"/>
        <v>404</v>
      </c>
      <c r="G7861" s="251">
        <f>SUM(C7861,C7837,C7813,C7789,C7765,C7741,C7717,C7693,C7669,C7645,C7621,C7597,C7573,C7549)/POBLA!$B$12*100000</f>
        <v>56.920547555338715</v>
      </c>
      <c r="H7861" s="239">
        <f t="shared" si="609"/>
        <v>1.5342465753424657</v>
      </c>
    </row>
    <row r="7862" spans="1:8" ht="15.75" thickBot="1" x14ac:dyDescent="0.3">
      <c r="A7862" s="42" t="s">
        <v>18</v>
      </c>
      <c r="B7862" s="182">
        <v>44220</v>
      </c>
      <c r="C7862" s="4">
        <v>63</v>
      </c>
      <c r="D7862" s="183">
        <f t="shared" si="607"/>
        <v>63155</v>
      </c>
      <c r="E7862" s="4">
        <v>2</v>
      </c>
      <c r="F7862" s="57">
        <f t="shared" si="608"/>
        <v>1317</v>
      </c>
      <c r="G7862" s="251">
        <f>SUM(C7862,C7838,C7814,C7790,C7766,C7742,C7718,C7694,C7670,C7646,C7622,C7598,C7574,C7550)/POBLA!$B$13*100000</f>
        <v>93.702677635657864</v>
      </c>
      <c r="H7862" s="239">
        <f t="shared" si="609"/>
        <v>1.1094586555621653</v>
      </c>
    </row>
    <row r="7863" spans="1:8" ht="15.75" thickBot="1" x14ac:dyDescent="0.3">
      <c r="A7863" s="42" t="s">
        <v>24</v>
      </c>
      <c r="B7863" s="182">
        <v>44220</v>
      </c>
      <c r="C7863" s="4">
        <v>159</v>
      </c>
      <c r="D7863" s="183">
        <f t="shared" si="607"/>
        <v>3467</v>
      </c>
      <c r="E7863" s="4">
        <v>1</v>
      </c>
      <c r="F7863" s="57">
        <f t="shared" si="608"/>
        <v>64</v>
      </c>
      <c r="G7863" s="251">
        <f>SUM(C7863,C7839,C7815,C7791,C7767,C7743,C7719,C7695,C7671,C7647,C7623,C7599,C7575,C7551)/POBLA!$B$14*100000</f>
        <v>160.31155305582996</v>
      </c>
      <c r="H7863" s="239">
        <f t="shared" si="609"/>
        <v>4.6589861751152073</v>
      </c>
    </row>
    <row r="7864" spans="1:8" ht="15.75" thickBot="1" x14ac:dyDescent="0.3">
      <c r="A7864" s="42" t="s">
        <v>20</v>
      </c>
      <c r="B7864" s="182">
        <v>44220</v>
      </c>
      <c r="C7864" s="4">
        <v>149</v>
      </c>
      <c r="D7864" s="183">
        <f t="shared" si="607"/>
        <v>50985</v>
      </c>
      <c r="F7864" s="57">
        <f t="shared" si="608"/>
        <v>761</v>
      </c>
      <c r="G7864" s="251">
        <f>SUM(C7864,C7840,C7816,C7792,C7768,C7744,C7720,C7696,C7672,C7648,C7624,C7600,C7576,C7552)/POBLA!$B$15*100000</f>
        <v>878.6896305588225</v>
      </c>
      <c r="H7864" s="239">
        <f t="shared" si="609"/>
        <v>1.0086430423509076</v>
      </c>
    </row>
    <row r="7865" spans="1:8" ht="15.75" thickBot="1" x14ac:dyDescent="0.3">
      <c r="A7865" s="42" t="s">
        <v>19</v>
      </c>
      <c r="B7865" s="182">
        <v>44220</v>
      </c>
      <c r="C7865" s="4">
        <v>108</v>
      </c>
      <c r="D7865" s="183">
        <f t="shared" si="607"/>
        <v>45978</v>
      </c>
      <c r="E7865" s="4">
        <v>7</v>
      </c>
      <c r="F7865" s="57">
        <f t="shared" si="608"/>
        <v>1033</v>
      </c>
      <c r="G7865" s="251">
        <f>SUM(C7865,C7841,C7817,C7793,C7769,C7745,C7721,C7697,C7673,C7649,C7625,C7601,C7577,C7553)/POBLA!$B$16*100000</f>
        <v>601.11555490161982</v>
      </c>
      <c r="H7865" s="239">
        <f t="shared" si="609"/>
        <v>1.0682196339434276</v>
      </c>
    </row>
    <row r="7866" spans="1:8" ht="15.75" thickBot="1" x14ac:dyDescent="0.3">
      <c r="A7866" s="42" t="s">
        <v>35</v>
      </c>
      <c r="B7866" s="182">
        <v>44220</v>
      </c>
      <c r="C7866" s="4">
        <v>26</v>
      </c>
      <c r="D7866" s="183">
        <f t="shared" si="607"/>
        <v>23442</v>
      </c>
      <c r="F7866" s="57">
        <f t="shared" si="608"/>
        <v>1033</v>
      </c>
      <c r="G7866" s="251">
        <f>SUM(C7866,C7842,C7818,C7794,C7770,C7746,C7722,C7698,C7674,C7650,C7626,C7602,C7578,C7554)/POBLA!$B$17*100000</f>
        <v>51.390167207597322</v>
      </c>
      <c r="H7866" s="239">
        <f t="shared" si="609"/>
        <v>1.4581673306772909</v>
      </c>
    </row>
    <row r="7867" spans="1:8" ht="15.75" thickBot="1" x14ac:dyDescent="0.3">
      <c r="A7867" s="42" t="s">
        <v>36</v>
      </c>
      <c r="B7867" s="182">
        <v>44220</v>
      </c>
      <c r="C7867" s="4">
        <v>9</v>
      </c>
      <c r="D7867" s="183">
        <f t="shared" si="607"/>
        <v>13545</v>
      </c>
      <c r="E7867" s="4">
        <v>1</v>
      </c>
      <c r="F7867" s="57">
        <f t="shared" si="608"/>
        <v>217</v>
      </c>
      <c r="G7867" s="251">
        <f>SUM(C7867,C7843,C7819,C7795,C7771,C7747,C7723,C7699,C7675,C7651,C7627,C7603,C7579,C7555)/POBLA!$B$18*100000</f>
        <v>148.87028828097698</v>
      </c>
      <c r="H7867" s="239">
        <f t="shared" si="609"/>
        <v>0.78475033738191635</v>
      </c>
    </row>
    <row r="7868" spans="1:8" ht="15.75" thickBot="1" x14ac:dyDescent="0.3">
      <c r="A7868" s="42" t="s">
        <v>37</v>
      </c>
      <c r="B7868" s="182">
        <v>44220</v>
      </c>
      <c r="C7868" s="4">
        <v>52</v>
      </c>
      <c r="D7868" s="183">
        <f t="shared" si="607"/>
        <v>18453</v>
      </c>
      <c r="F7868" s="57">
        <f t="shared" si="608"/>
        <v>336</v>
      </c>
      <c r="G7868" s="251">
        <f>SUM(C7868,C7844,C7820,C7796,C7772,C7748,C7724,C7700,C7676,C7652,C7628,C7604,C7580,C7556)/POBLA!$B$19*100000</f>
        <v>375.54492375001968</v>
      </c>
      <c r="H7868" s="239">
        <f t="shared" si="609"/>
        <v>3.728515625</v>
      </c>
    </row>
    <row r="7869" spans="1:8" ht="15.75" thickBot="1" x14ac:dyDescent="0.3">
      <c r="A7869" s="42" t="s">
        <v>38</v>
      </c>
      <c r="B7869" s="182">
        <v>44220</v>
      </c>
      <c r="C7869" s="4">
        <v>131</v>
      </c>
      <c r="D7869" s="183">
        <f t="shared" si="607"/>
        <v>31478</v>
      </c>
      <c r="F7869" s="57">
        <f t="shared" si="608"/>
        <v>481</v>
      </c>
      <c r="G7869" s="251">
        <f>SUM(C7869,C7845,C7821,C7797,C7773,C7749,C7725,C7701,C7677,C7653,C7629,C7605,C7581,C7557)/POBLA!$B$20*100000</f>
        <v>1171.4584165076101</v>
      </c>
      <c r="H7869" s="239">
        <f t="shared" si="609"/>
        <v>0.8645812310797174</v>
      </c>
    </row>
    <row r="7870" spans="1:8" ht="15.75" thickBot="1" x14ac:dyDescent="0.3">
      <c r="A7870" s="42" t="s">
        <v>23</v>
      </c>
      <c r="B7870" s="182">
        <v>44220</v>
      </c>
      <c r="C7870" s="4">
        <v>438</v>
      </c>
      <c r="D7870" s="183">
        <f t="shared" si="607"/>
        <v>201625</v>
      </c>
      <c r="E7870" s="4">
        <v>2</v>
      </c>
      <c r="F7870" s="57">
        <f t="shared" si="608"/>
        <v>3306</v>
      </c>
      <c r="G7870" s="251">
        <f>SUM(C7870,C7846,C7822,C7798,C7774,C7750,C7726,C7702,C7678,C7654,C7630,C7606,C7582,C7558)/POBLA!$B$21*100000</f>
        <v>429.44584039556406</v>
      </c>
      <c r="H7870" s="239">
        <f t="shared" si="609"/>
        <v>1.0353831469866375</v>
      </c>
    </row>
    <row r="7871" spans="1:8" ht="15.75" thickBot="1" x14ac:dyDescent="0.3">
      <c r="A7871" s="42" t="s">
        <v>39</v>
      </c>
      <c r="B7871" s="182">
        <v>44220</v>
      </c>
      <c r="C7871" s="4">
        <v>60</v>
      </c>
      <c r="D7871" s="183">
        <f t="shared" si="607"/>
        <v>20388</v>
      </c>
      <c r="E7871" s="4">
        <v>2</v>
      </c>
      <c r="F7871" s="57">
        <f t="shared" si="608"/>
        <v>246</v>
      </c>
      <c r="G7871" s="251">
        <f>SUM(C7871,C7847,C7823,C7799,C7775,C7751,C7727,C7703,C7679,C7655,C7631,C7607,C7583,C7559)/POBLA!$B$22*100000</f>
        <v>181.02590888601091</v>
      </c>
      <c r="H7871" s="239">
        <f t="shared" si="609"/>
        <v>1.1455368693402328</v>
      </c>
    </row>
    <row r="7872" spans="1:8" ht="15.75" thickBot="1" x14ac:dyDescent="0.3">
      <c r="A7872" s="42" t="s">
        <v>40</v>
      </c>
      <c r="B7872" s="182">
        <v>44220</v>
      </c>
      <c r="C7872" s="4">
        <v>46</v>
      </c>
      <c r="D7872" s="183">
        <f t="shared" si="607"/>
        <v>21390</v>
      </c>
      <c r="E7872" s="4">
        <v>1</v>
      </c>
      <c r="F7872" s="57">
        <f t="shared" si="608"/>
        <v>322</v>
      </c>
      <c r="G7872" s="251">
        <f>SUM(C7872,C7848,C7824,C7800,C7776,C7752,C7728,C7704,C7680,C7656,C7632,C7608,C7584,C7560)/POBLA!$B$23*100000</f>
        <v>689.36266470621501</v>
      </c>
      <c r="H7872" s="239">
        <f t="shared" si="609"/>
        <v>0.85125698324022347</v>
      </c>
    </row>
    <row r="7873" spans="1:9" ht="15.75" thickBot="1" x14ac:dyDescent="0.3">
      <c r="A7873" s="42" t="s">
        <v>41</v>
      </c>
      <c r="B7873" s="182">
        <v>44220</v>
      </c>
      <c r="C7873" s="4">
        <v>38</v>
      </c>
      <c r="D7873" s="183">
        <f t="shared" si="607"/>
        <v>75284</v>
      </c>
      <c r="F7873" s="57">
        <f t="shared" si="608"/>
        <v>1418</v>
      </c>
      <c r="G7873" s="251">
        <f>SUM(C7873,C7849,C7825,C7801,C7777,C7753,C7729,C7705,C7681,C7657,C7633,C7609,C7585,C7561)/POBLA!$B$24*100000</f>
        <v>144.33607764643679</v>
      </c>
      <c r="H7873" s="239">
        <f t="shared" ref="H7873:H7902" si="610">SUM(C7873,C7849,C7825,C7801,C7777,C7753,C7729,C7705,C7681,C7657,C7633,C7609,C7585,C7561)/SUM(C7537,C7513,C7489,C7465,C7441,C7417,C7393,C7369,C7345,C7321,C7297,C7273,C7249,C7225)</f>
        <v>1.0061703002879474</v>
      </c>
    </row>
    <row r="7874" spans="1:9" ht="15.75" thickBot="1" x14ac:dyDescent="0.3">
      <c r="A7874" s="42" t="s">
        <v>17</v>
      </c>
      <c r="B7874" s="182">
        <v>44221</v>
      </c>
      <c r="C7874" s="4">
        <v>2749</v>
      </c>
      <c r="D7874" s="183">
        <f t="shared" ref="D7874:D7905" si="611">C7874+D7850</f>
        <v>781378</v>
      </c>
      <c r="E7874" s="4">
        <v>81</v>
      </c>
      <c r="F7874" s="57">
        <f>E7874+F7850</f>
        <v>24160</v>
      </c>
      <c r="G7874" s="251">
        <f>SUM(C7874,C7850,C7826,C7802,C7778,C7754,C7730,C7706,C7682,C7658,C7634,C7610,C7586,C7562)/POBLA!$B$1*100000</f>
        <v>320.64048741185081</v>
      </c>
      <c r="H7874" s="239">
        <f t="shared" si="610"/>
        <v>1.036354590849625</v>
      </c>
      <c r="I7874" s="235"/>
    </row>
    <row r="7875" spans="1:9" ht="16.5" thickTop="1" thickBot="1" x14ac:dyDescent="0.3">
      <c r="A7875" s="42" t="s">
        <v>44</v>
      </c>
      <c r="B7875" s="182">
        <v>44221</v>
      </c>
      <c r="C7875" s="4">
        <v>1094</v>
      </c>
      <c r="D7875" s="183">
        <f t="shared" si="611"/>
        <v>203707</v>
      </c>
      <c r="E7875" s="4">
        <v>26</v>
      </c>
      <c r="F7875" s="57">
        <f t="shared" ref="F7875:F7897" si="612">E7875+F7851</f>
        <v>5829</v>
      </c>
      <c r="G7875" s="251">
        <f>SUM(C7875,C7851,C7827,C7803,C7779,C7755,C7731,C7707,C7683,C7659,C7635,C7611,C7587,C7563)/POBLA!$B$2*100000</f>
        <v>544.7636041338958</v>
      </c>
      <c r="H7875" s="239">
        <f t="shared" si="610"/>
        <v>1.0629996193376474</v>
      </c>
      <c r="I7875" s="235"/>
    </row>
    <row r="7876" spans="1:9" ht="16.5" thickTop="1" thickBot="1" x14ac:dyDescent="0.3">
      <c r="A7876" s="42" t="s">
        <v>29</v>
      </c>
      <c r="B7876" s="182">
        <v>44221</v>
      </c>
      <c r="C7876" s="4">
        <v>30</v>
      </c>
      <c r="D7876" s="183">
        <f t="shared" si="611"/>
        <v>4761</v>
      </c>
      <c r="F7876" s="57">
        <f t="shared" si="612"/>
        <v>17</v>
      </c>
      <c r="G7876" s="251">
        <f>SUM(C7876,C7852,C7828,C7804,C7780,C7756,C7732,C7708,C7684,C7660,C7636,C7612,C7588,C7564)/POBLA!$B$3*100000</f>
        <v>374.78516649897216</v>
      </c>
      <c r="H7876" s="239">
        <f t="shared" si="610"/>
        <v>2.608040201005025</v>
      </c>
      <c r="I7876" s="236"/>
    </row>
    <row r="7877" spans="1:9" ht="16.5" thickTop="1" thickBot="1" x14ac:dyDescent="0.3">
      <c r="A7877" s="42" t="s">
        <v>16</v>
      </c>
      <c r="B7877" s="182">
        <v>44221</v>
      </c>
      <c r="C7877" s="4">
        <v>76</v>
      </c>
      <c r="D7877" s="183">
        <f t="shared" si="611"/>
        <v>29890</v>
      </c>
      <c r="E7877" s="4">
        <v>5</v>
      </c>
      <c r="F7877" s="57">
        <f t="shared" si="612"/>
        <v>781</v>
      </c>
      <c r="G7877" s="251">
        <f>SUM(C7877,C7853,C7829,C7805,C7781,C7757,C7733,C7709,C7685,C7661,C7637,C7613,C7589,C7565)/POBLA!$B$4*100000</f>
        <v>233.03482405331158</v>
      </c>
      <c r="H7877" s="239">
        <f t="shared" si="610"/>
        <v>0.90112359550561794</v>
      </c>
      <c r="I7877" s="237"/>
    </row>
    <row r="7878" spans="1:9" ht="16.5" thickTop="1" thickBot="1" x14ac:dyDescent="0.3">
      <c r="A7878" s="42" t="s">
        <v>30</v>
      </c>
      <c r="B7878" s="182">
        <v>44221</v>
      </c>
      <c r="C7878" s="4">
        <v>304</v>
      </c>
      <c r="D7878" s="183">
        <f t="shared" si="611"/>
        <v>40560</v>
      </c>
      <c r="E7878" s="4">
        <v>11</v>
      </c>
      <c r="F7878" s="57">
        <f t="shared" si="612"/>
        <v>605</v>
      </c>
      <c r="G7878" s="251">
        <f>SUM(C7878,C7854,C7830,C7806,C7782,C7758,C7734,C7710,C7686,C7662,C7638,C7614,C7590,C7566)/POBLA!$B$5*100000</f>
        <v>764.95087189859669</v>
      </c>
      <c r="H7878" s="239">
        <f t="shared" si="610"/>
        <v>0.86200618969597664</v>
      </c>
      <c r="I7878" s="237"/>
    </row>
    <row r="7879" spans="1:9" ht="16.5" thickTop="1" thickBot="1" x14ac:dyDescent="0.3">
      <c r="A7879" s="42" t="s">
        <v>31</v>
      </c>
      <c r="B7879" s="182">
        <v>44221</v>
      </c>
      <c r="C7879" s="4">
        <v>160</v>
      </c>
      <c r="D7879" s="183">
        <f t="shared" si="611"/>
        <v>16463</v>
      </c>
      <c r="E7879" s="4">
        <v>1</v>
      </c>
      <c r="F7879" s="57">
        <f t="shared" si="612"/>
        <v>2566</v>
      </c>
      <c r="G7879" s="251">
        <f>SUM(C7879,C7855,C7831,C7807,C7783,C7759,C7735,C7711,C7687,C7663,C7639,C7615,C7591,C7567)/POBLA!$B$7*100000</f>
        <v>130.17059128561741</v>
      </c>
      <c r="H7879" s="239">
        <f t="shared" si="610"/>
        <v>0.57846844717560864</v>
      </c>
      <c r="I7879" s="237"/>
    </row>
    <row r="7880" spans="1:9" ht="16.5" thickTop="1" thickBot="1" x14ac:dyDescent="0.3">
      <c r="A7880" s="42" t="s">
        <v>21</v>
      </c>
      <c r="B7880" s="182">
        <v>44221</v>
      </c>
      <c r="C7880" s="4">
        <v>340</v>
      </c>
      <c r="D7880" s="183">
        <f t="shared" si="611"/>
        <v>141824</v>
      </c>
      <c r="E7880" s="4">
        <v>9</v>
      </c>
      <c r="F7880" s="57">
        <f t="shared" si="612"/>
        <v>252</v>
      </c>
      <c r="G7880" s="251">
        <f>SUM(C7880,C7856,C7832,C7808,C7784,C7760,C7736,C7712,C7688,C7664,C7640,C7616,C7592,C7568)/POBLA!$B$6*100000</f>
        <v>501.15943865146443</v>
      </c>
      <c r="H7880" s="239">
        <f t="shared" si="610"/>
        <v>2.3720439189189189</v>
      </c>
      <c r="I7880" s="235"/>
    </row>
    <row r="7881" spans="1:9" ht="16.5" thickTop="1" thickBot="1" x14ac:dyDescent="0.3">
      <c r="A7881" s="42" t="s">
        <v>32</v>
      </c>
      <c r="B7881" s="182">
        <v>44221</v>
      </c>
      <c r="C7881" s="4">
        <v>302</v>
      </c>
      <c r="D7881" s="183">
        <f t="shared" si="611"/>
        <v>39375</v>
      </c>
      <c r="E7881" s="4">
        <v>10</v>
      </c>
      <c r="F7881" s="57">
        <f t="shared" si="612"/>
        <v>680</v>
      </c>
      <c r="G7881" s="251">
        <f>SUM(C7881,C7857,C7833,C7809,C7785,C7761,C7737,C7713,C7689,C7665,C7641,C7617,C7593,C7569)/POBLA!$B$8*100000</f>
        <v>408.02013909482298</v>
      </c>
      <c r="H7881" s="239">
        <f t="shared" si="610"/>
        <v>1.0349560761346999</v>
      </c>
      <c r="I7881" s="237"/>
    </row>
    <row r="7882" spans="1:9" ht="16.5" thickTop="1" thickBot="1" x14ac:dyDescent="0.3">
      <c r="A7882" s="42" t="s">
        <v>42</v>
      </c>
      <c r="B7882" s="182">
        <v>44221</v>
      </c>
      <c r="C7882" s="4">
        <v>1</v>
      </c>
      <c r="D7882" s="183">
        <f t="shared" si="611"/>
        <v>807</v>
      </c>
      <c r="F7882" s="57">
        <f t="shared" si="612"/>
        <v>6</v>
      </c>
      <c r="G7882" s="251">
        <f>SUM(C7882,C7858,C7834,C7810,C7786,C7762,C7738,C7714,C7690,C7666,C7642,C7618,C7594,C7570)/POBLA!$B$9*100000</f>
        <v>81.792089465674593</v>
      </c>
      <c r="H7882" s="239">
        <f t="shared" si="610"/>
        <v>5.4395604395604398</v>
      </c>
      <c r="I7882" s="236"/>
    </row>
    <row r="7883" spans="1:9" ht="16.5" thickTop="1" thickBot="1" x14ac:dyDescent="0.3">
      <c r="A7883" s="42" t="s">
        <v>33</v>
      </c>
      <c r="B7883" s="182">
        <v>44221</v>
      </c>
      <c r="C7883" s="4">
        <v>7</v>
      </c>
      <c r="D7883" s="183">
        <f t="shared" si="611"/>
        <v>19100</v>
      </c>
      <c r="F7883" s="57">
        <f t="shared" si="612"/>
        <v>866</v>
      </c>
      <c r="G7883" s="251">
        <f>SUM(C7883,C7859,C7835,C7811,C7787,C7763,C7739,C7715,C7691,C7667,C7643,C7619,C7595,C7571)/POBLA!$B$10*100000</f>
        <v>51.499518083854703</v>
      </c>
      <c r="H7883" s="239">
        <f t="shared" si="610"/>
        <v>2.0463917525773194</v>
      </c>
      <c r="I7883" s="237"/>
    </row>
    <row r="7884" spans="1:9" ht="16.5" thickTop="1" thickBot="1" x14ac:dyDescent="0.3">
      <c r="A7884" s="42" t="s">
        <v>34</v>
      </c>
      <c r="B7884" s="182">
        <v>44221</v>
      </c>
      <c r="C7884" s="4">
        <v>101</v>
      </c>
      <c r="D7884" s="183">
        <f t="shared" si="611"/>
        <v>15894</v>
      </c>
      <c r="E7884" s="4">
        <v>12</v>
      </c>
      <c r="F7884" s="57">
        <f t="shared" si="612"/>
        <v>223</v>
      </c>
      <c r="G7884" s="251">
        <f>SUM(C7884,C7860,C7836,C7812,C7788,C7764,C7740,C7716,C7692,C7668,C7644,C7620,C7596,C7572)/POBLA!$B$11*100000</f>
        <v>611.28036872119367</v>
      </c>
      <c r="H7884" s="239">
        <f t="shared" si="610"/>
        <v>0.57825283716020059</v>
      </c>
      <c r="I7884" s="237"/>
    </row>
    <row r="7885" spans="1:9" ht="16.5" thickTop="1" thickBot="1" x14ac:dyDescent="0.3">
      <c r="A7885" s="42" t="s">
        <v>22</v>
      </c>
      <c r="B7885" s="182">
        <v>44221</v>
      </c>
      <c r="C7885" s="4">
        <v>3</v>
      </c>
      <c r="D7885" s="183">
        <f t="shared" si="611"/>
        <v>9441</v>
      </c>
      <c r="E7885" s="4">
        <v>1</v>
      </c>
      <c r="F7885" s="57">
        <f t="shared" si="612"/>
        <v>405</v>
      </c>
      <c r="G7885" s="251">
        <f>SUM(C7885,C7861,C7837,C7813,C7789,C7765,C7741,C7717,C7693,C7669,C7645,C7621,C7597,C7573)/POBLA!$B$12*100000</f>
        <v>54.379451682332522</v>
      </c>
      <c r="H7885" s="239">
        <f t="shared" si="610"/>
        <v>1.3806451612903226</v>
      </c>
      <c r="I7885" s="236"/>
    </row>
    <row r="7886" spans="1:9" ht="16.5" thickTop="1" thickBot="1" x14ac:dyDescent="0.3">
      <c r="A7886" s="42" t="s">
        <v>18</v>
      </c>
      <c r="B7886" s="182">
        <v>44221</v>
      </c>
      <c r="C7886" s="4">
        <v>55</v>
      </c>
      <c r="D7886" s="183">
        <f t="shared" si="611"/>
        <v>63210</v>
      </c>
      <c r="E7886" s="4">
        <v>3</v>
      </c>
      <c r="F7886" s="57">
        <f t="shared" si="612"/>
        <v>1320</v>
      </c>
      <c r="G7886" s="251">
        <f>SUM(C7886,C7862,C7838,C7814,C7790,C7766,C7742,C7718,C7694,C7670,C7646,C7622,C7598,C7574)/POBLA!$B$13*100000</f>
        <v>91.190541506015563</v>
      </c>
      <c r="H7886" s="239">
        <f t="shared" si="610"/>
        <v>1.0620245757753073</v>
      </c>
      <c r="I7886" s="235"/>
    </row>
    <row r="7887" spans="1:9" ht="16.5" thickTop="1" thickBot="1" x14ac:dyDescent="0.3">
      <c r="A7887" s="42" t="s">
        <v>24</v>
      </c>
      <c r="B7887" s="182">
        <v>44221</v>
      </c>
      <c r="C7887" s="4">
        <v>145</v>
      </c>
      <c r="D7887" s="183">
        <f t="shared" si="611"/>
        <v>3612</v>
      </c>
      <c r="F7887" s="57">
        <f t="shared" si="612"/>
        <v>64</v>
      </c>
      <c r="G7887" s="251">
        <f>SUM(C7887,C7863,C7839,C7815,C7791,C7767,C7743,C7719,C7695,C7671,C7647,C7623,C7599,C7575)/POBLA!$B$14*100000</f>
        <v>169.82559181285251</v>
      </c>
      <c r="H7887" s="239">
        <f t="shared" si="610"/>
        <v>4.6973684210526319</v>
      </c>
      <c r="I7887" s="236"/>
    </row>
    <row r="7888" spans="1:9" ht="16.5" thickTop="1" thickBot="1" x14ac:dyDescent="0.3">
      <c r="A7888" s="42" t="s">
        <v>20</v>
      </c>
      <c r="B7888" s="182">
        <v>44221</v>
      </c>
      <c r="C7888" s="4">
        <v>552</v>
      </c>
      <c r="D7888" s="183">
        <f t="shared" si="611"/>
        <v>51537</v>
      </c>
      <c r="E7888" s="4">
        <v>2</v>
      </c>
      <c r="F7888" s="57">
        <f t="shared" si="612"/>
        <v>763</v>
      </c>
      <c r="G7888" s="251">
        <f>SUM(C7888,C7864,C7840,C7816,C7792,C7768,C7744,C7720,C7696,C7672,C7648,C7624,C7600,C7576)/POBLA!$B$15*100000</f>
        <v>900.82628449063861</v>
      </c>
      <c r="H7888" s="239">
        <f t="shared" si="610"/>
        <v>0.99966577540106949</v>
      </c>
      <c r="I7888" s="235"/>
    </row>
    <row r="7889" spans="1:12" ht="16.5" thickTop="1" thickBot="1" x14ac:dyDescent="0.3">
      <c r="A7889" s="42" t="s">
        <v>19</v>
      </c>
      <c r="B7889" s="182">
        <v>44221</v>
      </c>
      <c r="C7889" s="4">
        <v>255</v>
      </c>
      <c r="D7889" s="183">
        <f t="shared" si="611"/>
        <v>46233</v>
      </c>
      <c r="E7889" s="4">
        <v>4</v>
      </c>
      <c r="F7889" s="57">
        <f t="shared" si="612"/>
        <v>1037</v>
      </c>
      <c r="G7889" s="251">
        <f>SUM(C7889,C7865,C7841,C7817,C7793,C7769,C7745,C7721,C7697,C7673,C7649,C7625,C7601,C7577)/POBLA!$B$16*100000</f>
        <v>588.40839475127416</v>
      </c>
      <c r="H7889" s="239">
        <f t="shared" si="610"/>
        <v>1.0244527247321844</v>
      </c>
      <c r="I7889" s="237"/>
    </row>
    <row r="7890" spans="1:12" ht="16.5" thickTop="1" thickBot="1" x14ac:dyDescent="0.3">
      <c r="A7890" s="42" t="s">
        <v>35</v>
      </c>
      <c r="B7890" s="182">
        <v>44221</v>
      </c>
      <c r="C7890" s="4">
        <v>22</v>
      </c>
      <c r="D7890" s="183">
        <f t="shared" si="611"/>
        <v>23464</v>
      </c>
      <c r="E7890" s="4">
        <v>1</v>
      </c>
      <c r="F7890" s="57">
        <f t="shared" si="612"/>
        <v>1034</v>
      </c>
      <c r="G7890" s="251">
        <f>SUM(C7890,C7866,C7842,C7818,C7794,C7770,C7746,C7722,C7698,C7674,C7650,C7626,C7602,C7578)/POBLA!$B$17*100000</f>
        <v>49.494628253218735</v>
      </c>
      <c r="H7890" s="239">
        <f t="shared" si="610"/>
        <v>1.298342541436464</v>
      </c>
      <c r="I7890" s="237"/>
    </row>
    <row r="7891" spans="1:12" ht="16.5" thickTop="1" thickBot="1" x14ac:dyDescent="0.3">
      <c r="A7891" s="42" t="s">
        <v>36</v>
      </c>
      <c r="B7891" s="182">
        <v>44221</v>
      </c>
      <c r="C7891" s="4">
        <v>80</v>
      </c>
      <c r="D7891" s="183">
        <f t="shared" si="611"/>
        <v>13625</v>
      </c>
      <c r="F7891" s="57">
        <f t="shared" si="612"/>
        <v>217</v>
      </c>
      <c r="G7891" s="251">
        <f>SUM(C7891,C7867,C7843,C7819,C7795,C7771,C7747,C7723,C7699,C7675,C7651,C7627,C7603,C7579)/POBLA!$B$18*100000</f>
        <v>148.10225583928664</v>
      </c>
      <c r="H7891" s="239">
        <f t="shared" si="610"/>
        <v>0.81593794076163606</v>
      </c>
      <c r="I7891" s="237"/>
    </row>
    <row r="7892" spans="1:12" ht="16.5" thickTop="1" thickBot="1" x14ac:dyDescent="0.3">
      <c r="A7892" s="42" t="s">
        <v>37</v>
      </c>
      <c r="B7892" s="182">
        <v>44221</v>
      </c>
      <c r="C7892" s="4">
        <v>300</v>
      </c>
      <c r="D7892" s="183">
        <f t="shared" si="611"/>
        <v>18753</v>
      </c>
      <c r="E7892" s="4">
        <v>7</v>
      </c>
      <c r="F7892" s="57">
        <f t="shared" si="612"/>
        <v>343</v>
      </c>
      <c r="G7892" s="251">
        <f>SUM(C7892,C7868,C7844,C7820,C7796,C7772,C7748,C7724,C7700,C7676,C7652,C7628,C7604,C7580)/POBLA!$B$19*100000</f>
        <v>420.98802348090214</v>
      </c>
      <c r="H7892" s="239">
        <f t="shared" si="610"/>
        <v>3.9122486288848264</v>
      </c>
      <c r="I7892" s="237"/>
    </row>
    <row r="7893" spans="1:12" ht="16.5" thickTop="1" thickBot="1" x14ac:dyDescent="0.3">
      <c r="A7893" s="42" t="s">
        <v>38</v>
      </c>
      <c r="B7893" s="182">
        <v>44221</v>
      </c>
      <c r="C7893" s="4">
        <v>167</v>
      </c>
      <c r="D7893" s="183">
        <f t="shared" si="611"/>
        <v>31645</v>
      </c>
      <c r="E7893" s="4">
        <v>1</v>
      </c>
      <c r="F7893" s="57">
        <f t="shared" si="612"/>
        <v>482</v>
      </c>
      <c r="G7893" s="251">
        <f>SUM(C7893,C7869,C7845,C7821,C7797,C7773,C7749,C7725,C7701,C7677,C7653,C7629,C7605,C7581)/POBLA!$B$20*100000</f>
        <v>1123.6047230228221</v>
      </c>
      <c r="H7893" s="239">
        <f t="shared" si="610"/>
        <v>0.81657392686804453</v>
      </c>
      <c r="I7893" s="237"/>
    </row>
    <row r="7894" spans="1:12" ht="16.5" thickTop="1" thickBot="1" x14ac:dyDescent="0.3">
      <c r="A7894" s="42" t="s">
        <v>23</v>
      </c>
      <c r="B7894" s="182">
        <v>44221</v>
      </c>
      <c r="C7894" s="4">
        <v>482</v>
      </c>
      <c r="D7894" s="183">
        <f t="shared" si="611"/>
        <v>202107</v>
      </c>
      <c r="E7894" s="4">
        <v>32</v>
      </c>
      <c r="F7894" s="57">
        <f t="shared" si="612"/>
        <v>3338</v>
      </c>
      <c r="G7894" s="251">
        <f>SUM(C7894,C7870,C7846,C7822,C7798,C7774,C7750,C7726,C7702,C7678,C7654,C7630,C7606,C7582)/POBLA!$B$21*100000</f>
        <v>412.76229224034034</v>
      </c>
      <c r="H7894" s="239">
        <f t="shared" si="610"/>
        <v>0.97170816136333382</v>
      </c>
      <c r="I7894" s="235"/>
    </row>
    <row r="7895" spans="1:12" ht="16.5" thickTop="1" thickBot="1" x14ac:dyDescent="0.3">
      <c r="A7895" s="42" t="s">
        <v>39</v>
      </c>
      <c r="B7895" s="182">
        <v>44221</v>
      </c>
      <c r="C7895" s="4">
        <v>84</v>
      </c>
      <c r="D7895" s="183">
        <f t="shared" si="611"/>
        <v>20472</v>
      </c>
      <c r="F7895" s="57">
        <f t="shared" si="612"/>
        <v>246</v>
      </c>
      <c r="G7895" s="251">
        <f>SUM(C7895,C7871,C7847,C7823,C7799,C7775,C7751,C7727,C7703,C7679,C7655,C7631,C7607,C7583)/POBLA!$B$22*100000</f>
        <v>172.13304944327632</v>
      </c>
      <c r="H7895" s="239">
        <f t="shared" si="610"/>
        <v>1.0169082125603865</v>
      </c>
      <c r="I7895" s="237"/>
    </row>
    <row r="7896" spans="1:12" ht="16.5" thickTop="1" thickBot="1" x14ac:dyDescent="0.3">
      <c r="A7896" s="42" t="s">
        <v>40</v>
      </c>
      <c r="B7896" s="182">
        <v>44221</v>
      </c>
      <c r="C7896" s="4">
        <v>130</v>
      </c>
      <c r="D7896" s="183">
        <f t="shared" si="611"/>
        <v>21520</v>
      </c>
      <c r="E7896" s="4">
        <v>2</v>
      </c>
      <c r="F7896" s="57">
        <f t="shared" si="612"/>
        <v>324</v>
      </c>
      <c r="G7896" s="251">
        <f>SUM(C7896,C7872,C7848,C7824,C7800,C7776,C7752,C7728,C7704,C7680,C7656,C7632,C7608,C7584)/POBLA!$B$23*100000</f>
        <v>714.81083526550924</v>
      </c>
      <c r="H7896" s="239">
        <f t="shared" si="610"/>
        <v>0.86932599724896842</v>
      </c>
      <c r="I7896" s="237"/>
    </row>
    <row r="7897" spans="1:12" ht="16.5" thickTop="1" thickBot="1" x14ac:dyDescent="0.3">
      <c r="A7897" s="60" t="s">
        <v>41</v>
      </c>
      <c r="B7897" s="245">
        <v>44221</v>
      </c>
      <c r="C7897" s="30">
        <v>139</v>
      </c>
      <c r="D7897" s="246">
        <f t="shared" si="611"/>
        <v>75423</v>
      </c>
      <c r="E7897" s="30"/>
      <c r="F7897" s="100">
        <f t="shared" si="612"/>
        <v>1418</v>
      </c>
      <c r="G7897" s="251">
        <f>SUM(C7897,C7873,C7849,C7825,C7801,C7777,C7753,C7729,C7705,C7681,C7657,C7633,C7609,C7585)/POBLA!$B$24*100000</f>
        <v>137.13697647192114</v>
      </c>
      <c r="H7897" s="247">
        <f t="shared" si="610"/>
        <v>0.91785150078988942</v>
      </c>
      <c r="I7897" s="235"/>
    </row>
    <row r="7898" spans="1:12" ht="16.5" thickTop="1" thickBot="1" x14ac:dyDescent="0.3">
      <c r="A7898" s="45" t="s">
        <v>17</v>
      </c>
      <c r="B7898" s="248">
        <v>44222</v>
      </c>
      <c r="C7898" s="33">
        <v>4574</v>
      </c>
      <c r="D7898" s="249">
        <f t="shared" si="611"/>
        <v>785952</v>
      </c>
      <c r="E7898" s="33">
        <v>74</v>
      </c>
      <c r="F7898" s="250">
        <f>E7898+F7874</f>
        <v>24234</v>
      </c>
      <c r="G7898" s="251">
        <f>SUM(C7898,C7874,C7850,C7826,C7802,C7778,C7754,C7730,C7706,C7682,C7658,C7634,C7610,C7586)/POBLA!$B$1*100000</f>
        <v>315.88024975114217</v>
      </c>
      <c r="H7898" s="230">
        <f t="shared" si="610"/>
        <v>1.0026419123102257</v>
      </c>
      <c r="I7898" s="234"/>
      <c r="J7898" s="235"/>
    </row>
    <row r="7899" spans="1:12" ht="16.5" thickTop="1" thickBot="1" x14ac:dyDescent="0.3">
      <c r="A7899" s="105" t="s">
        <v>44</v>
      </c>
      <c r="B7899" s="182">
        <v>44222</v>
      </c>
      <c r="C7899" s="4">
        <v>1290</v>
      </c>
      <c r="D7899" s="183">
        <f t="shared" si="611"/>
        <v>204997</v>
      </c>
      <c r="E7899" s="4">
        <v>16</v>
      </c>
      <c r="F7899" s="57">
        <f t="shared" ref="F7899:F7921" si="613">E7899+F7875</f>
        <v>5845</v>
      </c>
      <c r="G7899" s="251">
        <f>SUM(C7899,C7875,C7851,C7827,C7803,C7779,C7755,C7731,C7707,C7683,C7659,C7635,C7611,C7587)/POBLA!$B$2*100000</f>
        <v>536.04998754733151</v>
      </c>
      <c r="H7899" s="252">
        <f t="shared" si="610"/>
        <v>1.0099852977211468</v>
      </c>
      <c r="I7899" s="234"/>
      <c r="J7899" s="235"/>
    </row>
    <row r="7900" spans="1:12" ht="16.5" thickTop="1" thickBot="1" x14ac:dyDescent="0.3">
      <c r="A7900" s="105" t="s">
        <v>29</v>
      </c>
      <c r="B7900" s="182">
        <v>44222</v>
      </c>
      <c r="C7900" s="4">
        <v>77</v>
      </c>
      <c r="D7900" s="183">
        <f t="shared" si="611"/>
        <v>4838</v>
      </c>
      <c r="F7900" s="57">
        <f t="shared" si="613"/>
        <v>17</v>
      </c>
      <c r="G7900" s="251">
        <f>SUM(C7900,C7876,C7852,C7828,C7804,C7780,C7756,C7732,C7708,C7684,C7660,C7636,C7612,C7588)/POBLA!$B$3*100000</f>
        <v>373.58161747360617</v>
      </c>
      <c r="H7900" s="252">
        <f t="shared" si="610"/>
        <v>2.3408748114630469</v>
      </c>
    </row>
    <row r="7901" spans="1:12" ht="15.75" thickBot="1" x14ac:dyDescent="0.3">
      <c r="A7901" s="105" t="s">
        <v>16</v>
      </c>
      <c r="B7901" s="182">
        <v>44222</v>
      </c>
      <c r="C7901" s="4">
        <v>177</v>
      </c>
      <c r="D7901" s="183">
        <f t="shared" si="611"/>
        <v>30067</v>
      </c>
      <c r="E7901" s="4">
        <v>6</v>
      </c>
      <c r="F7901" s="57">
        <f t="shared" si="613"/>
        <v>787</v>
      </c>
      <c r="G7901" s="251">
        <f>SUM(C7901,C7877,C7853,C7829,C7805,C7781,C7757,C7733,C7709,C7685,C7661,C7637,C7613,C7589)/POBLA!$B$4*100000</f>
        <v>225.56309830881639</v>
      </c>
      <c r="H7901" s="252">
        <f t="shared" si="610"/>
        <v>0.88328998699609884</v>
      </c>
      <c r="I7901" s="234"/>
      <c r="J7901" s="236"/>
    </row>
    <row r="7902" spans="1:12" ht="16.5" thickTop="1" thickBot="1" x14ac:dyDescent="0.3">
      <c r="A7902" s="105" t="s">
        <v>30</v>
      </c>
      <c r="B7902" s="182">
        <v>44222</v>
      </c>
      <c r="C7902" s="4">
        <v>320</v>
      </c>
      <c r="D7902" s="183">
        <f t="shared" si="611"/>
        <v>40880</v>
      </c>
      <c r="E7902" s="4">
        <v>11</v>
      </c>
      <c r="F7902" s="57">
        <f t="shared" si="613"/>
        <v>616</v>
      </c>
      <c r="G7902" s="251">
        <f>SUM(C7902,C7878,C7854,C7830,C7806,C7782,C7758,C7734,C7710,C7686,C7662,C7638,C7614,C7590)/POBLA!$B$5*100000</f>
        <v>719.39307973906045</v>
      </c>
      <c r="H7902" s="252">
        <f t="shared" si="610"/>
        <v>0.81125888139916191</v>
      </c>
      <c r="I7902" s="234"/>
      <c r="J7902" s="237"/>
      <c r="L7902" s="62"/>
    </row>
    <row r="7903" spans="1:12" ht="16.5" thickTop="1" thickBot="1" x14ac:dyDescent="0.3">
      <c r="A7903" s="105" t="s">
        <v>31</v>
      </c>
      <c r="B7903" s="182">
        <v>44222</v>
      </c>
      <c r="C7903" s="4">
        <v>167</v>
      </c>
      <c r="D7903" s="183">
        <f t="shared" si="611"/>
        <v>16630</v>
      </c>
      <c r="E7903" s="4">
        <v>3</v>
      </c>
      <c r="F7903" s="57">
        <f t="shared" si="613"/>
        <v>2569</v>
      </c>
      <c r="G7903" s="251">
        <f>SUM(C7903,C7879,C7855,C7831,C7807,C7783,C7759,C7735,C7711,C7687,C7663,C7639,C7615,C7591)/POBLA!$B$7*100000</f>
        <v>113.60342512199337</v>
      </c>
      <c r="H7903" s="252">
        <f>SUM(C7903,C7879,C7855,C7831,C7807,C7783,C7759,C7735,C7711,C7687,C7663,C7639,C7615,C7591)/SUM(C7567,C7543,C7519,C7495,C7472,C7448,C7424,C7400,C7376,C7352,C7328,C7304,C7280,C7256)</f>
        <v>1.1401120896717374</v>
      </c>
      <c r="I7903" s="234"/>
      <c r="J7903" s="237"/>
      <c r="L7903" s="62"/>
    </row>
    <row r="7904" spans="1:12" ht="16.5" thickTop="1" thickBot="1" x14ac:dyDescent="0.3">
      <c r="A7904" s="105" t="s">
        <v>21</v>
      </c>
      <c r="B7904" s="182">
        <v>44222</v>
      </c>
      <c r="C7904" s="4">
        <v>662</v>
      </c>
      <c r="D7904" s="183">
        <f t="shared" si="611"/>
        <v>142486</v>
      </c>
      <c r="E7904" s="4">
        <v>7</v>
      </c>
      <c r="F7904" s="57">
        <f t="shared" si="613"/>
        <v>259</v>
      </c>
      <c r="G7904" s="251">
        <f>SUM(C7904,C7880,C7856,C7832,C7808,C7784,C7760,C7736,C7712,C7688,C7664,C7640,C7616,C7592)/POBLA!$B$6*100000</f>
        <v>538.09730719369452</v>
      </c>
      <c r="H7904" s="252">
        <f>SUM(C7904,C7880,C7856,C7832,C7808,C7784,C7760,C7736,C7712,C7688,C7664,C7640,C7616,C7592)/SUM(C7568,C7544,C7520,C7496,C7471,C7447,C7423,C7399,C7375,C7351,C7327,C7303,C7279,C7255)</f>
        <v>0.84586255259467036</v>
      </c>
      <c r="I7904" s="234"/>
      <c r="J7904" s="237"/>
      <c r="L7904" s="62"/>
    </row>
    <row r="7905" spans="1:12" ht="16.5" thickTop="1" thickBot="1" x14ac:dyDescent="0.3">
      <c r="A7905" s="105" t="s">
        <v>32</v>
      </c>
      <c r="B7905" s="182">
        <v>44222</v>
      </c>
      <c r="C7905" s="4">
        <v>332</v>
      </c>
      <c r="D7905" s="183">
        <f t="shared" si="611"/>
        <v>39707</v>
      </c>
      <c r="E7905" s="4">
        <v>14</v>
      </c>
      <c r="F7905" s="57">
        <f t="shared" si="613"/>
        <v>694</v>
      </c>
      <c r="G7905" s="251">
        <f>SUM(C7905,C7881,C7857,C7833,C7809,C7785,C7761,C7737,C7713,C7689,C7665,C7641,C7617,C7593)/POBLA!$B$8*100000</f>
        <v>396.98086742700553</v>
      </c>
      <c r="H7905" s="252">
        <f t="shared" ref="H7905:H7926" si="614">SUM(C7905,C7881,C7857,C7833,C7809,C7785,C7761,C7737,C7713,C7689,C7665,C7641,C7617,C7593)/SUM(C7569,C7545,C7521,C7497,C7473,C7449,C7425,C7401,C7377,C7353,C7329,C7305,C7281,C7257)</f>
        <v>0.97865528281750269</v>
      </c>
      <c r="I7905" s="234"/>
      <c r="J7905" s="235"/>
      <c r="L7905" s="62"/>
    </row>
    <row r="7906" spans="1:12" ht="16.5" thickTop="1" thickBot="1" x14ac:dyDescent="0.3">
      <c r="A7906" s="105" t="s">
        <v>42</v>
      </c>
      <c r="B7906" s="182">
        <v>44222</v>
      </c>
      <c r="C7906" s="4">
        <v>7</v>
      </c>
      <c r="D7906" s="183">
        <f t="shared" ref="D7906:D7937" si="615">C7906+D7882</f>
        <v>814</v>
      </c>
      <c r="F7906" s="57">
        <f t="shared" si="613"/>
        <v>6</v>
      </c>
      <c r="G7906" s="251">
        <f>SUM(C7906,C7882,C7858,C7834,C7810,C7786,C7762,C7738,C7714,C7690,C7666,C7642,C7618,C7594)/POBLA!$B$9*100000</f>
        <v>73.199789158169381</v>
      </c>
      <c r="H7906" s="252">
        <f t="shared" si="614"/>
        <v>2.7861635220125787</v>
      </c>
      <c r="L7906" s="62"/>
    </row>
    <row r="7907" spans="1:12" ht="15.75" thickBot="1" x14ac:dyDescent="0.3">
      <c r="A7907" s="105" t="s">
        <v>33</v>
      </c>
      <c r="B7907" s="182">
        <v>44222</v>
      </c>
      <c r="C7907" s="4">
        <v>57</v>
      </c>
      <c r="D7907" s="183">
        <f t="shared" si="615"/>
        <v>19157</v>
      </c>
      <c r="F7907" s="57">
        <f t="shared" si="613"/>
        <v>866</v>
      </c>
      <c r="G7907" s="251">
        <f>SUM(C7907,C7883,C7859,C7835,C7811,C7787,C7763,C7739,C7715,C7691,C7667,C7643,C7619,C7595)/POBLA!$B$10*100000</f>
        <v>56.818108112665897</v>
      </c>
      <c r="H7907" s="252">
        <f t="shared" si="614"/>
        <v>2.2346938775510203</v>
      </c>
      <c r="L7907" s="62"/>
    </row>
    <row r="7908" spans="1:12" ht="15.75" thickBot="1" x14ac:dyDescent="0.3">
      <c r="A7908" s="105" t="s">
        <v>34</v>
      </c>
      <c r="B7908" s="182">
        <v>44222</v>
      </c>
      <c r="C7908" s="4">
        <v>96</v>
      </c>
      <c r="D7908" s="183">
        <f t="shared" si="615"/>
        <v>15990</v>
      </c>
      <c r="E7908" s="4">
        <v>15</v>
      </c>
      <c r="F7908" s="57">
        <f t="shared" si="613"/>
        <v>238</v>
      </c>
      <c r="G7908" s="251">
        <f>SUM(C7908,C7884,C7860,C7836,C7812,C7788,C7764,C7740,C7716,C7692,C7668,C7644,C7620,C7596)/POBLA!$B$11*100000</f>
        <v>539.85737721383373</v>
      </c>
      <c r="H7908" s="252">
        <f t="shared" si="614"/>
        <v>0.5056179775280899</v>
      </c>
      <c r="I7908" s="234"/>
      <c r="J7908" s="237"/>
      <c r="L7908" s="62"/>
    </row>
    <row r="7909" spans="1:12" ht="16.5" thickTop="1" thickBot="1" x14ac:dyDescent="0.3">
      <c r="A7909" s="105" t="s">
        <v>22</v>
      </c>
      <c r="B7909" s="182">
        <v>44222</v>
      </c>
      <c r="C7909" s="4">
        <v>11</v>
      </c>
      <c r="D7909" s="183">
        <f t="shared" si="615"/>
        <v>9452</v>
      </c>
      <c r="F7909" s="57">
        <f t="shared" si="613"/>
        <v>405</v>
      </c>
      <c r="G7909" s="251">
        <f>SUM(C7909,C7885,C7861,C7837,C7813,C7789,C7765,C7741,C7717,C7693,C7669,C7645,C7621,C7597)/POBLA!$B$12*100000</f>
        <v>54.887670856933767</v>
      </c>
      <c r="H7909" s="252">
        <f t="shared" si="614"/>
        <v>1.3416149068322982</v>
      </c>
      <c r="L7909" s="62"/>
    </row>
    <row r="7910" spans="1:12" ht="15.75" thickBot="1" x14ac:dyDescent="0.3">
      <c r="A7910" s="105" t="s">
        <v>18</v>
      </c>
      <c r="B7910" s="182">
        <v>44222</v>
      </c>
      <c r="C7910" s="4">
        <v>112</v>
      </c>
      <c r="D7910" s="183">
        <f t="shared" si="615"/>
        <v>63322</v>
      </c>
      <c r="E7910" s="4">
        <v>5</v>
      </c>
      <c r="F7910" s="57">
        <f t="shared" si="613"/>
        <v>1325</v>
      </c>
      <c r="G7910" s="251">
        <f>SUM(C7910,C7886,C7862,C7838,C7814,C7790,C7766,C7742,C7718,C7694,C7670,C7646,C7622,C7598)/POBLA!$B$13*100000</f>
        <v>86.970152808216497</v>
      </c>
      <c r="H7910" s="252">
        <f t="shared" si="614"/>
        <v>0.99254587155963303</v>
      </c>
      <c r="I7910" s="234"/>
      <c r="J7910" s="236"/>
      <c r="L7910" s="62"/>
    </row>
    <row r="7911" spans="1:12" ht="16.5" thickTop="1" thickBot="1" x14ac:dyDescent="0.3">
      <c r="A7911" s="105" t="s">
        <v>24</v>
      </c>
      <c r="B7911" s="182">
        <v>44222</v>
      </c>
      <c r="C7911" s="4">
        <v>169</v>
      </c>
      <c r="D7911" s="183">
        <f t="shared" si="615"/>
        <v>3781</v>
      </c>
      <c r="E7911" s="4">
        <v>5</v>
      </c>
      <c r="F7911" s="57">
        <f t="shared" si="613"/>
        <v>69</v>
      </c>
      <c r="G7911" s="251">
        <f>SUM(C7911,C7887,C7863,C7839,C7815,C7791,C7767,C7743,C7719,C7695,C7671,C7647,C7623,C7599)/POBLA!$B$14*100000</f>
        <v>179.26034691356654</v>
      </c>
      <c r="H7911" s="252">
        <f t="shared" si="614"/>
        <v>4.75</v>
      </c>
      <c r="I7911" s="234"/>
      <c r="J7911" s="237"/>
      <c r="L7911" s="62"/>
    </row>
    <row r="7912" spans="1:12" ht="16.5" thickTop="1" thickBot="1" x14ac:dyDescent="0.3">
      <c r="A7912" s="105" t="s">
        <v>20</v>
      </c>
      <c r="B7912" s="182">
        <v>44222</v>
      </c>
      <c r="C7912" s="4">
        <v>506</v>
      </c>
      <c r="D7912" s="183">
        <f t="shared" si="615"/>
        <v>52043</v>
      </c>
      <c r="E7912" s="4">
        <v>3</v>
      </c>
      <c r="F7912" s="57">
        <f t="shared" si="613"/>
        <v>766</v>
      </c>
      <c r="G7912" s="251">
        <f>SUM(C7912,C7888,C7864,C7840,C7816,C7792,C7768,C7744,C7720,C7696,C7672,C7648,C7624,C7600)/POBLA!$B$15*100000</f>
        <v>879.5931674539986</v>
      </c>
      <c r="H7912" s="252">
        <f t="shared" si="614"/>
        <v>0.96179812283879462</v>
      </c>
      <c r="I7912" s="234"/>
      <c r="J7912" s="237"/>
      <c r="L7912" s="62"/>
    </row>
    <row r="7913" spans="1:12" ht="16.5" thickTop="1" thickBot="1" x14ac:dyDescent="0.3">
      <c r="A7913" s="105" t="s">
        <v>19</v>
      </c>
      <c r="B7913" s="182">
        <v>44222</v>
      </c>
      <c r="C7913" s="4">
        <v>393</v>
      </c>
      <c r="D7913" s="183">
        <f t="shared" si="615"/>
        <v>46626</v>
      </c>
      <c r="E7913" s="4">
        <v>4</v>
      </c>
      <c r="F7913" s="57">
        <f t="shared" si="613"/>
        <v>1041</v>
      </c>
      <c r="G7913" s="251">
        <f>SUM(C7913,C7889,C7865,C7841,C7817,C7793,C7769,C7745,C7721,C7697,C7673,C7649,C7625,C7601)/POBLA!$B$16*100000</f>
        <v>585.73320314067496</v>
      </c>
      <c r="H7913" s="252">
        <f t="shared" si="614"/>
        <v>1.0136574074074074</v>
      </c>
      <c r="I7913" s="234"/>
      <c r="J7913" s="236"/>
      <c r="L7913" s="62"/>
    </row>
    <row r="7914" spans="1:12" ht="16.5" thickTop="1" thickBot="1" x14ac:dyDescent="0.3">
      <c r="A7914" s="105" t="s">
        <v>35</v>
      </c>
      <c r="B7914" s="182">
        <v>44222</v>
      </c>
      <c r="C7914" s="4">
        <v>66</v>
      </c>
      <c r="D7914" s="183">
        <f t="shared" si="615"/>
        <v>23530</v>
      </c>
      <c r="E7914" s="4">
        <v>2</v>
      </c>
      <c r="F7914" s="57">
        <f t="shared" si="613"/>
        <v>1036</v>
      </c>
      <c r="G7914" s="251">
        <f>SUM(C7914,C7890,C7866,C7842,C7818,C7794,C7770,C7746,C7722,C7698,C7674,C7650,C7626,C7602)/POBLA!$B$17*100000</f>
        <v>51.530577500514248</v>
      </c>
      <c r="H7914" s="252">
        <f t="shared" si="614"/>
        <v>1.3592592592592592</v>
      </c>
      <c r="I7914" s="234"/>
      <c r="J7914" s="235"/>
      <c r="L7914" s="62"/>
    </row>
    <row r="7915" spans="1:12" ht="16.5" thickTop="1" thickBot="1" x14ac:dyDescent="0.3">
      <c r="A7915" s="105" t="s">
        <v>36</v>
      </c>
      <c r="B7915" s="182">
        <v>44222</v>
      </c>
      <c r="C7915" s="4">
        <v>78</v>
      </c>
      <c r="D7915" s="183">
        <f t="shared" si="615"/>
        <v>13703</v>
      </c>
      <c r="F7915" s="57">
        <f t="shared" si="613"/>
        <v>217</v>
      </c>
      <c r="G7915" s="251">
        <f>SUM(C7915,C7891,C7867,C7843,C7819,C7795,C7771,C7747,C7723,C7699,C7675,C7651,C7627,C7603)/POBLA!$B$18*100000</f>
        <v>131.46155293599602</v>
      </c>
      <c r="H7915" s="252">
        <f t="shared" si="614"/>
        <v>0.77744133232399693</v>
      </c>
      <c r="L7915" s="62"/>
    </row>
    <row r="7916" spans="1:12" ht="15.75" thickBot="1" x14ac:dyDescent="0.3">
      <c r="A7916" s="105" t="s">
        <v>37</v>
      </c>
      <c r="B7916" s="182">
        <v>44222</v>
      </c>
      <c r="C7916" s="4">
        <v>45</v>
      </c>
      <c r="D7916" s="183">
        <f t="shared" si="615"/>
        <v>18798</v>
      </c>
      <c r="E7916" s="4">
        <v>1</v>
      </c>
      <c r="F7916" s="57">
        <f t="shared" si="613"/>
        <v>344</v>
      </c>
      <c r="G7916" s="251">
        <f>SUM(C7916,C7892,C7868,C7844,C7820,C7796,C7772,C7748,C7724,C7700,C7676,C7652,C7628,C7604)/POBLA!$B$19*100000</f>
        <v>419.80768322815192</v>
      </c>
      <c r="H7916" s="252">
        <f t="shared" si="614"/>
        <v>3.9300184162062615</v>
      </c>
      <c r="I7916" s="234"/>
      <c r="J7916" s="236"/>
      <c r="L7916" s="62"/>
    </row>
    <row r="7917" spans="1:12" ht="16.5" thickTop="1" thickBot="1" x14ac:dyDescent="0.3">
      <c r="A7917" s="105" t="s">
        <v>38</v>
      </c>
      <c r="B7917" s="182">
        <v>44222</v>
      </c>
      <c r="C7917" s="4">
        <v>181</v>
      </c>
      <c r="D7917" s="183">
        <f t="shared" si="615"/>
        <v>31826</v>
      </c>
      <c r="E7917" s="4">
        <v>6</v>
      </c>
      <c r="F7917" s="57">
        <f t="shared" si="613"/>
        <v>488</v>
      </c>
      <c r="G7917" s="251">
        <f>SUM(C7917,C7893,C7869,C7845,C7821,C7797,C7773,C7749,C7725,C7701,C7677,C7653,C7629,C7605)/POBLA!$B$20*100000</f>
        <v>1065.6333914869647</v>
      </c>
      <c r="H7917" s="252">
        <f t="shared" si="614"/>
        <v>0.77505966587112174</v>
      </c>
      <c r="I7917" s="234"/>
      <c r="J7917" s="235"/>
      <c r="L7917" s="62"/>
    </row>
    <row r="7918" spans="1:12" ht="16.5" thickTop="1" thickBot="1" x14ac:dyDescent="0.3">
      <c r="A7918" s="105" t="s">
        <v>23</v>
      </c>
      <c r="B7918" s="182">
        <v>44222</v>
      </c>
      <c r="C7918" s="4">
        <v>770</v>
      </c>
      <c r="D7918" s="183">
        <f t="shared" si="615"/>
        <v>202877</v>
      </c>
      <c r="E7918" s="4">
        <v>43</v>
      </c>
      <c r="F7918" s="57">
        <f t="shared" si="613"/>
        <v>3381</v>
      </c>
      <c r="G7918" s="251">
        <f>SUM(C7918,C7894,C7870,C7846,C7822,C7798,C7774,C7750,C7726,C7702,C7678,C7654,C7630,C7606)/POBLA!$B$21*100000</f>
        <v>393.98623126564786</v>
      </c>
      <c r="H7918" s="252">
        <f t="shared" si="614"/>
        <v>0.91483913328956012</v>
      </c>
      <c r="I7918" s="234"/>
      <c r="J7918" s="237"/>
      <c r="L7918" s="62"/>
    </row>
    <row r="7919" spans="1:12" ht="16.5" thickTop="1" thickBot="1" x14ac:dyDescent="0.3">
      <c r="A7919" s="105" t="s">
        <v>39</v>
      </c>
      <c r="B7919" s="182">
        <v>44222</v>
      </c>
      <c r="C7919" s="4">
        <v>79</v>
      </c>
      <c r="D7919" s="183">
        <f t="shared" si="615"/>
        <v>20551</v>
      </c>
      <c r="E7919" s="4">
        <v>1</v>
      </c>
      <c r="F7919" s="57">
        <f t="shared" si="613"/>
        <v>247</v>
      </c>
      <c r="G7919" s="251">
        <f>SUM(C7919,C7895,C7871,C7847,C7823,C7799,C7775,C7751,C7727,C7703,C7679,C7655,C7631,C7607)/POBLA!$B$22*100000</f>
        <v>170.08871393919941</v>
      </c>
      <c r="H7919" s="252">
        <f t="shared" si="614"/>
        <v>0.99047619047619051</v>
      </c>
      <c r="I7919" s="234"/>
      <c r="J7919" s="237"/>
      <c r="L7919" s="62"/>
    </row>
    <row r="7920" spans="1:12" ht="16.5" thickTop="1" thickBot="1" x14ac:dyDescent="0.3">
      <c r="A7920" s="105" t="s">
        <v>40</v>
      </c>
      <c r="B7920" s="182">
        <v>44222</v>
      </c>
      <c r="C7920" s="4">
        <v>52</v>
      </c>
      <c r="D7920" s="183">
        <f t="shared" si="615"/>
        <v>21572</v>
      </c>
      <c r="F7920" s="57">
        <f t="shared" si="613"/>
        <v>324</v>
      </c>
      <c r="G7920" s="251">
        <f>SUM(C7920,C7896,C7872,C7848,C7824,C7800,C7776,C7752,C7728,C7704,C7680,C7656,C7632,C7608)/POBLA!$B$23*100000</f>
        <v>664.48000904823834</v>
      </c>
      <c r="H7920" s="252">
        <f t="shared" si="614"/>
        <v>0.81824512534818938</v>
      </c>
      <c r="L7920" s="62"/>
    </row>
    <row r="7921" spans="1:12" ht="15.75" thickBot="1" x14ac:dyDescent="0.3">
      <c r="A7921" s="106" t="s">
        <v>41</v>
      </c>
      <c r="B7921" s="253">
        <v>44222</v>
      </c>
      <c r="C7921" s="37">
        <v>188</v>
      </c>
      <c r="D7921" s="254">
        <f t="shared" si="615"/>
        <v>75611</v>
      </c>
      <c r="E7921" s="37">
        <v>3</v>
      </c>
      <c r="F7921" s="255">
        <f t="shared" si="613"/>
        <v>1421</v>
      </c>
      <c r="G7921" s="251">
        <f>SUM(C7921,C7897,C7873,C7849,C7825,C7801,C7777,C7753,C7729,C7705,C7681,C7657,C7633,C7609)/POBLA!$B$24*100000</f>
        <v>134.24553419691077</v>
      </c>
      <c r="H7921" s="257">
        <f t="shared" si="614"/>
        <v>0.91255515443241075</v>
      </c>
      <c r="I7921" s="234"/>
      <c r="J7921" s="237"/>
      <c r="L7921" s="62"/>
    </row>
    <row r="7922" spans="1:12" ht="15.75" thickBot="1" x14ac:dyDescent="0.3">
      <c r="A7922" s="45" t="s">
        <v>17</v>
      </c>
      <c r="B7922" s="253">
        <v>44223</v>
      </c>
      <c r="C7922" s="31">
        <v>4445</v>
      </c>
      <c r="D7922" s="249">
        <f t="shared" si="615"/>
        <v>790397</v>
      </c>
      <c r="E7922" s="31">
        <v>44</v>
      </c>
      <c r="F7922" s="250">
        <f>E7922+F7898</f>
        <v>24278</v>
      </c>
      <c r="G7922" s="251">
        <f>SUM(C7922,C7898,C7874,C7850,C7826,C7802,C7778,C7754,C7730,C7706,C7682,C7658,C7634,C7610)/POBLA!$B$1*100000</f>
        <v>313.52008401277891</v>
      </c>
      <c r="H7922" s="230">
        <f t="shared" si="614"/>
        <v>0.99338884774480229</v>
      </c>
    </row>
    <row r="7923" spans="1:12" ht="15.75" thickBot="1" x14ac:dyDescent="0.3">
      <c r="A7923" s="105" t="s">
        <v>44</v>
      </c>
      <c r="B7923" s="253">
        <v>44223</v>
      </c>
      <c r="C7923" s="4">
        <v>1247</v>
      </c>
      <c r="D7923" s="183">
        <f t="shared" si="615"/>
        <v>206244</v>
      </c>
      <c r="E7923" s="4">
        <v>25</v>
      </c>
      <c r="F7923" s="57">
        <f t="shared" ref="F7923:F7945" si="616">E7923+F7899</f>
        <v>5870</v>
      </c>
      <c r="G7923" s="251">
        <f>SUM(C7923,C7899,C7875,C7851,C7827,C7803,C7779,C7755,C7731,C7707,C7683,C7659,C7635,C7611)/POBLA!$B$2*100000</f>
        <v>537.44806782054889</v>
      </c>
      <c r="H7923" s="252">
        <f t="shared" si="614"/>
        <v>1.0047410649161197</v>
      </c>
    </row>
    <row r="7924" spans="1:12" ht="15.75" thickBot="1" x14ac:dyDescent="0.3">
      <c r="A7924" s="105" t="s">
        <v>29</v>
      </c>
      <c r="B7924" s="253">
        <v>44223</v>
      </c>
      <c r="C7924" s="4">
        <v>116</v>
      </c>
      <c r="D7924" s="183">
        <f t="shared" si="615"/>
        <v>4954</v>
      </c>
      <c r="F7924" s="57">
        <f t="shared" si="616"/>
        <v>17</v>
      </c>
      <c r="G7924" s="251">
        <f>SUM(C7924,C7900,C7876,C7852,C7828,C7804,C7780,C7756,C7732,C7708,C7684,C7660,C7636,C7612)/POBLA!$B$3*100000</f>
        <v>384.65426850697338</v>
      </c>
      <c r="H7924" s="252">
        <f t="shared" si="614"/>
        <v>2.3815201192250375</v>
      </c>
    </row>
    <row r="7925" spans="1:12" ht="15.75" thickBot="1" x14ac:dyDescent="0.3">
      <c r="A7925" s="105" t="s">
        <v>16</v>
      </c>
      <c r="B7925" s="253">
        <v>44223</v>
      </c>
      <c r="C7925" s="4">
        <v>146</v>
      </c>
      <c r="D7925" s="183">
        <f t="shared" si="615"/>
        <v>30213</v>
      </c>
      <c r="E7925" s="4">
        <v>3</v>
      </c>
      <c r="F7925" s="57">
        <f t="shared" si="616"/>
        <v>790</v>
      </c>
      <c r="G7925" s="251">
        <f>SUM(C7925,C7901,C7877,C7853,C7829,C7805,C7781,C7757,C7733,C7709,C7685,C7661,C7637,C7613)/POBLA!$B$4*100000</f>
        <v>213.77437546750176</v>
      </c>
      <c r="H7925" s="252">
        <f t="shared" si="614"/>
        <v>0.826645264847512</v>
      </c>
    </row>
    <row r="7926" spans="1:12" ht="15.75" thickBot="1" x14ac:dyDescent="0.3">
      <c r="A7926" s="105" t="s">
        <v>30</v>
      </c>
      <c r="B7926" s="253">
        <v>44223</v>
      </c>
      <c r="C7926" s="4">
        <v>395</v>
      </c>
      <c r="D7926" s="183">
        <f t="shared" si="615"/>
        <v>41275</v>
      </c>
      <c r="E7926" s="4">
        <v>28</v>
      </c>
      <c r="F7926" s="57">
        <f t="shared" si="616"/>
        <v>644</v>
      </c>
      <c r="G7926" s="251">
        <f>SUM(C7926,C7902,C7878,C7854,C7830,C7806,C7782,C7758,C7734,C7710,C7686,C7662,C7638,C7614)/POBLA!$B$5*100000</f>
        <v>697.90660329502384</v>
      </c>
      <c r="H7926" s="252">
        <f t="shared" si="614"/>
        <v>0.78846504836649023</v>
      </c>
    </row>
    <row r="7927" spans="1:12" ht="15.75" thickBot="1" x14ac:dyDescent="0.3">
      <c r="A7927" s="105" t="s">
        <v>31</v>
      </c>
      <c r="B7927" s="253">
        <v>44223</v>
      </c>
      <c r="C7927" s="4">
        <v>224</v>
      </c>
      <c r="D7927" s="183">
        <f t="shared" si="615"/>
        <v>16854</v>
      </c>
      <c r="E7927" s="4">
        <v>3</v>
      </c>
      <c r="F7927" s="57">
        <f t="shared" si="616"/>
        <v>2572</v>
      </c>
      <c r="G7927" s="251">
        <f>SUM(C7927,C7903,C7879,C7855,C7831,C7807,C7783,C7759,C7735,C7711,C7687,C7663,C7639,C7615)/POBLA!$B$7*100000</f>
        <v>97.807443258120699</v>
      </c>
      <c r="H7927" s="252">
        <f>SUM(C7927,C7903,C7879,C7855,C7831,C7807,C7783,C7759,C7735,C7711,C7687,C7663,C7639,C7615)/SUM(C7591,C7567,C7543,C7519,C7495,C7471,C7447,C7423,C7399,C7375,C7351,C7327,C7303,C7279)</f>
        <v>0.4310829817158931</v>
      </c>
    </row>
    <row r="7928" spans="1:12" ht="15.75" thickBot="1" x14ac:dyDescent="0.3">
      <c r="A7928" s="105" t="s">
        <v>21</v>
      </c>
      <c r="B7928" s="253">
        <v>44223</v>
      </c>
      <c r="C7928" s="4">
        <v>687</v>
      </c>
      <c r="D7928" s="183">
        <f t="shared" si="615"/>
        <v>143173</v>
      </c>
      <c r="E7928" s="4">
        <v>11</v>
      </c>
      <c r="F7928" s="57">
        <f t="shared" si="616"/>
        <v>270</v>
      </c>
      <c r="G7928" s="251">
        <f>SUM(C7928,C7904,C7880,C7856,C7832,C7808,C7784,C7760,C7736,C7712,C7688,C7664,C7640,C7616)/POBLA!$B$6*100000</f>
        <v>564.15010336357659</v>
      </c>
      <c r="H7928" s="252">
        <f>SUM(C7928,C7904,C7880,C7856,C7832,C7808,C7784,C7760,C7736,C7712,C7688,C7664,C7640,C7616)/SUM(C7592,C7568,C7544,C7520,C7496,C7472,C7448,C7424,C7400,C7376,C7352,C7328,C7304,C7280)</f>
        <v>2.361972357116175</v>
      </c>
    </row>
    <row r="7929" spans="1:12" ht="15.75" thickBot="1" x14ac:dyDescent="0.3">
      <c r="A7929" s="105" t="s">
        <v>32</v>
      </c>
      <c r="B7929" s="253">
        <v>44223</v>
      </c>
      <c r="C7929" s="4">
        <v>293</v>
      </c>
      <c r="D7929" s="183">
        <f t="shared" si="615"/>
        <v>40000</v>
      </c>
      <c r="E7929" s="4">
        <v>8</v>
      </c>
      <c r="F7929" s="57">
        <f t="shared" si="616"/>
        <v>702</v>
      </c>
      <c r="G7929" s="251">
        <f>SUM(C7929,C7905,C7881,C7857,C7833,C7809,C7785,C7761,C7737,C7713,C7689,C7665,C7641,C7617)/POBLA!$B$8*100000</f>
        <v>376.20106193464318</v>
      </c>
      <c r="H7929" s="252">
        <f t="shared" ref="H7929:H7945" si="617">SUM(C7929,C7905,C7881,C7857,C7833,C7809,C7785,C7761,C7737,C7713,C7689,C7665,C7641,C7617)/SUM(C7593,C7569,C7545,C7521,C7497,C7473,C7449,C7425,C7401,C7377,C7353,C7329,C7305,C7281)</f>
        <v>0.90145228215767637</v>
      </c>
    </row>
    <row r="7930" spans="1:12" ht="15.75" thickBot="1" x14ac:dyDescent="0.3">
      <c r="A7930" s="105" t="s">
        <v>42</v>
      </c>
      <c r="B7930" s="253">
        <v>44223</v>
      </c>
      <c r="C7930" s="4">
        <v>14</v>
      </c>
      <c r="D7930" s="183">
        <f t="shared" si="615"/>
        <v>828</v>
      </c>
      <c r="F7930" s="57">
        <f t="shared" si="616"/>
        <v>6</v>
      </c>
      <c r="G7930" s="251">
        <f>SUM(C7930,C7906,C7882,C7858,C7834,C7810,C7786,C7762,C7738,C7714,C7690,C7666,C7642,C7618)/POBLA!$B$9*100000</f>
        <v>66.590327383165373</v>
      </c>
      <c r="H7930" s="252">
        <f t="shared" si="617"/>
        <v>1.892018779342723</v>
      </c>
    </row>
    <row r="7931" spans="1:12" ht="15.75" thickBot="1" x14ac:dyDescent="0.3">
      <c r="A7931" s="105" t="s">
        <v>33</v>
      </c>
      <c r="B7931" s="253">
        <v>44223</v>
      </c>
      <c r="C7931" s="4">
        <v>49</v>
      </c>
      <c r="D7931" s="183">
        <f t="shared" si="615"/>
        <v>19206</v>
      </c>
      <c r="F7931" s="57">
        <f t="shared" si="616"/>
        <v>866</v>
      </c>
      <c r="G7931" s="251">
        <f>SUM(C7931,C7907,C7883,C7859,C7835,C7811,C7787,C7763,C7739,C7715,C7691,C7667,C7643,C7619)/POBLA!$B$10*100000</f>
        <v>60.969202769299024</v>
      </c>
      <c r="H7931" s="252">
        <f t="shared" si="617"/>
        <v>2.4607329842931938</v>
      </c>
    </row>
    <row r="7932" spans="1:12" ht="15.75" thickBot="1" x14ac:dyDescent="0.3">
      <c r="A7932" s="105" t="s">
        <v>34</v>
      </c>
      <c r="B7932" s="253">
        <v>44223</v>
      </c>
      <c r="C7932" s="4">
        <v>130</v>
      </c>
      <c r="D7932" s="183">
        <f t="shared" si="615"/>
        <v>16120</v>
      </c>
      <c r="F7932" s="57">
        <f t="shared" si="616"/>
        <v>238</v>
      </c>
      <c r="G7932" s="251">
        <f>SUM(C7932,C7908,C7884,C7860,C7836,C7812,C7788,C7764,C7740,C7716,C7692,C7668,C7644,C7620)/POBLA!$B$11*100000</f>
        <v>512.23676721684694</v>
      </c>
      <c r="H7932" s="252">
        <f t="shared" si="617"/>
        <v>0.49156626506024098</v>
      </c>
    </row>
    <row r="7933" spans="1:12" ht="15.75" thickBot="1" x14ac:dyDescent="0.3">
      <c r="A7933" s="105" t="s">
        <v>22</v>
      </c>
      <c r="B7933" s="253">
        <v>44223</v>
      </c>
      <c r="C7933" s="4">
        <v>36</v>
      </c>
      <c r="D7933" s="183">
        <f t="shared" si="615"/>
        <v>9488</v>
      </c>
      <c r="F7933" s="57">
        <f t="shared" si="616"/>
        <v>405</v>
      </c>
      <c r="G7933" s="251">
        <f>SUM(C7933,C7909,C7885,C7861,C7837,C7813,C7789,C7765,C7741,C7717,C7693,C7669,C7645,C7621)/POBLA!$B$12*100000</f>
        <v>61.240410539449236</v>
      </c>
      <c r="H7933" s="252">
        <f t="shared" si="617"/>
        <v>1.4876543209876543</v>
      </c>
    </row>
    <row r="7934" spans="1:12" ht="15.75" thickBot="1" x14ac:dyDescent="0.3">
      <c r="A7934" s="105" t="s">
        <v>18</v>
      </c>
      <c r="B7934" s="253">
        <v>44223</v>
      </c>
      <c r="C7934" s="4">
        <v>149</v>
      </c>
      <c r="D7934" s="183">
        <f t="shared" si="615"/>
        <v>63471</v>
      </c>
      <c r="E7934" s="4">
        <v>11</v>
      </c>
      <c r="F7934" s="57">
        <f t="shared" si="616"/>
        <v>1336</v>
      </c>
      <c r="G7934" s="251">
        <f>SUM(C7934,C7910,C7886,C7862,C7838,C7814,C7790,C7766,C7742,C7718,C7694,C7670,C7646,C7622)/POBLA!$B$13*100000</f>
        <v>86.919910085623656</v>
      </c>
      <c r="H7934" s="252">
        <f t="shared" si="617"/>
        <v>1.0028985507246377</v>
      </c>
    </row>
    <row r="7935" spans="1:12" ht="15.75" thickBot="1" x14ac:dyDescent="0.3">
      <c r="A7935" s="105" t="s">
        <v>24</v>
      </c>
      <c r="B7935" s="253">
        <v>44223</v>
      </c>
      <c r="C7935" s="4">
        <v>241</v>
      </c>
      <c r="D7935" s="183">
        <f t="shared" si="615"/>
        <v>4022</v>
      </c>
      <c r="E7935" s="4">
        <v>5</v>
      </c>
      <c r="F7935" s="57">
        <f t="shared" si="616"/>
        <v>74</v>
      </c>
      <c r="G7935" s="251">
        <f>SUM(C7935,C7911,C7887,C7863,C7839,C7815,C7791,C7767,C7743,C7719,C7695,C7671,C7647,C7623)/POBLA!$B$14*100000</f>
        <v>196.22704936359008</v>
      </c>
      <c r="H7935" s="252">
        <f>SUM(C7935,C7911,C7887,C7863,C7839,C7815,C7791,C7767,C7743,C7719,C7695,C7671,C7647,C7623)/SUM(C7599,C7575,C7551,C7527,C7503,C7479,C7455,C7431,C7407,C7383,C7359,C7335,C7311,C7287)</f>
        <v>5.2547770700636942</v>
      </c>
    </row>
    <row r="7936" spans="1:12" ht="15.75" thickBot="1" x14ac:dyDescent="0.3">
      <c r="A7936" s="105" t="s">
        <v>20</v>
      </c>
      <c r="B7936" s="253">
        <v>44223</v>
      </c>
      <c r="C7936" s="4">
        <v>538</v>
      </c>
      <c r="D7936" s="183">
        <f t="shared" si="615"/>
        <v>52581</v>
      </c>
      <c r="F7936" s="57">
        <f t="shared" si="616"/>
        <v>766</v>
      </c>
      <c r="G7936" s="251">
        <f>SUM(C7936,C7912,C7888,C7864,C7840,C7816,C7792,C7768,C7744,C7720,C7696,C7672,C7648,C7624)/POBLA!$B$15*100000</f>
        <v>890.88737864370069</v>
      </c>
      <c r="H7936" s="252">
        <f t="shared" si="617"/>
        <v>0.98305084745762716</v>
      </c>
    </row>
    <row r="7937" spans="1:8" ht="15.75" thickBot="1" x14ac:dyDescent="0.3">
      <c r="A7937" s="105" t="s">
        <v>19</v>
      </c>
      <c r="B7937" s="253">
        <v>44223</v>
      </c>
      <c r="C7937" s="4">
        <v>365</v>
      </c>
      <c r="D7937" s="183">
        <f t="shared" si="615"/>
        <v>46991</v>
      </c>
      <c r="E7937" s="4">
        <v>10</v>
      </c>
      <c r="F7937" s="57">
        <f t="shared" si="616"/>
        <v>1051</v>
      </c>
      <c r="G7937" s="251">
        <f>SUM(C7937,C7913,C7889,C7865,C7841,C7817,C7793,C7769,C7745,C7721,C7697,C7673,C7649,C7625)/POBLA!$B$16*100000</f>
        <v>581.98793488583624</v>
      </c>
      <c r="H7937" s="252">
        <f t="shared" si="617"/>
        <v>1.0057790106333795</v>
      </c>
    </row>
    <row r="7938" spans="1:8" ht="15.75" thickBot="1" x14ac:dyDescent="0.3">
      <c r="A7938" s="105" t="s">
        <v>35</v>
      </c>
      <c r="B7938" s="253">
        <v>44223</v>
      </c>
      <c r="C7938" s="4">
        <v>65</v>
      </c>
      <c r="D7938" s="183">
        <f t="shared" ref="D7938:D7969" si="618">C7938+D7914</f>
        <v>23595</v>
      </c>
      <c r="F7938" s="57">
        <f t="shared" si="616"/>
        <v>1036</v>
      </c>
      <c r="G7938" s="251">
        <f>SUM(C7938,C7914,C7890,C7866,C7842,C7818,C7794,C7770,C7746,C7722,C7698,C7674,C7650,C7626)/POBLA!$B$17*100000</f>
        <v>51.390167207597322</v>
      </c>
      <c r="H7938" s="252">
        <f t="shared" si="617"/>
        <v>1.318918918918919</v>
      </c>
    </row>
    <row r="7939" spans="1:8" ht="15.75" thickBot="1" x14ac:dyDescent="0.3">
      <c r="A7939" s="105" t="s">
        <v>36</v>
      </c>
      <c r="B7939" s="253">
        <v>44223</v>
      </c>
      <c r="C7939" s="4">
        <v>58</v>
      </c>
      <c r="D7939" s="183">
        <f t="shared" si="618"/>
        <v>13761</v>
      </c>
      <c r="F7939" s="57">
        <f t="shared" si="616"/>
        <v>217</v>
      </c>
      <c r="G7939" s="251">
        <f>SUM(C7939,C7915,C7891,C7867,C7843,C7819,C7795,C7771,C7747,C7723,C7699,C7675,C7651,C7627)/POBLA!$B$18*100000</f>
        <v>118.02098520641512</v>
      </c>
      <c r="H7939" s="252">
        <f t="shared" si="617"/>
        <v>0.69011976047904189</v>
      </c>
    </row>
    <row r="7940" spans="1:8" ht="15.75" thickBot="1" x14ac:dyDescent="0.3">
      <c r="A7940" s="105" t="s">
        <v>37</v>
      </c>
      <c r="B7940" s="253">
        <v>44223</v>
      </c>
      <c r="C7940" s="4">
        <v>81</v>
      </c>
      <c r="D7940" s="183">
        <f t="shared" si="618"/>
        <v>18879</v>
      </c>
      <c r="F7940" s="57">
        <f t="shared" si="616"/>
        <v>344</v>
      </c>
      <c r="G7940" s="251">
        <f>SUM(C7940,C7916,C7892,C7868,C7844,C7820,C7796,C7772,C7748,C7724,C7700,C7676,C7652,C7628)/POBLA!$B$19*100000</f>
        <v>428.26678837286158</v>
      </c>
      <c r="H7940" s="252">
        <f t="shared" si="617"/>
        <v>4.0092081031307547</v>
      </c>
    </row>
    <row r="7941" spans="1:8" ht="15.75" thickBot="1" x14ac:dyDescent="0.3">
      <c r="A7941" s="105" t="s">
        <v>38</v>
      </c>
      <c r="B7941" s="253">
        <v>44223</v>
      </c>
      <c r="C7941" s="4">
        <v>167</v>
      </c>
      <c r="D7941" s="183">
        <f t="shared" si="618"/>
        <v>31993</v>
      </c>
      <c r="E7941" s="4">
        <v>2</v>
      </c>
      <c r="F7941" s="57">
        <f t="shared" si="616"/>
        <v>490</v>
      </c>
      <c r="G7941" s="251">
        <f>SUM(C7941,C7917,C7893,C7869,C7845,C7821,C7797,C7773,C7749,C7725,C7701,C7677,C7653,C7629)/POBLA!$B$20*100000</f>
        <v>1022.9752418662393</v>
      </c>
      <c r="H7941" s="252">
        <f t="shared" si="617"/>
        <v>0.76082977425259302</v>
      </c>
    </row>
    <row r="7942" spans="1:8" ht="15.75" thickBot="1" x14ac:dyDescent="0.3">
      <c r="A7942" s="105" t="s">
        <v>23</v>
      </c>
      <c r="B7942" s="253">
        <v>44223</v>
      </c>
      <c r="C7942" s="4">
        <v>924</v>
      </c>
      <c r="D7942" s="183">
        <f t="shared" si="618"/>
        <v>203801</v>
      </c>
      <c r="E7942" s="4">
        <v>29</v>
      </c>
      <c r="F7942" s="57">
        <f t="shared" si="616"/>
        <v>3410</v>
      </c>
      <c r="G7942" s="251">
        <f>SUM(C7942,C7918,C7894,C7870,C7846,C7822,C7798,C7774,C7750,C7726,C7702,C7678,C7654,C7630)/POBLA!$B$21*100000</f>
        <v>377.64200951358123</v>
      </c>
      <c r="H7942" s="252">
        <f t="shared" si="617"/>
        <v>0.86580226904376012</v>
      </c>
    </row>
    <row r="7943" spans="1:8" ht="15.75" thickBot="1" x14ac:dyDescent="0.3">
      <c r="A7943" s="105" t="s">
        <v>39</v>
      </c>
      <c r="B7943" s="253">
        <v>44223</v>
      </c>
      <c r="C7943" s="4">
        <v>101</v>
      </c>
      <c r="D7943" s="183">
        <f t="shared" si="618"/>
        <v>20652</v>
      </c>
      <c r="E7943" s="4">
        <v>2</v>
      </c>
      <c r="F7943" s="57">
        <f t="shared" si="616"/>
        <v>249</v>
      </c>
      <c r="G7943" s="251">
        <f>SUM(C7943,C7919,C7895,C7871,C7847,C7823,C7799,C7775,C7751,C7727,C7703,C7679,C7655,C7631)/POBLA!$B$22*100000</f>
        <v>163.54684032615327</v>
      </c>
      <c r="H7943" s="252">
        <f t="shared" si="617"/>
        <v>0.92915214866434381</v>
      </c>
    </row>
    <row r="7944" spans="1:8" ht="15.75" thickBot="1" x14ac:dyDescent="0.3">
      <c r="A7944" s="105" t="s">
        <v>40</v>
      </c>
      <c r="B7944" s="253">
        <v>44223</v>
      </c>
      <c r="C7944" s="4">
        <v>85</v>
      </c>
      <c r="D7944" s="183">
        <f t="shared" si="618"/>
        <v>21657</v>
      </c>
      <c r="E7944" s="4">
        <v>1</v>
      </c>
      <c r="F7944" s="57">
        <f t="shared" si="616"/>
        <v>325</v>
      </c>
      <c r="G7944" s="251">
        <f>SUM(C7944,C7920,C7896,C7872,C7848,C7824,C7800,C7776,C7752,C7728,C7704,C7680,C7656,C7632)/POBLA!$B$23*100000</f>
        <v>655.43177062715597</v>
      </c>
      <c r="H7944" s="252">
        <f t="shared" si="617"/>
        <v>0.78843537414965992</v>
      </c>
    </row>
    <row r="7945" spans="1:8" ht="15.75" thickBot="1" x14ac:dyDescent="0.3">
      <c r="A7945" s="106" t="s">
        <v>41</v>
      </c>
      <c r="B7945" s="253">
        <v>44223</v>
      </c>
      <c r="C7945" s="4">
        <v>287</v>
      </c>
      <c r="D7945" s="254">
        <f t="shared" si="618"/>
        <v>75898</v>
      </c>
      <c r="F7945" s="255">
        <f t="shared" si="616"/>
        <v>1421</v>
      </c>
      <c r="G7945" s="251">
        <f>SUM(C7945,C7921,C7897,C7873,C7849,C7825,C7801,C7777,C7753,C7729,C7705,C7681,C7657,C7633)/POBLA!$B$24*100000</f>
        <v>134.71760640507571</v>
      </c>
      <c r="H7945" s="257">
        <f t="shared" si="617"/>
        <v>0.87104158718046543</v>
      </c>
    </row>
    <row r="7946" spans="1:8" ht="15.75" thickBot="1" x14ac:dyDescent="0.3">
      <c r="A7946" s="45" t="s">
        <v>17</v>
      </c>
      <c r="B7946" s="253">
        <v>44224</v>
      </c>
      <c r="C7946" s="4">
        <v>4175</v>
      </c>
      <c r="D7946" s="249">
        <f t="shared" si="618"/>
        <v>794572</v>
      </c>
      <c r="E7946" s="4">
        <v>91</v>
      </c>
      <c r="F7946" s="250">
        <f>E7946+F7922</f>
        <v>24369</v>
      </c>
      <c r="G7946" s="251">
        <f>SUM(C7946,C7922,C7898,C7874,C7850,C7826,C7802,C7778,C7754,C7730,C7706,C7682,C7658,C7634)/POBLA!$B$1*100000</f>
        <v>307.76219175252055</v>
      </c>
      <c r="H7946" s="230">
        <f t="shared" ref="H7946:H7952" si="619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05" t="s">
        <v>44</v>
      </c>
      <c r="B7947" s="253">
        <v>44224</v>
      </c>
      <c r="C7947" s="4">
        <v>1101</v>
      </c>
      <c r="D7947" s="183">
        <f t="shared" si="618"/>
        <v>207345</v>
      </c>
      <c r="E7947" s="4">
        <v>9</v>
      </c>
      <c r="F7947" s="57">
        <f t="shared" ref="F7947:F7969" si="620">E7947+F7923</f>
        <v>5879</v>
      </c>
      <c r="G7947" s="251">
        <f>SUM(C7947,C7923,C7899,C7875,C7851,C7827,C7803,C7779,C7755,C7731,C7707,C7683,C7659,C7635)/POBLA!$B$2*100000</f>
        <v>528.79947822343661</v>
      </c>
      <c r="H7947" s="252">
        <f t="shared" si="619"/>
        <v>0.98677344982405046</v>
      </c>
    </row>
    <row r="7948" spans="1:8" ht="15.75" thickBot="1" x14ac:dyDescent="0.3">
      <c r="A7948" s="105" t="s">
        <v>29</v>
      </c>
      <c r="B7948" s="253">
        <v>44224</v>
      </c>
      <c r="C7948" s="4">
        <v>86</v>
      </c>
      <c r="D7948" s="183">
        <f t="shared" si="618"/>
        <v>5040</v>
      </c>
      <c r="F7948" s="57">
        <f t="shared" si="620"/>
        <v>17</v>
      </c>
      <c r="G7948" s="251">
        <f>SUM(C7948,C7924,C7900,C7876,C7852,C7828,C7804,C7780,C7756,C7732,C7708,C7684,C7660,C7636)/POBLA!$B$3*100000</f>
        <v>386.57994694755894</v>
      </c>
      <c r="H7948" s="252">
        <f t="shared" si="619"/>
        <v>2.4077961019490255</v>
      </c>
    </row>
    <row r="7949" spans="1:8" ht="15.75" thickBot="1" x14ac:dyDescent="0.3">
      <c r="A7949" s="105" t="s">
        <v>16</v>
      </c>
      <c r="B7949" s="253">
        <v>44224</v>
      </c>
      <c r="C7949" s="4">
        <v>137</v>
      </c>
      <c r="D7949" s="183">
        <f t="shared" si="618"/>
        <v>30350</v>
      </c>
      <c r="E7949" s="4">
        <v>3</v>
      </c>
      <c r="F7949" s="57">
        <f t="shared" si="620"/>
        <v>793</v>
      </c>
      <c r="G7949" s="251">
        <f>SUM(C7949,C7925,C7901,C7877,C7853,C7829,C7805,C7781,C7757,C7733,C7709,C7685,C7661,C7637)/POBLA!$B$4*100000</f>
        <v>199.91017325271619</v>
      </c>
      <c r="H7949" s="252">
        <f t="shared" si="619"/>
        <v>0.76202531645569616</v>
      </c>
    </row>
    <row r="7950" spans="1:8" ht="15.75" thickBot="1" x14ac:dyDescent="0.3">
      <c r="A7950" s="105" t="s">
        <v>30</v>
      </c>
      <c r="B7950" s="253">
        <v>44224</v>
      </c>
      <c r="C7950" s="4">
        <v>316</v>
      </c>
      <c r="D7950" s="183">
        <f t="shared" si="618"/>
        <v>41591</v>
      </c>
      <c r="E7950" s="4">
        <v>8</v>
      </c>
      <c r="F7950" s="57">
        <f t="shared" si="620"/>
        <v>652</v>
      </c>
      <c r="G7950" s="251">
        <f>SUM(C7950,C7926,C7902,C7878,C7854,C7830,C7806,C7782,C7758,C7734,C7710,C7686,C7662,C7638)/POBLA!$B$5*100000</f>
        <v>661.23419613114186</v>
      </c>
      <c r="H7950" s="252">
        <f t="shared" si="619"/>
        <v>0.73522543560265852</v>
      </c>
    </row>
    <row r="7951" spans="1:8" ht="15.75" thickBot="1" x14ac:dyDescent="0.3">
      <c r="A7951" s="105" t="s">
        <v>31</v>
      </c>
      <c r="B7951" s="253">
        <v>44224</v>
      </c>
      <c r="C7951" s="4">
        <v>108</v>
      </c>
      <c r="D7951" s="183">
        <f t="shared" si="618"/>
        <v>16962</v>
      </c>
      <c r="E7951" s="4">
        <v>2</v>
      </c>
      <c r="F7951" s="57">
        <f t="shared" si="620"/>
        <v>2574</v>
      </c>
      <c r="G7951" s="251">
        <f>SUM(C7951,C7927,C7903,C7879,C7855,C7831,C7807,C7783,C7759,C7735,C7711,C7687,C7663,C7639)/POBLA!$B$7*100000</f>
        <v>80.203167174141399</v>
      </c>
      <c r="H7951" s="252">
        <f t="shared" si="619"/>
        <v>0.35390753344285381</v>
      </c>
    </row>
    <row r="7952" spans="1:8" ht="15.75" thickBot="1" x14ac:dyDescent="0.3">
      <c r="A7952" s="105" t="s">
        <v>21</v>
      </c>
      <c r="B7952" s="253">
        <v>44224</v>
      </c>
      <c r="C7952" s="4">
        <v>678</v>
      </c>
      <c r="D7952" s="183">
        <f t="shared" si="618"/>
        <v>143851</v>
      </c>
      <c r="E7952" s="4">
        <v>6</v>
      </c>
      <c r="F7952" s="57">
        <f t="shared" si="620"/>
        <v>276</v>
      </c>
      <c r="G7952" s="251">
        <f>SUM(C7952,C7928,C7904,C7880,C7856,C7832,C7808,C7784,C7760,C7736,C7712,C7688,C7664,C7640)/POBLA!$B$6*100000</f>
        <v>587.61546429740872</v>
      </c>
      <c r="H7952" s="252">
        <f t="shared" si="619"/>
        <v>2.1829632084852504</v>
      </c>
    </row>
    <row r="7953" spans="1:8" ht="15.75" thickBot="1" x14ac:dyDescent="0.3">
      <c r="A7953" s="105" t="s">
        <v>32</v>
      </c>
      <c r="B7953" s="253">
        <v>44224</v>
      </c>
      <c r="C7953" s="4">
        <v>316</v>
      </c>
      <c r="D7953" s="183">
        <f t="shared" si="618"/>
        <v>40316</v>
      </c>
      <c r="E7953" s="4">
        <v>3</v>
      </c>
      <c r="F7953" s="57">
        <f t="shared" si="620"/>
        <v>705</v>
      </c>
      <c r="G7953" s="251">
        <f>SUM(C7953,C7929,C7905,C7881,C7857,C7833,C7809,C7785,C7761,C7737,C7713,C7689,C7665,C7641)/POBLA!$B$8*100000</f>
        <v>360.11114309854321</v>
      </c>
      <c r="H7953" s="252">
        <f t="shared" ref="H7953:H7969" si="621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05" t="s">
        <v>42</v>
      </c>
      <c r="B7954" s="253">
        <v>44224</v>
      </c>
      <c r="C7954" s="4">
        <v>5</v>
      </c>
      <c r="D7954" s="183">
        <f t="shared" si="618"/>
        <v>833</v>
      </c>
      <c r="F7954" s="57">
        <f t="shared" si="620"/>
        <v>6</v>
      </c>
      <c r="G7954" s="251">
        <f>SUM(C7954,C7930,C7906,C7882,C7858,C7834,C7810,C7786,C7762,C7738,C7714,C7690,C7666,C7642)/POBLA!$B$9*100000</f>
        <v>55.023769276908361</v>
      </c>
      <c r="H7954" s="252">
        <f t="shared" si="621"/>
        <v>1.1808510638297873</v>
      </c>
    </row>
    <row r="7955" spans="1:8" ht="15.75" thickBot="1" x14ac:dyDescent="0.3">
      <c r="A7955" s="105" t="s">
        <v>33</v>
      </c>
      <c r="B7955" s="253">
        <v>44224</v>
      </c>
      <c r="C7955" s="4">
        <v>40</v>
      </c>
      <c r="D7955" s="183">
        <f t="shared" si="618"/>
        <v>19246</v>
      </c>
      <c r="F7955" s="57">
        <f t="shared" si="620"/>
        <v>866</v>
      </c>
      <c r="G7955" s="251">
        <f>SUM(C7955,C7931,C7907,C7883,C7859,C7835,C7811,C7787,C7763,C7739,C7715,C7691,C7667,C7643)/POBLA!$B$10*100000</f>
        <v>63.17447180563537</v>
      </c>
      <c r="H7955" s="252">
        <f t="shared" si="621"/>
        <v>2.3413461538461537</v>
      </c>
    </row>
    <row r="7956" spans="1:8" ht="15.75" thickBot="1" x14ac:dyDescent="0.3">
      <c r="A7956" s="105" t="s">
        <v>34</v>
      </c>
      <c r="B7956" s="253">
        <v>44224</v>
      </c>
      <c r="C7956" s="4">
        <v>118</v>
      </c>
      <c r="D7956" s="183">
        <f t="shared" si="618"/>
        <v>16238</v>
      </c>
      <c r="F7956" s="57">
        <f t="shared" si="620"/>
        <v>238</v>
      </c>
      <c r="G7956" s="251">
        <f>SUM(C7956,C7932,C7908,C7884,C7860,C7836,C7812,C7788,C7764,C7740,C7716,C7692,C7668,C7644)/POBLA!$B$11*100000</f>
        <v>474.01430691798629</v>
      </c>
      <c r="H7956" s="252">
        <f t="shared" si="621"/>
        <v>0.46068329718004336</v>
      </c>
    </row>
    <row r="7957" spans="1:8" ht="15.75" thickBot="1" x14ac:dyDescent="0.3">
      <c r="A7957" s="105" t="s">
        <v>22</v>
      </c>
      <c r="B7957" s="253">
        <v>44224</v>
      </c>
      <c r="C7957" s="4">
        <v>10</v>
      </c>
      <c r="D7957" s="183">
        <f t="shared" si="618"/>
        <v>9498</v>
      </c>
      <c r="E7957" s="4">
        <v>1</v>
      </c>
      <c r="F7957" s="57">
        <f t="shared" si="620"/>
        <v>406</v>
      </c>
      <c r="G7957" s="251">
        <f>SUM(C7957,C7933,C7909,C7885,C7861,C7837,C7813,C7789,C7765,C7741,C7717,C7693,C7669,C7645)/POBLA!$B$12*100000</f>
        <v>60.732191364848006</v>
      </c>
      <c r="H7957" s="252">
        <f t="shared" si="621"/>
        <v>1.4484848484848485</v>
      </c>
    </row>
    <row r="7958" spans="1:8" ht="15.75" thickBot="1" x14ac:dyDescent="0.3">
      <c r="A7958" s="105" t="s">
        <v>18</v>
      </c>
      <c r="B7958" s="253">
        <v>44224</v>
      </c>
      <c r="C7958" s="4">
        <v>101</v>
      </c>
      <c r="D7958" s="183">
        <f t="shared" si="618"/>
        <v>63572</v>
      </c>
      <c r="E7958" s="4">
        <v>3</v>
      </c>
      <c r="F7958" s="57">
        <f t="shared" si="620"/>
        <v>1339</v>
      </c>
      <c r="G7958" s="251">
        <f>SUM(C7958,C7934,C7910,C7886,C7862,C7838,C7814,C7790,C7766,C7742,C7718,C7694,C7670,C7646)/POBLA!$B$13*100000</f>
        <v>83.855104007460042</v>
      </c>
      <c r="H7958" s="252">
        <f t="shared" si="621"/>
        <v>0.95045558086560367</v>
      </c>
    </row>
    <row r="7959" spans="1:8" ht="15.75" thickBot="1" x14ac:dyDescent="0.3">
      <c r="A7959" s="105" t="s">
        <v>24</v>
      </c>
      <c r="B7959" s="253">
        <v>44224</v>
      </c>
      <c r="C7959" s="4">
        <v>130</v>
      </c>
      <c r="D7959" s="183">
        <f t="shared" si="618"/>
        <v>4152</v>
      </c>
      <c r="E7959" s="4">
        <v>5</v>
      </c>
      <c r="F7959" s="57">
        <f t="shared" si="620"/>
        <v>79</v>
      </c>
      <c r="G7959" s="251">
        <f>SUM(C7959,C7935,C7911,C7887,C7863,C7839,C7815,C7791,C7767,C7743,C7719,C7695,C7671,C7647)/POBLA!$B$14*100000</f>
        <v>189.48793857736578</v>
      </c>
      <c r="H7959" s="252">
        <f t="shared" si="621"/>
        <v>3.5147058823529411</v>
      </c>
    </row>
    <row r="7960" spans="1:8" ht="15.75" thickBot="1" x14ac:dyDescent="0.3">
      <c r="A7960" s="105" t="s">
        <v>20</v>
      </c>
      <c r="B7960" s="253">
        <v>44224</v>
      </c>
      <c r="C7960" s="4">
        <v>463</v>
      </c>
      <c r="D7960" s="183">
        <f t="shared" si="618"/>
        <v>53044</v>
      </c>
      <c r="F7960" s="57">
        <f t="shared" si="620"/>
        <v>766</v>
      </c>
      <c r="G7960" s="251">
        <f>SUM(C7960,C7936,C7912,C7888,C7864,C7840,C7816,C7792,C7768,C7744,C7720,C7696,C7672,C7648)/POBLA!$B$15*100000</f>
        <v>880.49670434917482</v>
      </c>
      <c r="H7960" s="252">
        <f t="shared" si="621"/>
        <v>0.95119570522205954</v>
      </c>
    </row>
    <row r="7961" spans="1:8" ht="15.75" thickBot="1" x14ac:dyDescent="0.3">
      <c r="A7961" s="105" t="s">
        <v>19</v>
      </c>
      <c r="B7961" s="253">
        <v>44224</v>
      </c>
      <c r="C7961" s="4">
        <v>311</v>
      </c>
      <c r="D7961" s="183">
        <f t="shared" si="618"/>
        <v>47302</v>
      </c>
      <c r="E7961" s="4">
        <v>5</v>
      </c>
      <c r="F7961" s="57">
        <f t="shared" si="620"/>
        <v>1056</v>
      </c>
      <c r="G7961" s="251">
        <f>SUM(C7961,C7937,C7913,C7889,C7865,C7841,C7817,C7793,C7769,C7745,C7721,C7697,C7673,C7649)/POBLA!$B$16*100000</f>
        <v>565.13422773906188</v>
      </c>
      <c r="H7961" s="252">
        <f t="shared" si="621"/>
        <v>0.94077042974838565</v>
      </c>
    </row>
    <row r="7962" spans="1:8" ht="15.75" thickBot="1" x14ac:dyDescent="0.3">
      <c r="A7962" s="105" t="s">
        <v>35</v>
      </c>
      <c r="B7962" s="253">
        <v>44224</v>
      </c>
      <c r="C7962" s="4">
        <v>85</v>
      </c>
      <c r="D7962" s="183">
        <f t="shared" si="618"/>
        <v>23680</v>
      </c>
      <c r="F7962" s="57">
        <f t="shared" si="620"/>
        <v>1036</v>
      </c>
      <c r="G7962" s="251">
        <f>SUM(C7962,C7938,C7914,C7890,C7866,C7842,C7818,C7794,C7770,C7746,C7722,C7698,C7674,C7650)/POBLA!$B$17*100000</f>
        <v>53.355911308434372</v>
      </c>
      <c r="H7962" s="252">
        <f t="shared" si="621"/>
        <v>1.4048059149722736</v>
      </c>
    </row>
    <row r="7963" spans="1:8" ht="15.75" thickBot="1" x14ac:dyDescent="0.3">
      <c r="A7963" s="105" t="s">
        <v>36</v>
      </c>
      <c r="B7963" s="253">
        <v>44224</v>
      </c>
      <c r="C7963" s="4">
        <v>74</v>
      </c>
      <c r="D7963" s="183">
        <f t="shared" si="618"/>
        <v>13835</v>
      </c>
      <c r="E7963" s="4">
        <v>2</v>
      </c>
      <c r="F7963" s="57">
        <f t="shared" si="620"/>
        <v>219</v>
      </c>
      <c r="G7963" s="251">
        <f>SUM(C7963,C7939,C7915,C7891,C7867,C7843,C7819,C7795,C7771,C7747,C7723,C7699,C7675,C7651)/POBLA!$B$18*100000</f>
        <v>117.50896357862156</v>
      </c>
      <c r="H7963" s="252">
        <f t="shared" si="621"/>
        <v>0.67056245434623818</v>
      </c>
    </row>
    <row r="7964" spans="1:8" ht="15.75" thickBot="1" x14ac:dyDescent="0.3">
      <c r="A7964" s="105" t="s">
        <v>37</v>
      </c>
      <c r="B7964" s="253">
        <v>44224</v>
      </c>
      <c r="C7964" s="4">
        <v>68</v>
      </c>
      <c r="D7964" s="183">
        <f t="shared" si="618"/>
        <v>18947</v>
      </c>
      <c r="E7964" s="4">
        <v>4</v>
      </c>
      <c r="F7964" s="57">
        <f t="shared" si="620"/>
        <v>348</v>
      </c>
      <c r="G7964" s="251">
        <f>SUM(C7964,C7940,C7916,C7892,C7868,C7844,C7820,C7796,C7772,C7748,C7724,C7700,C7676,C7652)/POBLA!$B$19*100000</f>
        <v>430.23402212744526</v>
      </c>
      <c r="H7964" s="252">
        <f t="shared" si="621"/>
        <v>3.8435852372583481</v>
      </c>
    </row>
    <row r="7965" spans="1:8" ht="15.75" thickBot="1" x14ac:dyDescent="0.3">
      <c r="A7965" s="105" t="s">
        <v>38</v>
      </c>
      <c r="B7965" s="253">
        <v>44224</v>
      </c>
      <c r="C7965" s="4">
        <v>147</v>
      </c>
      <c r="D7965" s="183">
        <f t="shared" si="618"/>
        <v>32140</v>
      </c>
      <c r="E7965" s="4">
        <v>1</v>
      </c>
      <c r="F7965" s="57">
        <f t="shared" si="620"/>
        <v>491</v>
      </c>
      <c r="G7965" s="251">
        <f>SUM(C7965,C7941,C7917,C7893,C7869,C7845,C7821,C7797,C7773,C7749,C7725,C7701,C7677,C7653)/POBLA!$B$20*100000</f>
        <v>985.23918643252091</v>
      </c>
      <c r="H7965" s="252">
        <f t="shared" si="621"/>
        <v>0.75345043914680054</v>
      </c>
    </row>
    <row r="7966" spans="1:8" ht="15.75" thickBot="1" x14ac:dyDescent="0.3">
      <c r="A7966" s="105" t="s">
        <v>23</v>
      </c>
      <c r="B7966" s="253">
        <v>44224</v>
      </c>
      <c r="C7966" s="4">
        <v>662</v>
      </c>
      <c r="D7966" s="183">
        <f t="shared" si="618"/>
        <v>204463</v>
      </c>
      <c r="E7966" s="4">
        <v>19</v>
      </c>
      <c r="F7966" s="57">
        <f t="shared" si="620"/>
        <v>3429</v>
      </c>
      <c r="G7966" s="251">
        <f>SUM(C7966,C7942,C7918,C7894,C7870,C7846,C7822,C7798,C7774,C7750,C7726,C7702,C7678,C7654)/POBLA!$B$21*100000</f>
        <v>356.91482172073546</v>
      </c>
      <c r="H7966" s="252">
        <f t="shared" si="621"/>
        <v>0.81611276348118456</v>
      </c>
    </row>
    <row r="7967" spans="1:8" ht="15.75" thickBot="1" x14ac:dyDescent="0.3">
      <c r="A7967" s="105" t="s">
        <v>39</v>
      </c>
      <c r="B7967" s="253">
        <v>44224</v>
      </c>
      <c r="C7967" s="4">
        <v>71</v>
      </c>
      <c r="D7967" s="183">
        <f t="shared" si="618"/>
        <v>20723</v>
      </c>
      <c r="F7967" s="57">
        <f t="shared" si="620"/>
        <v>249</v>
      </c>
      <c r="G7967" s="251">
        <f>SUM(C7967,C7943,C7919,C7895,C7871,C7847,C7823,C7799,C7775,C7751,C7727,C7703,C7679,C7655)/POBLA!$B$22*100000</f>
        <v>150.56530987526486</v>
      </c>
      <c r="H7967" s="252">
        <f t="shared" si="621"/>
        <v>0.80934065934065935</v>
      </c>
    </row>
    <row r="7968" spans="1:8" ht="15.75" thickBot="1" x14ac:dyDescent="0.3">
      <c r="A7968" s="105" t="s">
        <v>40</v>
      </c>
      <c r="B7968" s="253">
        <v>44224</v>
      </c>
      <c r="C7968" s="4">
        <v>37</v>
      </c>
      <c r="D7968" s="183">
        <f t="shared" si="618"/>
        <v>21694</v>
      </c>
      <c r="E7968" s="4">
        <v>4</v>
      </c>
      <c r="F7968" s="57">
        <f t="shared" si="620"/>
        <v>329</v>
      </c>
      <c r="G7968" s="251">
        <f>SUM(C7968,C7944,C7920,C7896,C7872,C7848,C7824,C7800,C7776,C7752,C7728,C7704,C7680,C7656)/POBLA!$B$23*100000</f>
        <v>635.63874908103821</v>
      </c>
      <c r="H7968" s="252">
        <f t="shared" si="621"/>
        <v>0.78546470999301188</v>
      </c>
    </row>
    <row r="7969" spans="1:8" ht="15.75" thickBot="1" x14ac:dyDescent="0.3">
      <c r="A7969" s="106" t="s">
        <v>41</v>
      </c>
      <c r="B7969" s="253">
        <v>44224</v>
      </c>
      <c r="C7969" s="4">
        <v>232</v>
      </c>
      <c r="D7969" s="254">
        <f t="shared" si="618"/>
        <v>76130</v>
      </c>
      <c r="F7969" s="255">
        <f t="shared" si="620"/>
        <v>1421</v>
      </c>
      <c r="G7969" s="251">
        <f>SUM(C7969,C7945,C7921,C7897,C7873,C7849,C7825,C7801,C7777,C7753,C7729,C7705,C7681,C7657)/POBLA!$B$24*100000</f>
        <v>134.77661543109633</v>
      </c>
      <c r="H7969" s="257">
        <f t="shared" si="621"/>
        <v>0.83479532163742687</v>
      </c>
    </row>
    <row r="7970" spans="1:8" ht="15.75" thickBot="1" x14ac:dyDescent="0.3">
      <c r="A7970" s="45" t="s">
        <v>17</v>
      </c>
      <c r="B7970" s="253">
        <v>44225</v>
      </c>
      <c r="C7970" s="4">
        <v>4483</v>
      </c>
      <c r="D7970" s="249">
        <f t="shared" ref="D7970:D8001" si="622">C7970+D7946</f>
        <v>799055</v>
      </c>
      <c r="E7970" s="4">
        <v>79</v>
      </c>
      <c r="F7970" s="250">
        <v>24353</v>
      </c>
      <c r="G7970" s="251">
        <f>SUM(C7970,C7946,C7922,C7898,C7874,C7850,C7826,C7802,C7778,C7754,C7730,C7706,C7682,C7658)/POBLA!$B$1*100000</f>
        <v>306.28566294518697</v>
      </c>
      <c r="H7970" s="230">
        <f t="shared" ref="H7970:H7976" si="623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05" t="s">
        <v>44</v>
      </c>
      <c r="B7971" s="253">
        <v>44225</v>
      </c>
      <c r="C7971" s="4">
        <v>1195</v>
      </c>
      <c r="D7971" s="183">
        <f t="shared" si="622"/>
        <v>208540</v>
      </c>
      <c r="E7971" s="4">
        <v>9</v>
      </c>
      <c r="F7971" s="57">
        <v>6039</v>
      </c>
      <c r="G7971" s="251">
        <f>SUM(C7971,C7947,C7923,C7899,C7875,C7851,C7827,C7803,C7779,C7755,C7731,C7707,C7683,C7659)/POBLA!$B$2*100000</f>
        <v>525.19048030885222</v>
      </c>
      <c r="H7971" s="252">
        <f t="shared" si="623"/>
        <v>0.938364122226095</v>
      </c>
    </row>
    <row r="7972" spans="1:8" ht="15.75" thickBot="1" x14ac:dyDescent="0.3">
      <c r="A7972" s="105" t="s">
        <v>29</v>
      </c>
      <c r="B7972" s="253">
        <v>44225</v>
      </c>
      <c r="C7972" s="4">
        <v>115</v>
      </c>
      <c r="D7972" s="183">
        <f t="shared" si="622"/>
        <v>5155</v>
      </c>
      <c r="F7972" s="57">
        <v>17</v>
      </c>
      <c r="G7972" s="251">
        <f>SUM(C7972,C7948,C7924,C7900,C7876,C7852,C7828,C7804,C7780,C7756,C7732,C7708,C7684,C7660)/POBLA!$B$3*100000</f>
        <v>319.18120152706297</v>
      </c>
      <c r="H7972" s="252">
        <f t="shared" si="623"/>
        <v>1.2485875706214689</v>
      </c>
    </row>
    <row r="7973" spans="1:8" ht="15.75" thickBot="1" x14ac:dyDescent="0.3">
      <c r="A7973" s="105" t="s">
        <v>16</v>
      </c>
      <c r="B7973" s="253">
        <v>44225</v>
      </c>
      <c r="C7973" s="4">
        <v>202</v>
      </c>
      <c r="D7973" s="183">
        <f t="shared" si="622"/>
        <v>30552</v>
      </c>
      <c r="E7973" s="4">
        <v>2</v>
      </c>
      <c r="F7973" s="57">
        <v>788</v>
      </c>
      <c r="G7973" s="251">
        <f>SUM(C7973,C7949,C7925,C7901,C7877,C7853,C7829,C7805,C7781,C7757,C7733,C7709,C7685,C7661)/POBLA!$B$4*100000</f>
        <v>197.91771305418411</v>
      </c>
      <c r="H7973" s="252">
        <f t="shared" si="623"/>
        <v>0.72572298325722984</v>
      </c>
    </row>
    <row r="7974" spans="1:8" ht="15.75" thickBot="1" x14ac:dyDescent="0.3">
      <c r="A7974" s="105" t="s">
        <v>30</v>
      </c>
      <c r="B7974" s="253">
        <v>44225</v>
      </c>
      <c r="C7974" s="4">
        <v>392</v>
      </c>
      <c r="D7974" s="183">
        <f t="shared" si="622"/>
        <v>41983</v>
      </c>
      <c r="E7974" s="4">
        <v>6</v>
      </c>
      <c r="F7974" s="57">
        <v>610</v>
      </c>
      <c r="G7974" s="251">
        <f>SUM(C7974,C7950,C7926,C7902,C7878,C7854,C7830,C7806,C7782,C7758,C7734,C7710,C7686,C7662)/POBLA!$B$5*100000</f>
        <v>658.64935685967873</v>
      </c>
      <c r="H7974" s="252">
        <f t="shared" si="623"/>
        <v>0.69597132127005801</v>
      </c>
    </row>
    <row r="7975" spans="1:8" ht="15.75" thickBot="1" x14ac:dyDescent="0.3">
      <c r="A7975" s="105" t="s">
        <v>31</v>
      </c>
      <c r="B7975" s="253">
        <v>44225</v>
      </c>
      <c r="C7975" s="4">
        <v>178</v>
      </c>
      <c r="D7975" s="183">
        <f t="shared" si="622"/>
        <v>17140</v>
      </c>
      <c r="F7975" s="57">
        <v>2694</v>
      </c>
      <c r="G7975" s="251">
        <f>SUM(C7975,C7951,C7927,C7903,C7879,C7855,C7831,C7807,C7783,C7759,C7735,C7711,C7687,C7663)/POBLA!$B$7*100000</f>
        <v>67.678070443696896</v>
      </c>
      <c r="H7975" s="252">
        <f t="shared" si="623"/>
        <v>0.28509017587095331</v>
      </c>
    </row>
    <row r="7976" spans="1:8" ht="15.75" thickBot="1" x14ac:dyDescent="0.3">
      <c r="A7976" s="105" t="s">
        <v>21</v>
      </c>
      <c r="B7976" s="253">
        <v>44225</v>
      </c>
      <c r="C7976" s="4">
        <v>606</v>
      </c>
      <c r="D7976" s="183">
        <f t="shared" si="622"/>
        <v>144457</v>
      </c>
      <c r="E7976" s="4">
        <v>11</v>
      </c>
      <c r="F7976" s="57">
        <v>199</v>
      </c>
      <c r="G7976" s="251">
        <f>SUM(C7976,C7952,C7928,C7904,C7880,C7856,C7832,C7808,C7784,C7760,C7736,C7712,C7688,C7664)/POBLA!$B$6*100000</f>
        <v>620.71679093790954</v>
      </c>
      <c r="H7976" s="252">
        <f t="shared" si="623"/>
        <v>2.1659402241594021</v>
      </c>
    </row>
    <row r="7977" spans="1:8" ht="15.75" thickBot="1" x14ac:dyDescent="0.3">
      <c r="A7977" s="105" t="s">
        <v>32</v>
      </c>
      <c r="B7977" s="253">
        <v>44225</v>
      </c>
      <c r="C7977" s="4">
        <v>306</v>
      </c>
      <c r="D7977" s="183">
        <f t="shared" si="622"/>
        <v>40622</v>
      </c>
      <c r="E7977" s="4">
        <v>7</v>
      </c>
      <c r="F7977" s="57">
        <v>714</v>
      </c>
      <c r="G7977" s="251">
        <f>SUM(C7977,C7953,C7929,C7905,C7881,C7857,C7833,C7809,C7785,C7761,C7737,C7713,C7689,C7665)/POBLA!$B$8*100000</f>
        <v>343.44400744321086</v>
      </c>
      <c r="H7977" s="252">
        <f t="shared" ref="H7977:H7993" si="624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05" t="s">
        <v>42</v>
      </c>
      <c r="B7978" s="253">
        <v>44225</v>
      </c>
      <c r="C7978" s="4">
        <v>8</v>
      </c>
      <c r="D7978" s="183">
        <f t="shared" si="622"/>
        <v>841</v>
      </c>
      <c r="F7978" s="57">
        <v>5</v>
      </c>
      <c r="G7978" s="251">
        <f>SUM(C7978,C7954,C7930,C7906,C7882,C7858,C7834,C7810,C7786,C7762,C7738,C7714,C7690,C7666)/POBLA!$B$9*100000</f>
        <v>46.761942058153345</v>
      </c>
      <c r="H7978" s="252">
        <f t="shared" si="624"/>
        <v>0.83480825958702065</v>
      </c>
    </row>
    <row r="7979" spans="1:8" ht="15.75" thickBot="1" x14ac:dyDescent="0.3">
      <c r="A7979" s="105" t="s">
        <v>33</v>
      </c>
      <c r="B7979" s="253">
        <v>44225</v>
      </c>
      <c r="C7979" s="4">
        <v>29</v>
      </c>
      <c r="D7979" s="183">
        <f t="shared" si="622"/>
        <v>19275</v>
      </c>
      <c r="E7979" s="4">
        <v>1</v>
      </c>
      <c r="F7979" s="57">
        <v>872</v>
      </c>
      <c r="G7979" s="251">
        <f>SUM(C7979,C7955,C7931,C7907,C7883,C7859,C7835,C7811,C7787,C7763,C7739,C7715,C7691,C7667)/POBLA!$B$10*100000</f>
        <v>64.212245469793643</v>
      </c>
      <c r="H7979" s="252">
        <f t="shared" si="624"/>
        <v>2.2811059907834101</v>
      </c>
    </row>
    <row r="7980" spans="1:8" ht="15.75" thickBot="1" x14ac:dyDescent="0.3">
      <c r="A7980" s="105" t="s">
        <v>34</v>
      </c>
      <c r="B7980" s="253">
        <v>44225</v>
      </c>
      <c r="C7980" s="4">
        <v>82</v>
      </c>
      <c r="D7980" s="183">
        <f t="shared" si="622"/>
        <v>16320</v>
      </c>
      <c r="F7980" s="57">
        <v>237</v>
      </c>
      <c r="G7980" s="251">
        <f>SUM(C7980,C7956,C7932,C7908,C7884,C7860,C7836,C7812,C7788,C7764,C7740,C7716,C7692,C7668)/POBLA!$B$11*100000</f>
        <v>442.48775207294074</v>
      </c>
      <c r="H7980" s="252">
        <f t="shared" si="624"/>
        <v>0.43368881596937381</v>
      </c>
    </row>
    <row r="7981" spans="1:8" ht="15.75" thickBot="1" x14ac:dyDescent="0.3">
      <c r="A7981" s="105" t="s">
        <v>22</v>
      </c>
      <c r="B7981" s="253">
        <v>44225</v>
      </c>
      <c r="C7981" s="4">
        <v>17</v>
      </c>
      <c r="D7981" s="183">
        <f t="shared" si="622"/>
        <v>9515</v>
      </c>
      <c r="F7981" s="57">
        <v>411</v>
      </c>
      <c r="G7981" s="251">
        <f>SUM(C7981,C7957,C7933,C7909,C7885,C7861,C7837,C7813,C7789,C7765,C7741,C7717,C7693,C7669)/POBLA!$B$12*100000</f>
        <v>61.74862971405048</v>
      </c>
      <c r="H7981" s="252">
        <f t="shared" si="624"/>
        <v>1.51875</v>
      </c>
    </row>
    <row r="7982" spans="1:8" ht="15.75" thickBot="1" x14ac:dyDescent="0.3">
      <c r="A7982" s="105" t="s">
        <v>18</v>
      </c>
      <c r="B7982" s="253">
        <v>44225</v>
      </c>
      <c r="C7982" s="4">
        <v>118</v>
      </c>
      <c r="D7982" s="183">
        <f t="shared" si="622"/>
        <v>63690</v>
      </c>
      <c r="E7982" s="4">
        <v>8</v>
      </c>
      <c r="F7982" s="57">
        <v>1359</v>
      </c>
      <c r="G7982" s="251">
        <f>SUM(C7982,C7958,C7934,C7910,C7886,C7862,C7838,C7814,C7790,C7766,C7742,C7718,C7694,C7670)/POBLA!$B$13*100000</f>
        <v>83.000977723381652</v>
      </c>
      <c r="H7982" s="252">
        <f t="shared" si="624"/>
        <v>0.89297297297297296</v>
      </c>
    </row>
    <row r="7983" spans="1:8" ht="15.75" thickBot="1" x14ac:dyDescent="0.3">
      <c r="A7983" s="105" t="s">
        <v>24</v>
      </c>
      <c r="B7983" s="253">
        <v>44225</v>
      </c>
      <c r="C7983" s="4">
        <v>217</v>
      </c>
      <c r="D7983" s="183">
        <f t="shared" si="622"/>
        <v>4369</v>
      </c>
      <c r="E7983" s="4">
        <v>3</v>
      </c>
      <c r="F7983" s="57">
        <v>82</v>
      </c>
      <c r="G7983" s="251">
        <f>SUM(C7983,C7959,C7935,C7911,C7887,C7863,C7839,C7815,C7791,C7767,C7743,C7719,C7695,C7671)/POBLA!$B$14*100000</f>
        <v>198.4469917402287</v>
      </c>
      <c r="H7983" s="252">
        <f t="shared" si="624"/>
        <v>3.1926020408163267</v>
      </c>
    </row>
    <row r="7984" spans="1:8" ht="15.75" thickBot="1" x14ac:dyDescent="0.3">
      <c r="A7984" s="105" t="s">
        <v>20</v>
      </c>
      <c r="B7984" s="253">
        <v>44225</v>
      </c>
      <c r="C7984" s="4">
        <v>485</v>
      </c>
      <c r="D7984" s="183">
        <f t="shared" si="622"/>
        <v>53529</v>
      </c>
      <c r="F7984" s="57">
        <v>768</v>
      </c>
      <c r="G7984" s="251">
        <f>SUM(C7984,C7960,C7936,C7912,C7888,C7864,C7840,C7816,C7792,C7768,C7744,C7720,C7696,C7672)/POBLA!$B$15*100000</f>
        <v>875.97901987329396</v>
      </c>
      <c r="H7984" s="252">
        <f t="shared" si="624"/>
        <v>0.90004641807210273</v>
      </c>
    </row>
    <row r="7985" spans="1:8" ht="15.75" thickBot="1" x14ac:dyDescent="0.3">
      <c r="A7985" s="105" t="s">
        <v>19</v>
      </c>
      <c r="B7985" s="253">
        <v>44225</v>
      </c>
      <c r="C7985" s="4">
        <v>330</v>
      </c>
      <c r="D7985" s="183">
        <f t="shared" si="622"/>
        <v>47632</v>
      </c>
      <c r="E7985" s="4">
        <v>9</v>
      </c>
      <c r="F7985" s="57">
        <v>1072</v>
      </c>
      <c r="G7985" s="251">
        <f>SUM(C7985,C7961,C7937,C7913,C7889,C7865,C7841,C7817,C7793,C7769,C7745,C7721,C7697,C7673)/POBLA!$B$16*100000</f>
        <v>564.59918941694207</v>
      </c>
      <c r="H7985" s="252">
        <f t="shared" si="624"/>
        <v>0.89598811292719172</v>
      </c>
    </row>
    <row r="7986" spans="1:8" ht="15.75" thickBot="1" x14ac:dyDescent="0.3">
      <c r="A7986" s="105" t="s">
        <v>35</v>
      </c>
      <c r="B7986" s="253">
        <v>44225</v>
      </c>
      <c r="C7986" s="4">
        <v>44</v>
      </c>
      <c r="D7986" s="183">
        <f t="shared" si="622"/>
        <v>23724</v>
      </c>
      <c r="E7986" s="4">
        <v>3</v>
      </c>
      <c r="F7986" s="57">
        <v>1043</v>
      </c>
      <c r="G7986" s="251">
        <f>SUM(C7986,C7962,C7938,C7914,C7890,C7866,C7842,C7818,C7794,C7770,C7746,C7722,C7698,C7674)/POBLA!$B$17*100000</f>
        <v>52.302834111557388</v>
      </c>
      <c r="H7986" s="252">
        <f t="shared" si="624"/>
        <v>1.2713310580204777</v>
      </c>
    </row>
    <row r="7987" spans="1:8" ht="15.75" thickBot="1" x14ac:dyDescent="0.3">
      <c r="A7987" s="105" t="s">
        <v>36</v>
      </c>
      <c r="B7987" s="253">
        <v>44225</v>
      </c>
      <c r="C7987" s="4">
        <v>71</v>
      </c>
      <c r="D7987" s="183">
        <f t="shared" si="622"/>
        <v>13906</v>
      </c>
      <c r="F7987" s="57">
        <v>198</v>
      </c>
      <c r="G7987" s="251">
        <f>SUM(C7987,C7963,C7939,C7915,C7891,C7867,C7843,C7819,C7795,C7771,C7747,C7723,C7699,C7675)/POBLA!$B$18*100000</f>
        <v>112.38874730068599</v>
      </c>
      <c r="H7987" s="252">
        <f t="shared" si="624"/>
        <v>0.59850034083162917</v>
      </c>
    </row>
    <row r="7988" spans="1:8" ht="15.75" thickBot="1" x14ac:dyDescent="0.3">
      <c r="A7988" s="105" t="s">
        <v>37</v>
      </c>
      <c r="B7988" s="253">
        <v>44225</v>
      </c>
      <c r="C7988" s="4">
        <v>14</v>
      </c>
      <c r="D7988" s="183">
        <f t="shared" si="622"/>
        <v>18961</v>
      </c>
      <c r="F7988" s="57">
        <v>330</v>
      </c>
      <c r="G7988" s="251">
        <f>SUM(C7988,C7964,C7940,C7916,C7892,C7868,C7844,C7820,C7796,C7772,C7748,C7724,C7700,C7676)/POBLA!$B$19*100000</f>
        <v>426.49627799373638</v>
      </c>
      <c r="H7988" s="252">
        <f t="shared" si="624"/>
        <v>3.6498316498316496</v>
      </c>
    </row>
    <row r="7989" spans="1:8" ht="15.75" thickBot="1" x14ac:dyDescent="0.3">
      <c r="A7989" s="105" t="s">
        <v>38</v>
      </c>
      <c r="B7989" s="253">
        <v>44225</v>
      </c>
      <c r="C7989" s="4">
        <v>164</v>
      </c>
      <c r="D7989" s="183">
        <f t="shared" si="622"/>
        <v>32304</v>
      </c>
      <c r="E7989" s="4">
        <v>2</v>
      </c>
      <c r="F7989" s="57">
        <v>489</v>
      </c>
      <c r="G7989" s="251">
        <f>SUM(C7989,C7965,C7941,C7917,C7893,C7869,C7845,C7821,C7797,C7773,C7749,C7725,C7701,C7677)/POBLA!$B$20*100000</f>
        <v>939.29964068712445</v>
      </c>
      <c r="H7989" s="252">
        <f t="shared" si="624"/>
        <v>0.68975903614457834</v>
      </c>
    </row>
    <row r="7990" spans="1:8" ht="15.75" thickBot="1" x14ac:dyDescent="0.3">
      <c r="A7990" s="105" t="s">
        <v>23</v>
      </c>
      <c r="B7990" s="253">
        <v>44225</v>
      </c>
      <c r="C7990" s="4">
        <v>631</v>
      </c>
      <c r="D7990" s="183">
        <f t="shared" si="622"/>
        <v>205094</v>
      </c>
      <c r="E7990" s="4">
        <v>27</v>
      </c>
      <c r="F7990" s="57">
        <v>3494</v>
      </c>
      <c r="G7990" s="251">
        <f>SUM(C7990,C7966,C7942,C7918,C7894,C7870,C7846,C7822,C7798,C7774,C7750,C7726,C7702,C7678)/POBLA!$B$21*100000</f>
        <v>332.68126109526645</v>
      </c>
      <c r="H7990" s="252">
        <f t="shared" si="624"/>
        <v>0.70864956029394044</v>
      </c>
    </row>
    <row r="7991" spans="1:8" ht="15.75" thickBot="1" x14ac:dyDescent="0.3">
      <c r="A7991" s="105" t="s">
        <v>39</v>
      </c>
      <c r="B7991" s="253">
        <v>44225</v>
      </c>
      <c r="C7991" s="4">
        <v>-53</v>
      </c>
      <c r="D7991" s="183">
        <f t="shared" si="622"/>
        <v>20670</v>
      </c>
      <c r="E7991" s="4">
        <v>1</v>
      </c>
      <c r="F7991" s="57">
        <v>242</v>
      </c>
      <c r="G7991" s="251">
        <f>SUM(C7991,C7967,C7943,C7919,C7895,C7871,C7847,C7823,C7799,C7775,C7751,C7727,C7703,C7679)/POBLA!$B$22*100000</f>
        <v>135.74387747070722</v>
      </c>
      <c r="H7991" s="252">
        <f t="shared" si="624"/>
        <v>0.69784550709406201</v>
      </c>
    </row>
    <row r="7992" spans="1:8" ht="15.75" thickBot="1" x14ac:dyDescent="0.3">
      <c r="A7992" s="105" t="s">
        <v>40</v>
      </c>
      <c r="B7992" s="253">
        <v>44225</v>
      </c>
      <c r="C7992" s="4">
        <v>66</v>
      </c>
      <c r="D7992" s="183">
        <f t="shared" si="622"/>
        <v>21760</v>
      </c>
      <c r="F7992" s="57">
        <v>332</v>
      </c>
      <c r="G7992" s="251">
        <f>SUM(C7992,C7968,C7944,C7920,C7896,C7872,C7848,C7824,C7800,C7776,C7752,C7728,C7704,C7680)/POBLA!$B$23*100000</f>
        <v>621.50087654809704</v>
      </c>
      <c r="H7992" s="252">
        <f t="shared" si="624"/>
        <v>0.7631944444444444</v>
      </c>
    </row>
    <row r="7993" spans="1:8" ht="15.75" thickBot="1" x14ac:dyDescent="0.3">
      <c r="A7993" s="107" t="s">
        <v>41</v>
      </c>
      <c r="B7993" s="245">
        <v>44225</v>
      </c>
      <c r="C7993" s="30">
        <v>138</v>
      </c>
      <c r="D7993" s="246">
        <f t="shared" si="622"/>
        <v>76268</v>
      </c>
      <c r="E7993" s="30">
        <v>6</v>
      </c>
      <c r="F7993" s="100">
        <v>1427</v>
      </c>
      <c r="G7993" s="251">
        <f>SUM(C7993,C7969,C7945,C7921,C7897,C7873,C7849,C7825,C7801,C7777,C7753,C7729,C7705,C7681)/POBLA!$B$24*100000</f>
        <v>127.99057743872503</v>
      </c>
      <c r="H7993" s="257">
        <f t="shared" si="624"/>
        <v>0.73425863236289779</v>
      </c>
    </row>
    <row r="7994" spans="1:8" ht="15.75" thickBot="1" x14ac:dyDescent="0.3">
      <c r="A7994" s="45" t="s">
        <v>17</v>
      </c>
      <c r="B7994" s="32">
        <v>44226</v>
      </c>
      <c r="C7994" s="33">
        <v>3066</v>
      </c>
      <c r="D7994" s="97">
        <f t="shared" si="622"/>
        <v>802121</v>
      </c>
      <c r="E7994" s="33">
        <v>120</v>
      </c>
      <c r="F7994" s="250">
        <f>E7994+F7970</f>
        <v>24473</v>
      </c>
      <c r="G7994" s="251">
        <f>SUM(C7994,C7970,C7946,C7922,C7898,C7874,C7850,C7826,C7802,C7778,C7754,C7730,C7706,C7682)/POBLA!$B$1*100000</f>
        <v>303.63475215209775</v>
      </c>
      <c r="H7994" s="230">
        <f t="shared" ref="H7994:H8000" si="625">SUM(C7994,C7970,C7946,C7922,C7898,C7874,C7850,C7826,C7802,C7778,C7754,C7730,C7706,C7682)/SUM(C7658,C7634,C7610,C7586,C7562,C7538,C7514,C7490,C7466,C7442,C7418,C7394,C7370,C7346)</f>
        <v>0.88018707342466662</v>
      </c>
    </row>
    <row r="7995" spans="1:8" ht="15.75" thickBot="1" x14ac:dyDescent="0.3">
      <c r="A7995" s="105" t="s">
        <v>44</v>
      </c>
      <c r="B7995" s="19">
        <v>44226</v>
      </c>
      <c r="C7995" s="4">
        <v>951</v>
      </c>
      <c r="D7995" s="21">
        <f t="shared" si="622"/>
        <v>209491</v>
      </c>
      <c r="E7995" s="4">
        <v>5</v>
      </c>
      <c r="F7995" s="57">
        <f>E7995+F7971</f>
        <v>6044</v>
      </c>
      <c r="G7995" s="251">
        <f>SUM(C7995,C7971,C7947,C7923,C7899,C7875,C7851,C7827,C7803,C7779,C7755,C7731,C7707,C7683)/POBLA!$B$2*100000</f>
        <v>518.91537582673698</v>
      </c>
      <c r="H7995" s="252">
        <f t="shared" si="625"/>
        <v>0.89346694284274752</v>
      </c>
    </row>
    <row r="7996" spans="1:8" ht="15.75" thickBot="1" x14ac:dyDescent="0.3">
      <c r="A7996" s="105" t="s">
        <v>29</v>
      </c>
      <c r="B7996" s="19">
        <v>44226</v>
      </c>
      <c r="C7996" s="4">
        <v>86</v>
      </c>
      <c r="D7996" s="21">
        <f t="shared" si="622"/>
        <v>5241</v>
      </c>
      <c r="F7996" s="57">
        <f>E7996+F7972</f>
        <v>17</v>
      </c>
      <c r="G7996" s="251">
        <f>SUM(C7996,C7972,C7948,C7924,C7900,C7876,C7852,C7828,C7804,C7780,C7756,C7732,C7708,C7684)/POBLA!$B$3*100000</f>
        <v>283.31544057115622</v>
      </c>
      <c r="H7996" s="252">
        <f t="shared" si="625"/>
        <v>0.9446227929373997</v>
      </c>
    </row>
    <row r="7997" spans="1:8" ht="15.75" thickBot="1" x14ac:dyDescent="0.3">
      <c r="A7997" s="105" t="s">
        <v>16</v>
      </c>
      <c r="B7997" s="19">
        <v>44226</v>
      </c>
      <c r="C7997" s="4">
        <v>116</v>
      </c>
      <c r="D7997" s="21">
        <f t="shared" si="622"/>
        <v>30668</v>
      </c>
      <c r="F7997" s="57">
        <f t="shared" ref="F7997:F8017" si="626">E7997+F7973</f>
        <v>788</v>
      </c>
      <c r="G7997" s="251">
        <f>SUM(C7997,C7973,C7949,C7925,C7901,C7877,C7853,C7829,C7805,C7781,C7757,C7733,C7709,C7685)/POBLA!$B$4*100000</f>
        <v>193.434677607487</v>
      </c>
      <c r="H7997" s="252">
        <f t="shared" si="625"/>
        <v>0.70541931577353922</v>
      </c>
    </row>
    <row r="7998" spans="1:8" ht="15.75" thickBot="1" x14ac:dyDescent="0.3">
      <c r="A7998" s="105" t="s">
        <v>30</v>
      </c>
      <c r="B7998" s="19">
        <v>44226</v>
      </c>
      <c r="C7998" s="4">
        <v>233</v>
      </c>
      <c r="D7998" s="21">
        <f t="shared" si="622"/>
        <v>42216</v>
      </c>
      <c r="E7998" s="4">
        <v>7</v>
      </c>
      <c r="F7998" s="57">
        <f t="shared" si="626"/>
        <v>617</v>
      </c>
      <c r="G7998" s="251">
        <f>SUM(C7998,C7974,C7950,C7926,C7902,C7878,C7854,C7830,C7806,C7782,C7758,C7734,C7710,C7686)/POBLA!$B$5*100000</f>
        <v>667.05008449193372</v>
      </c>
      <c r="H7998" s="252">
        <f t="shared" si="625"/>
        <v>0.70762639245929737</v>
      </c>
    </row>
    <row r="7999" spans="1:8" ht="15.75" thickBot="1" x14ac:dyDescent="0.3">
      <c r="A7999" s="105" t="s">
        <v>31</v>
      </c>
      <c r="B7999" s="19">
        <v>44226</v>
      </c>
      <c r="C7999" s="4">
        <v>192</v>
      </c>
      <c r="D7999" s="21">
        <f t="shared" si="622"/>
        <v>17332</v>
      </c>
      <c r="F7999" s="57">
        <f>E8000+F7976</f>
        <v>204</v>
      </c>
      <c r="G7999" s="251">
        <f>SUM(C7999,C7975,C7951,C7927,C7903,C7879,C7855,C7831,C7807,C7783,C7759,C7735,C7711,C7687)/POBLA!$B$7*100000</f>
        <v>58.530229094922156</v>
      </c>
      <c r="H7999" s="252">
        <f t="shared" si="625"/>
        <v>0.23464818763326226</v>
      </c>
    </row>
    <row r="8000" spans="1:8" ht="15.75" thickBot="1" x14ac:dyDescent="0.3">
      <c r="A8000" s="105" t="s">
        <v>21</v>
      </c>
      <c r="B8000" s="19">
        <v>44226</v>
      </c>
      <c r="C8000" s="4">
        <v>239</v>
      </c>
      <c r="D8000" s="21">
        <f t="shared" si="622"/>
        <v>144696</v>
      </c>
      <c r="E8000" s="4">
        <v>5</v>
      </c>
      <c r="F8000" s="57">
        <f>E7999+F7975</f>
        <v>2694</v>
      </c>
      <c r="G8000" s="251">
        <f>SUM(C8000,C7976,C7952,C7928,C7904,C7880,C7856,C7832,C7808,C7784,C7760,C7736,C7712,C7688)/POBLA!$B$6*100000</f>
        <v>635.08151759322129</v>
      </c>
      <c r="H8000" s="252">
        <f t="shared" si="625"/>
        <v>2.2334483840602446</v>
      </c>
    </row>
    <row r="8001" spans="1:8" ht="15.75" thickBot="1" x14ac:dyDescent="0.3">
      <c r="A8001" s="105" t="s">
        <v>32</v>
      </c>
      <c r="B8001" s="19">
        <v>44226</v>
      </c>
      <c r="C8001" s="4">
        <v>240</v>
      </c>
      <c r="D8001" s="21">
        <f t="shared" si="622"/>
        <v>40862</v>
      </c>
      <c r="E8001" s="4">
        <v>5</v>
      </c>
      <c r="F8001" s="57">
        <f t="shared" si="626"/>
        <v>719</v>
      </c>
      <c r="G8001" s="251">
        <f>SUM(C8001,C7977,C7953,C7929,C7905,C7881,C7857,C7833,C7809,C7785,C7761,C7737,C7713,C7689)/POBLA!$B$8*100000</f>
        <v>338.10475186531221</v>
      </c>
      <c r="H8001" s="252">
        <f t="shared" ref="H8001:H8017" si="627">SUM(C8001,C7977,C7953,C7929,C7905,C7881,C7857,C7833,C7809,C7785,C7761,C7737,C7713,C7689)/SUM(C7665,C7641,C7617,C7593,C7569,C7545,C7521,C7497,C7473,C7449,C7425,C7401,C7377,C7353)</f>
        <v>0.74605954465849389</v>
      </c>
    </row>
    <row r="8002" spans="1:8" ht="15.75" thickBot="1" x14ac:dyDescent="0.3">
      <c r="A8002" s="105" t="s">
        <v>42</v>
      </c>
      <c r="B8002" s="19">
        <v>44226</v>
      </c>
      <c r="C8002" s="4">
        <v>2</v>
      </c>
      <c r="D8002" s="21">
        <f t="shared" ref="D8002:D8066" si="628">C8002+D7978</f>
        <v>843</v>
      </c>
      <c r="F8002" s="57">
        <f t="shared" si="626"/>
        <v>5</v>
      </c>
      <c r="G8002" s="251">
        <f>SUM(C8002,C7978,C7954,C7930,C7906,C7882,C7858,C7834,C7810,C7786,C7762,C7738,C7714,C7690)/POBLA!$B$9*100000</f>
        <v>42.300555360025648</v>
      </c>
      <c r="H8002" s="252">
        <f t="shared" si="627"/>
        <v>0.6975476839237057</v>
      </c>
    </row>
    <row r="8003" spans="1:8" ht="15.75" thickBot="1" x14ac:dyDescent="0.3">
      <c r="A8003" s="105" t="s">
        <v>33</v>
      </c>
      <c r="B8003" s="19">
        <v>44226</v>
      </c>
      <c r="C8003" s="4">
        <v>17</v>
      </c>
      <c r="D8003" s="21">
        <f t="shared" si="628"/>
        <v>19292</v>
      </c>
      <c r="F8003" s="57">
        <f t="shared" si="626"/>
        <v>872</v>
      </c>
      <c r="G8003" s="251">
        <f>SUM(C8003,C7979,C7955,C7931,C7907,C7883,C7859,C7835,C7811,C7787,C7763,C7739,C7715,C7691)/POBLA!$B$10*100000</f>
        <v>63.69335863771451</v>
      </c>
      <c r="H8003" s="252">
        <f t="shared" si="627"/>
        <v>2.0543933054393304</v>
      </c>
    </row>
    <row r="8004" spans="1:8" ht="15.75" thickBot="1" x14ac:dyDescent="0.3">
      <c r="A8004" s="105" t="s">
        <v>34</v>
      </c>
      <c r="B8004" s="19">
        <v>44226</v>
      </c>
      <c r="C8004" s="4">
        <v>70</v>
      </c>
      <c r="D8004" s="21">
        <f t="shared" si="628"/>
        <v>16390</v>
      </c>
      <c r="F8004" s="57">
        <f t="shared" si="626"/>
        <v>237</v>
      </c>
      <c r="G8004" s="251">
        <f>SUM(C8004,C7980,C7956,C7932,C7908,C7884,C7860,C7836,C7812,C7788,C7764,C7740,C7716,C7692)/POBLA!$B$11*100000</f>
        <v>431.32790964991574</v>
      </c>
      <c r="H8004" s="252">
        <f t="shared" si="627"/>
        <v>0.43305322128851542</v>
      </c>
    </row>
    <row r="8005" spans="1:8" ht="15.75" thickBot="1" x14ac:dyDescent="0.3">
      <c r="A8005" s="105" t="s">
        <v>22</v>
      </c>
      <c r="B8005" s="19">
        <v>44226</v>
      </c>
      <c r="C8005" s="4">
        <v>17</v>
      </c>
      <c r="D8005" s="21">
        <f t="shared" si="628"/>
        <v>9532</v>
      </c>
      <c r="F8005" s="57">
        <f t="shared" si="626"/>
        <v>411</v>
      </c>
      <c r="G8005" s="251">
        <f>SUM(C8005,C7981,C7957,C7933,C7909,C7885,C7861,C7837,C7813,C7789,C7765,C7741,C7717,C7693)/POBLA!$B$12*100000</f>
        <v>63.019177650553573</v>
      </c>
      <c r="H8005" s="252">
        <f t="shared" si="627"/>
        <v>1.5214723926380369</v>
      </c>
    </row>
    <row r="8006" spans="1:8" ht="15.75" thickBot="1" x14ac:dyDescent="0.3">
      <c r="A8006" s="105" t="s">
        <v>18</v>
      </c>
      <c r="B8006" s="19">
        <v>44226</v>
      </c>
      <c r="C8006" s="4">
        <v>78</v>
      </c>
      <c r="D8006" s="21">
        <f t="shared" si="628"/>
        <v>63768</v>
      </c>
      <c r="F8006" s="57">
        <f t="shared" si="626"/>
        <v>1359</v>
      </c>
      <c r="G8006" s="251">
        <f>SUM(C8006,C7982,C7958,C7934,C7910,C7886,C7862,C7838,C7814,C7790,C7766,C7742,C7718,C7694)/POBLA!$B$13*100000</f>
        <v>80.137142535589433</v>
      </c>
      <c r="H8006" s="252">
        <f t="shared" si="627"/>
        <v>0.83072916666666663</v>
      </c>
    </row>
    <row r="8007" spans="1:8" ht="15.75" thickBot="1" x14ac:dyDescent="0.3">
      <c r="A8007" s="105" t="s">
        <v>24</v>
      </c>
      <c r="B8007" s="19">
        <v>44226</v>
      </c>
      <c r="C8007" s="4">
        <v>208</v>
      </c>
      <c r="D8007" s="21">
        <f t="shared" si="628"/>
        <v>4577</v>
      </c>
      <c r="E8007" s="4">
        <v>2</v>
      </c>
      <c r="F8007" s="57">
        <f t="shared" si="626"/>
        <v>84</v>
      </c>
      <c r="G8007" s="251">
        <f>SUM(C8007,C7983,C7959,C7935,C7911,C7887,C7863,C7839,C7815,C7791,C7767,C7743,C7719,C7695)/POBLA!$B$14*100000</f>
        <v>203.52114574397405</v>
      </c>
      <c r="H8007" s="252">
        <f t="shared" si="627"/>
        <v>2.7721382289416847</v>
      </c>
    </row>
    <row r="8008" spans="1:8" ht="15.75" thickBot="1" x14ac:dyDescent="0.3">
      <c r="A8008" s="105" t="s">
        <v>20</v>
      </c>
      <c r="B8008" s="19">
        <v>44226</v>
      </c>
      <c r="C8008" s="4">
        <v>275</v>
      </c>
      <c r="D8008" s="21">
        <f t="shared" si="628"/>
        <v>53804</v>
      </c>
      <c r="F8008" s="57">
        <f t="shared" si="626"/>
        <v>768</v>
      </c>
      <c r="G8008" s="251">
        <f>SUM(C8008,C7984,C7960,C7936,C7912,C7888,C7864,C7840,C7816,C7792,C7768,C7744,C7720,C7696)/POBLA!$B$15*100000</f>
        <v>875.22607246064717</v>
      </c>
      <c r="H8008" s="252">
        <f t="shared" si="627"/>
        <v>0.9027648337993166</v>
      </c>
    </row>
    <row r="8009" spans="1:8" ht="15.75" thickBot="1" x14ac:dyDescent="0.3">
      <c r="A8009" s="105" t="s">
        <v>19</v>
      </c>
      <c r="B8009" s="19">
        <v>44226</v>
      </c>
      <c r="C8009" s="4">
        <v>182</v>
      </c>
      <c r="D8009" s="21">
        <f t="shared" si="628"/>
        <v>47814</v>
      </c>
      <c r="E8009" s="4">
        <v>2</v>
      </c>
      <c r="F8009" s="57">
        <f t="shared" si="626"/>
        <v>1074</v>
      </c>
      <c r="G8009" s="251">
        <f>SUM(C8009,C7985,C7961,C7937,C7913,C7889,C7865,C7841,C7817,C7793,C7769,C7745,C7721,C7697)/POBLA!$B$16*100000</f>
        <v>549.35059723652705</v>
      </c>
      <c r="H8009" s="252">
        <f t="shared" si="627"/>
        <v>0.84732824427480913</v>
      </c>
    </row>
    <row r="8010" spans="1:8" ht="15.75" thickBot="1" x14ac:dyDescent="0.3">
      <c r="A8010" s="105" t="s">
        <v>35</v>
      </c>
      <c r="B8010" s="19">
        <v>44226</v>
      </c>
      <c r="C8010" s="4">
        <v>54</v>
      </c>
      <c r="D8010" s="21">
        <f t="shared" si="628"/>
        <v>23778</v>
      </c>
      <c r="F8010" s="57">
        <f t="shared" si="626"/>
        <v>1043</v>
      </c>
      <c r="G8010" s="251">
        <f>SUM(C8010,C7986,C7962,C7938,C7914,C7890,C7866,C7842,C7818,C7794,C7770,C7746,C7722,C7698)/POBLA!$B$17*100000</f>
        <v>51.600782646972718</v>
      </c>
      <c r="H8010" s="252">
        <f t="shared" si="627"/>
        <v>1.152037617554859</v>
      </c>
    </row>
    <row r="8011" spans="1:8" ht="15.75" thickBot="1" x14ac:dyDescent="0.3">
      <c r="A8011" s="105" t="s">
        <v>36</v>
      </c>
      <c r="B8011" s="19">
        <v>44226</v>
      </c>
      <c r="C8011" s="4">
        <v>33</v>
      </c>
      <c r="D8011" s="21">
        <f t="shared" si="628"/>
        <v>13939</v>
      </c>
      <c r="F8011" s="57">
        <f t="shared" si="626"/>
        <v>198</v>
      </c>
      <c r="G8011" s="251">
        <f>SUM(C8011,C7987,C7963,C7939,C7915,C7891,C7867,C7843,C7819,C7795,C7771,C7747,C7723,C7699)/POBLA!$B$18*100000</f>
        <v>108.93260131307947</v>
      </c>
      <c r="H8011" s="252">
        <f t="shared" si="627"/>
        <v>0.5587655942219304</v>
      </c>
    </row>
    <row r="8012" spans="1:8" ht="15.75" thickBot="1" x14ac:dyDescent="0.3">
      <c r="A8012" s="105" t="s">
        <v>37</v>
      </c>
      <c r="B8012" s="19">
        <v>44226</v>
      </c>
      <c r="C8012" s="4">
        <v>27</v>
      </c>
      <c r="D8012" s="21">
        <f t="shared" si="628"/>
        <v>18988</v>
      </c>
      <c r="F8012" s="57">
        <f t="shared" si="626"/>
        <v>330</v>
      </c>
      <c r="G8012" s="251">
        <f>SUM(C8012,C7988,C7964,C7940,C7916,C7892,C7868,C7844,C7820,C7796,C7772,C7748,C7724,C7700)/POBLA!$B$19*100000</f>
        <v>427.08644812011147</v>
      </c>
      <c r="H8012" s="252">
        <f t="shared" si="627"/>
        <v>3.5243506493506493</v>
      </c>
    </row>
    <row r="8013" spans="1:8" ht="15.75" thickBot="1" x14ac:dyDescent="0.3">
      <c r="A8013" s="105" t="s">
        <v>38</v>
      </c>
      <c r="B8013" s="19">
        <v>44226</v>
      </c>
      <c r="C8013" s="4">
        <v>137</v>
      </c>
      <c r="D8013" s="21">
        <f t="shared" si="628"/>
        <v>32441</v>
      </c>
      <c r="E8013" s="4">
        <v>4</v>
      </c>
      <c r="F8013" s="57">
        <f t="shared" si="626"/>
        <v>493</v>
      </c>
      <c r="G8013" s="251">
        <f>SUM(C8013,C7989,C7965,C7941,C7917,C7893,C7869,C7845,C7821,C7797,C7773,C7749,C7725,C7701)/POBLA!$B$20*100000</f>
        <v>910.04052524213967</v>
      </c>
      <c r="H8013" s="252">
        <f t="shared" si="627"/>
        <v>0.67656027647895911</v>
      </c>
    </row>
    <row r="8014" spans="1:8" ht="15.75" thickBot="1" x14ac:dyDescent="0.3">
      <c r="A8014" s="105" t="s">
        <v>23</v>
      </c>
      <c r="B8014" s="19">
        <v>44226</v>
      </c>
      <c r="C8014" s="4">
        <v>515</v>
      </c>
      <c r="D8014" s="21">
        <f t="shared" si="628"/>
        <v>205609</v>
      </c>
      <c r="E8014" s="4">
        <v>6</v>
      </c>
      <c r="F8014" s="57">
        <f t="shared" si="626"/>
        <v>3500</v>
      </c>
      <c r="G8014" s="251">
        <f>SUM(C8014,C7990,C7966,C7942,C7918,C7894,C7870,C7846,C7822,C7798,C7774,C7750,C7726,C7702)/POBLA!$B$21*100000</f>
        <v>316.76119734714615</v>
      </c>
      <c r="H8014" s="252">
        <f t="shared" si="627"/>
        <v>0.65462833099579243</v>
      </c>
    </row>
    <row r="8015" spans="1:8" ht="15.75" thickBot="1" x14ac:dyDescent="0.3">
      <c r="A8015" s="105" t="s">
        <v>39</v>
      </c>
      <c r="B8015" s="19">
        <v>44226</v>
      </c>
      <c r="C8015" s="4">
        <v>92</v>
      </c>
      <c r="D8015" s="21">
        <f t="shared" si="628"/>
        <v>20762</v>
      </c>
      <c r="F8015" s="57">
        <f t="shared" si="626"/>
        <v>242</v>
      </c>
      <c r="G8015" s="251">
        <f>SUM(C8015,C7991,C7967,C7943,C7919,C7895,C7871,C7847,C7823,C7799,C7775,C7751,C7727,C7703)/POBLA!$B$22*100000</f>
        <v>133.59732519142648</v>
      </c>
      <c r="H8015" s="252">
        <f t="shared" si="627"/>
        <v>0.69226694915254239</v>
      </c>
    </row>
    <row r="8016" spans="1:8" ht="15.75" thickBot="1" x14ac:dyDescent="0.3">
      <c r="A8016" s="105" t="s">
        <v>40</v>
      </c>
      <c r="B8016" s="19">
        <v>44226</v>
      </c>
      <c r="C8016" s="4">
        <v>15</v>
      </c>
      <c r="D8016" s="21">
        <f t="shared" si="628"/>
        <v>21775</v>
      </c>
      <c r="F8016" s="57">
        <f t="shared" si="626"/>
        <v>332</v>
      </c>
      <c r="G8016" s="251">
        <f>SUM(C8016,C7992,C7968,C7944,C7920,C7896,C7872,C7848,C7824,C7800,C7776,C7752,C7728,C7704)/POBLA!$B$23*100000</f>
        <v>607.92851891647342</v>
      </c>
      <c r="H8016" s="252">
        <f t="shared" si="627"/>
        <v>0.78409919766593728</v>
      </c>
    </row>
    <row r="8017" spans="1:8" ht="15.75" thickBot="1" x14ac:dyDescent="0.3">
      <c r="A8017" s="106" t="s">
        <v>41</v>
      </c>
      <c r="B8017" s="36">
        <v>44226</v>
      </c>
      <c r="C8017" s="37">
        <v>57</v>
      </c>
      <c r="D8017" s="98">
        <f t="shared" si="628"/>
        <v>76325</v>
      </c>
      <c r="E8017" s="37"/>
      <c r="F8017" s="255">
        <f t="shared" si="626"/>
        <v>1427</v>
      </c>
      <c r="G8017" s="251">
        <f>SUM(C8017,C7993,C7969,C7945,C7921,C7897,C7873,C7849,C7825,C7801,C7777,C7753,C7729,C7705)/POBLA!$B$24*100000</f>
        <v>125.8072434759621</v>
      </c>
      <c r="H8017" s="257">
        <f t="shared" si="627"/>
        <v>0.71019320453031309</v>
      </c>
    </row>
    <row r="8018" spans="1:8" ht="15.75" thickBot="1" x14ac:dyDescent="0.3">
      <c r="A8018" s="45" t="s">
        <v>17</v>
      </c>
      <c r="B8018" s="36">
        <v>44227</v>
      </c>
      <c r="C8018" s="31">
        <v>2227</v>
      </c>
      <c r="D8018" s="97">
        <f t="shared" si="628"/>
        <v>804348</v>
      </c>
      <c r="E8018" s="31">
        <v>13</v>
      </c>
      <c r="F8018" s="250">
        <f>E8018+F7994</f>
        <v>24486</v>
      </c>
      <c r="G8018" s="251">
        <f>SUM(C8018,C7994,C7970,C7946,C7922,C7898,C7874,C7850,C7826,C7802,C7778,C7754,C7730,C7706)/POBLA!$B$1*100000</f>
        <v>301.51972440105237</v>
      </c>
      <c r="H8018" s="230">
        <f t="shared" ref="H8018:H8024" si="629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05" t="s">
        <v>44</v>
      </c>
      <c r="B8019" s="36">
        <v>44227</v>
      </c>
      <c r="C8019" s="4">
        <v>757</v>
      </c>
      <c r="D8019" s="21">
        <f t="shared" si="628"/>
        <v>210248</v>
      </c>
      <c r="E8019" s="4">
        <v>2</v>
      </c>
      <c r="F8019" s="57">
        <f t="shared" ref="F8019:F8041" si="630">E8019+F7995</f>
        <v>6046</v>
      </c>
      <c r="G8019" s="251">
        <f>SUM(C8019,C7995,C7971,C7947,C7923,C7899,C7875,C7851,C7827,C7803,C7779,C7755,C7731,C7707)/POBLA!$B$2*100000</f>
        <v>505.90997793634244</v>
      </c>
      <c r="H8019" s="252">
        <f t="shared" si="629"/>
        <v>0.85527400648601115</v>
      </c>
    </row>
    <row r="8020" spans="1:8" ht="15.75" thickBot="1" x14ac:dyDescent="0.3">
      <c r="A8020" s="105" t="s">
        <v>29</v>
      </c>
      <c r="B8020" s="36">
        <v>44227</v>
      </c>
      <c r="C8020" s="4">
        <v>142</v>
      </c>
      <c r="D8020" s="21">
        <f t="shared" si="628"/>
        <v>5383</v>
      </c>
      <c r="F8020" s="57">
        <f t="shared" si="630"/>
        <v>17</v>
      </c>
      <c r="G8020" s="251">
        <f>SUM(C8020,C7996,C7972,C7948,C7924,C7900,C7876,C7852,C7828,C7804,C7780,C7756,C7732,C7708)/POBLA!$B$3*100000</f>
        <v>289.33318569798621</v>
      </c>
      <c r="H8020" s="252">
        <f t="shared" si="629"/>
        <v>0.90375939849624065</v>
      </c>
    </row>
    <row r="8021" spans="1:8" ht="15.75" thickBot="1" x14ac:dyDescent="0.3">
      <c r="A8021" s="105" t="s">
        <v>16</v>
      </c>
      <c r="B8021" s="36">
        <v>44227</v>
      </c>
      <c r="C8021" s="4">
        <v>86</v>
      </c>
      <c r="D8021" s="21">
        <f t="shared" si="628"/>
        <v>30754</v>
      </c>
      <c r="F8021" s="57">
        <f t="shared" si="630"/>
        <v>788</v>
      </c>
      <c r="G8021" s="251">
        <f>SUM(C8021,C7997,C7973,C7949,C7925,C7901,C7877,C7853,C7829,C7805,C7781,C7757,C7733,C7709)/POBLA!$B$4*100000</f>
        <v>186.21200938780828</v>
      </c>
      <c r="H8021" s="252">
        <f t="shared" si="629"/>
        <v>0.66696402022004164</v>
      </c>
    </row>
    <row r="8022" spans="1:8" ht="15.75" thickBot="1" x14ac:dyDescent="0.3">
      <c r="A8022" s="105" t="s">
        <v>30</v>
      </c>
      <c r="B8022" s="36">
        <v>44227</v>
      </c>
      <c r="C8022" s="4">
        <v>90</v>
      </c>
      <c r="D8022" s="21">
        <f t="shared" si="628"/>
        <v>42306</v>
      </c>
      <c r="F8022" s="57">
        <f t="shared" si="630"/>
        <v>617</v>
      </c>
      <c r="G8022" s="251">
        <f>SUM(C8022,C7998,C7974,C7950,C7926,C7902,C7878,C7854,C7830,C7806,C7782,C7758,C7734,C7710)/POBLA!$B$5*100000</f>
        <v>657.19538476948082</v>
      </c>
      <c r="H8022" s="252">
        <f t="shared" si="629"/>
        <v>0.70331950207468885</v>
      </c>
    </row>
    <row r="8023" spans="1:8" ht="15.75" thickBot="1" x14ac:dyDescent="0.3">
      <c r="A8023" s="105" t="s">
        <v>31</v>
      </c>
      <c r="B8023" s="36">
        <v>44227</v>
      </c>
      <c r="C8023" s="4">
        <v>41</v>
      </c>
      <c r="D8023" s="21">
        <f t="shared" si="628"/>
        <v>17373</v>
      </c>
      <c r="F8023" s="57">
        <f t="shared" ref="F8023:F8028" si="631">E8023+F7999</f>
        <v>204</v>
      </c>
      <c r="G8023" s="251">
        <f>SUM(C8023,C7999,C7975,C7951,C7927,C7903,C7879,C7855,C7831,C7807,C7783,C7759,C7735,C7711)/POBLA!$B$7*100000</f>
        <v>50.685423287106602</v>
      </c>
      <c r="H8023" s="252">
        <f t="shared" si="629"/>
        <v>0.20363247863247863</v>
      </c>
    </row>
    <row r="8024" spans="1:8" ht="15.75" thickBot="1" x14ac:dyDescent="0.3">
      <c r="A8024" s="105" t="s">
        <v>21</v>
      </c>
      <c r="B8024" s="36">
        <v>44227</v>
      </c>
      <c r="C8024" s="4">
        <v>344</v>
      </c>
      <c r="D8024" s="21">
        <f t="shared" si="628"/>
        <v>145040</v>
      </c>
      <c r="E8024" s="4">
        <v>1</v>
      </c>
      <c r="F8024" s="57">
        <f t="shared" si="631"/>
        <v>2695</v>
      </c>
      <c r="G8024" s="251">
        <f>SUM(C8024,C8000,C7976,C7952,C7928,C7904,C7880,C7856,C7832,C7808,C7784,C7760,C7736,C7712)/POBLA!$B$6*100000</f>
        <v>651.31990424705191</v>
      </c>
      <c r="H8024" s="252">
        <f t="shared" si="629"/>
        <v>2.2496147919876734</v>
      </c>
    </row>
    <row r="8025" spans="1:8" ht="15.75" thickBot="1" x14ac:dyDescent="0.3">
      <c r="A8025" s="105" t="s">
        <v>32</v>
      </c>
      <c r="B8025" s="36">
        <v>44227</v>
      </c>
      <c r="C8025" s="4">
        <v>127</v>
      </c>
      <c r="D8025" s="21">
        <f t="shared" si="628"/>
        <v>40989</v>
      </c>
      <c r="E8025" s="4">
        <v>5</v>
      </c>
      <c r="F8025" s="57">
        <f t="shared" si="631"/>
        <v>724</v>
      </c>
      <c r="G8025" s="251">
        <f>SUM(C8025,C8001,C7977,C7953,C7929,C7905,C7881,C7857,C7833,C7809,C7785,C7761,C7737,C7713)/POBLA!$B$8*100000</f>
        <v>324.54015661335347</v>
      </c>
      <c r="H8025" s="252">
        <f t="shared" ref="H8025:H8041" si="632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05" t="s">
        <v>42</v>
      </c>
      <c r="B8026" s="36">
        <v>44227</v>
      </c>
      <c r="C8026" s="4">
        <v>0</v>
      </c>
      <c r="D8026" s="21">
        <f t="shared" si="628"/>
        <v>843</v>
      </c>
      <c r="F8026" s="57">
        <f t="shared" si="631"/>
        <v>5</v>
      </c>
      <c r="G8026" s="251">
        <f>SUM(C8026,C8002,C7978,C7954,C7930,C7906,C7882,C7858,C7834,C7810,C7786,C7762,C7738,C7714)/POBLA!$B$9*100000</f>
        <v>29.742577987518033</v>
      </c>
      <c r="H8026" s="252">
        <f t="shared" si="632"/>
        <v>0.40723981900452488</v>
      </c>
    </row>
    <row r="8027" spans="1:8" ht="15.75" thickBot="1" x14ac:dyDescent="0.3">
      <c r="A8027" s="105" t="s">
        <v>33</v>
      </c>
      <c r="B8027" s="36">
        <v>44227</v>
      </c>
      <c r="C8027" s="4">
        <v>17</v>
      </c>
      <c r="D8027" s="21">
        <f t="shared" si="628"/>
        <v>19309</v>
      </c>
      <c r="E8027" s="4">
        <v>1</v>
      </c>
      <c r="F8027" s="57">
        <f t="shared" si="631"/>
        <v>873</v>
      </c>
      <c r="G8027" s="251">
        <f>SUM(C8027,C8003,C7979,C7955,C7931,C7907,C7883,C7859,C7835,C7811,C7787,C7763,C7739,C7715)/POBLA!$B$10*100000</f>
        <v>58.11532519286375</v>
      </c>
      <c r="H8027" s="252">
        <f t="shared" si="632"/>
        <v>1.5238095238095237</v>
      </c>
    </row>
    <row r="8028" spans="1:8" ht="15.75" thickBot="1" x14ac:dyDescent="0.3">
      <c r="A8028" s="105" t="s">
        <v>34</v>
      </c>
      <c r="B8028" s="36">
        <v>44227</v>
      </c>
      <c r="C8028" s="4">
        <v>49</v>
      </c>
      <c r="D8028" s="21">
        <f t="shared" si="628"/>
        <v>16439</v>
      </c>
      <c r="E8028" s="4">
        <v>1</v>
      </c>
      <c r="F8028" s="57">
        <f t="shared" si="631"/>
        <v>238</v>
      </c>
      <c r="G8028" s="251">
        <f>SUM(C8028,C8004,C7980,C7956,C7932,C7908,C7884,C7860,C7836,C7812,C7788,C7764,C7740,C7716)/POBLA!$B$11*100000</f>
        <v>402.870311471202</v>
      </c>
      <c r="H8028" s="252">
        <f t="shared" si="632"/>
        <v>0.40941309895094979</v>
      </c>
    </row>
    <row r="8029" spans="1:8" ht="15.75" thickBot="1" x14ac:dyDescent="0.3">
      <c r="A8029" s="105" t="s">
        <v>22</v>
      </c>
      <c r="B8029" s="36">
        <v>44227</v>
      </c>
      <c r="C8029" s="4">
        <v>16</v>
      </c>
      <c r="D8029" s="21">
        <f t="shared" si="628"/>
        <v>9548</v>
      </c>
      <c r="F8029" s="57">
        <f t="shared" si="630"/>
        <v>411</v>
      </c>
      <c r="G8029" s="251">
        <f>SUM(C8029,C8005,C7981,C7957,C7933,C7909,C7885,C7861,C7837,C7813,C7789,C7765,C7741,C7717)/POBLA!$B$12*100000</f>
        <v>60.986300952148625</v>
      </c>
      <c r="H8029" s="252">
        <f t="shared" si="632"/>
        <v>1.3043478260869565</v>
      </c>
    </row>
    <row r="8030" spans="1:8" ht="15.75" thickBot="1" x14ac:dyDescent="0.3">
      <c r="A8030" s="105" t="s">
        <v>18</v>
      </c>
      <c r="B8030" s="36">
        <v>44227</v>
      </c>
      <c r="C8030" s="4">
        <v>45</v>
      </c>
      <c r="D8030" s="21">
        <f t="shared" si="628"/>
        <v>63813</v>
      </c>
      <c r="E8030" s="4">
        <v>3</v>
      </c>
      <c r="F8030" s="57">
        <f t="shared" si="630"/>
        <v>1362</v>
      </c>
      <c r="G8030" s="251">
        <f>SUM(C8030,C8006,C7982,C7958,C7934,C7910,C7886,C7862,C7838,C7814,C7790,C7766,C7742,C7718)/POBLA!$B$13*100000</f>
        <v>80.036657090403736</v>
      </c>
      <c r="H8030" s="252">
        <f t="shared" si="632"/>
        <v>0.84285714285714286</v>
      </c>
    </row>
    <row r="8031" spans="1:8" ht="15.75" thickBot="1" x14ac:dyDescent="0.3">
      <c r="A8031" s="105" t="s">
        <v>24</v>
      </c>
      <c r="B8031" s="36">
        <v>44227</v>
      </c>
      <c r="C8031" s="4">
        <v>132</v>
      </c>
      <c r="D8031" s="21">
        <f t="shared" si="628"/>
        <v>4709</v>
      </c>
      <c r="E8031" s="4">
        <v>0</v>
      </c>
      <c r="F8031" s="57">
        <f t="shared" si="630"/>
        <v>84</v>
      </c>
      <c r="G8031" s="251">
        <f>SUM(C8031,C8007,C7983,C7959,C7935,C7911,C7887,C7863,C7839,C7815,C7791,C7767,C7743,C7719)/POBLA!$B$14*100000</f>
        <v>200.50836680425024</v>
      </c>
      <c r="H8031" s="252">
        <f t="shared" si="632"/>
        <v>2.3948863636363638</v>
      </c>
    </row>
    <row r="8032" spans="1:8" ht="15.75" thickBot="1" x14ac:dyDescent="0.3">
      <c r="A8032" s="105" t="s">
        <v>20</v>
      </c>
      <c r="B8032" s="36">
        <v>44227</v>
      </c>
      <c r="C8032" s="4">
        <v>253</v>
      </c>
      <c r="D8032" s="21">
        <f t="shared" si="628"/>
        <v>54057</v>
      </c>
      <c r="E8032" s="4">
        <v>2</v>
      </c>
      <c r="F8032" s="57">
        <f t="shared" si="630"/>
        <v>770</v>
      </c>
      <c r="G8032" s="251">
        <f>SUM(C8032,C8008,C7984,C7960,C7936,C7912,C7888,C7864,C7840,C7816,C7792,C7768,C7744,C7720)/POBLA!$B$15*100000</f>
        <v>880.49670434917482</v>
      </c>
      <c r="H8032" s="252">
        <f t="shared" si="632"/>
        <v>0.93045830681094843</v>
      </c>
    </row>
    <row r="8033" spans="1:8" ht="15.75" thickBot="1" x14ac:dyDescent="0.3">
      <c r="A8033" s="105" t="s">
        <v>19</v>
      </c>
      <c r="B8033" s="36">
        <v>44227</v>
      </c>
      <c r="C8033" s="4">
        <v>74</v>
      </c>
      <c r="D8033" s="21">
        <f t="shared" si="628"/>
        <v>47888</v>
      </c>
      <c r="E8033" s="4">
        <v>1</v>
      </c>
      <c r="F8033" s="57">
        <f t="shared" si="630"/>
        <v>1075</v>
      </c>
      <c r="G8033" s="251">
        <f>SUM(C8033,C8009,C7985,C7961,C7937,C7913,C7889,C7865,C7841,C7817,C7793,C7769,C7745,C7721)/POBLA!$B$16*100000</f>
        <v>535.57336044194165</v>
      </c>
      <c r="H8033" s="252">
        <f t="shared" si="632"/>
        <v>0.83208645054031583</v>
      </c>
    </row>
    <row r="8034" spans="1:8" ht="15.75" thickBot="1" x14ac:dyDescent="0.3">
      <c r="A8034" s="105" t="s">
        <v>35</v>
      </c>
      <c r="B8034" s="36">
        <v>44227</v>
      </c>
      <c r="C8034" s="4">
        <v>28</v>
      </c>
      <c r="D8034" s="21">
        <f t="shared" si="628"/>
        <v>23806</v>
      </c>
      <c r="E8034" s="4">
        <v>3</v>
      </c>
      <c r="F8034" s="57">
        <f t="shared" si="630"/>
        <v>1046</v>
      </c>
      <c r="G8034" s="251">
        <f>SUM(C8034,C8010,C7986,C7962,C7938,C7914,C7890,C7866,C7842,C7818,C7794,C7770,C7746,C7722)/POBLA!$B$17*100000</f>
        <v>50.617910596554196</v>
      </c>
      <c r="H8034" s="252">
        <f t="shared" si="632"/>
        <v>1.0729166666666667</v>
      </c>
    </row>
    <row r="8035" spans="1:8" ht="15.75" thickBot="1" x14ac:dyDescent="0.3">
      <c r="A8035" s="105" t="s">
        <v>36</v>
      </c>
      <c r="B8035" s="36">
        <v>44227</v>
      </c>
      <c r="C8035" s="4">
        <v>11</v>
      </c>
      <c r="D8035" s="21">
        <f t="shared" si="628"/>
        <v>13950</v>
      </c>
      <c r="F8035" s="57">
        <f t="shared" si="630"/>
        <v>198</v>
      </c>
      <c r="G8035" s="251">
        <f>SUM(C8035,C8011,C7987,C7963,C7939,C7915,C7891,C7867,C7843,C7819,C7795,C7771,C7747,C7723)/POBLA!$B$18*100000</f>
        <v>109.95664456866658</v>
      </c>
      <c r="H8035" s="252">
        <f t="shared" si="632"/>
        <v>0.57535164099129266</v>
      </c>
    </row>
    <row r="8036" spans="1:8" ht="15.75" thickBot="1" x14ac:dyDescent="0.3">
      <c r="A8036" s="105" t="s">
        <v>37</v>
      </c>
      <c r="B8036" s="36">
        <v>44227</v>
      </c>
      <c r="C8036" s="4">
        <v>22</v>
      </c>
      <c r="D8036" s="21">
        <f t="shared" si="628"/>
        <v>19010</v>
      </c>
      <c r="F8036" s="57">
        <f t="shared" si="630"/>
        <v>330</v>
      </c>
      <c r="G8036" s="251">
        <f>SUM(C8036,C8012,C7988,C7964,C7940,C7916,C7892,C7868,C7844,C7820,C7796,C7772,C7748,C7724)/POBLA!$B$19*100000</f>
        <v>420.00440660361028</v>
      </c>
      <c r="H8036" s="252">
        <f t="shared" si="632"/>
        <v>3.2846153846153845</v>
      </c>
    </row>
    <row r="8037" spans="1:8" ht="15.75" thickBot="1" x14ac:dyDescent="0.3">
      <c r="A8037" s="105" t="s">
        <v>38</v>
      </c>
      <c r="B8037" s="36">
        <v>44227</v>
      </c>
      <c r="C8037" s="4">
        <v>97</v>
      </c>
      <c r="D8037" s="21">
        <f t="shared" si="628"/>
        <v>32538</v>
      </c>
      <c r="F8037" s="57">
        <f t="shared" si="630"/>
        <v>493</v>
      </c>
      <c r="G8037" s="251">
        <f>SUM(C8037,C8013,C7989,C7965,C7941,C7917,C7893,C7869,C7845,C7821,C7797,C7773,C7749,C7725)/POBLA!$B$20*100000</f>
        <v>863.82752981968724</v>
      </c>
      <c r="H8037" s="252">
        <f t="shared" si="632"/>
        <v>0.63459220570510244</v>
      </c>
    </row>
    <row r="8038" spans="1:8" ht="15.75" thickBot="1" x14ac:dyDescent="0.3">
      <c r="A8038" s="105" t="s">
        <v>23</v>
      </c>
      <c r="B8038" s="36">
        <v>44227</v>
      </c>
      <c r="C8038" s="4">
        <v>217</v>
      </c>
      <c r="D8038" s="21">
        <f t="shared" si="628"/>
        <v>205826</v>
      </c>
      <c r="E8038" s="4">
        <v>8</v>
      </c>
      <c r="F8038" s="57">
        <f t="shared" si="630"/>
        <v>3508</v>
      </c>
      <c r="G8038" s="251">
        <f>SUM(C8038,C8014,C7990,C7966,C7942,C7918,C7894,C7870,C7846,C7822,C7798,C7774,C7750,C7726)/POBLA!$B$21*100000</f>
        <v>304.37578363191227</v>
      </c>
      <c r="H8038" s="252">
        <f t="shared" si="632"/>
        <v>0.62396382818387341</v>
      </c>
    </row>
    <row r="8039" spans="1:8" ht="15.75" thickBot="1" x14ac:dyDescent="0.3">
      <c r="A8039" s="105" t="s">
        <v>39</v>
      </c>
      <c r="B8039" s="36">
        <v>44227</v>
      </c>
      <c r="C8039" s="4">
        <v>88</v>
      </c>
      <c r="D8039" s="21">
        <f t="shared" si="628"/>
        <v>20850</v>
      </c>
      <c r="E8039" s="4">
        <v>1</v>
      </c>
      <c r="F8039" s="57">
        <f t="shared" si="630"/>
        <v>243</v>
      </c>
      <c r="G8039" s="251">
        <f>SUM(C8039,C8015,C7991,C7967,C7943,C7919,C7895,C7871,C7847,C7823,C7799,C7775,C7751,C7727)/POBLA!$B$22*100000</f>
        <v>127.87318578001111</v>
      </c>
      <c r="H8039" s="252">
        <f t="shared" si="632"/>
        <v>0.63118062563067612</v>
      </c>
    </row>
    <row r="8040" spans="1:8" ht="15.75" thickBot="1" x14ac:dyDescent="0.3">
      <c r="A8040" s="105" t="s">
        <v>40</v>
      </c>
      <c r="B8040" s="36">
        <v>44227</v>
      </c>
      <c r="C8040" s="4">
        <v>41</v>
      </c>
      <c r="D8040" s="21">
        <f t="shared" si="628"/>
        <v>21816</v>
      </c>
      <c r="E8040" s="4">
        <v>2</v>
      </c>
      <c r="F8040" s="57">
        <f t="shared" si="630"/>
        <v>334</v>
      </c>
      <c r="G8040" s="251">
        <f>SUM(C8040,C8016,C7992,C7968,C7944,C7920,C7896,C7872,C7848,C7824,C7800,C7776,C7752,C7728)/POBLA!$B$23*100000</f>
        <v>597.18373579143815</v>
      </c>
      <c r="H8040" s="252">
        <f t="shared" si="632"/>
        <v>0.79518072289156627</v>
      </c>
    </row>
    <row r="8041" spans="1:8" ht="15.75" thickBot="1" x14ac:dyDescent="0.3">
      <c r="A8041" s="107" t="s">
        <v>41</v>
      </c>
      <c r="B8041" s="29">
        <v>44227</v>
      </c>
      <c r="C8041" s="30">
        <v>71</v>
      </c>
      <c r="D8041" s="59">
        <f t="shared" si="628"/>
        <v>76396</v>
      </c>
      <c r="E8041" s="30"/>
      <c r="F8041" s="100">
        <f t="shared" si="630"/>
        <v>1427</v>
      </c>
      <c r="G8041" s="251">
        <f>SUM(C8041,C8017,C7993,C7969,C7945,C7921,C7897,C7873,C7849,C7825,C7801,C7777,C7753,C7729)/POBLA!$B$24*100000</f>
        <v>123.85994561728162</v>
      </c>
      <c r="H8041" s="257">
        <f t="shared" si="632"/>
        <v>0.69966666666666666</v>
      </c>
    </row>
    <row r="8042" spans="1:8" ht="15.75" thickBot="1" x14ac:dyDescent="0.3">
      <c r="A8042" s="42" t="s">
        <v>17</v>
      </c>
      <c r="B8042" s="19">
        <v>44228</v>
      </c>
      <c r="C8042" s="4">
        <v>2566</v>
      </c>
      <c r="D8042" s="21">
        <f t="shared" si="628"/>
        <v>806914</v>
      </c>
      <c r="E8042" s="4">
        <v>144</v>
      </c>
      <c r="F8042" s="57">
        <f>E8042+F8018</f>
        <v>24630</v>
      </c>
      <c r="G8042" s="251">
        <f>SUM(C8042,C8018,C7994,C7970,C7946,C7922,C7898,C7874,C7850,C7826,C7802,C7778,C7754,C7730)/POBLA!$B$1*100000</f>
        <v>299.11965247870705</v>
      </c>
      <c r="H8042" s="230">
        <f t="shared" ref="H8042:H8048" si="633">SUM(C8042,C8018,C7994,C7970,C7946,C7922,C7898,C7874,C7850,C7826,C7802,C7778,C7754,C7730)/SUM(C7706,C7682,C7658,C7634,C7610,C7586,C7562,C7538,C7514,C7490,C7466,C7442,C7418,C7394)</f>
        <v>0.85872571643671958</v>
      </c>
    </row>
    <row r="8043" spans="1:8" ht="15.75" thickBot="1" x14ac:dyDescent="0.3">
      <c r="A8043" s="42" t="s">
        <v>44</v>
      </c>
      <c r="B8043" s="19">
        <v>44228</v>
      </c>
      <c r="C8043" s="4">
        <v>868</v>
      </c>
      <c r="D8043" s="21">
        <f t="shared" si="628"/>
        <v>211116</v>
      </c>
      <c r="E8043" s="4">
        <v>28</v>
      </c>
      <c r="F8043" s="57">
        <f t="shared" ref="F8043:F8065" si="634">E8043+F8019</f>
        <v>6074</v>
      </c>
      <c r="G8043" s="251">
        <f>SUM(C8043,C8019,C7995,C7971,C7947,C7923,C7899,C7875,C7851,C7827,C7803,C7779,C7755,C7731)/POBLA!$B$2*100000</f>
        <v>494.79036274005523</v>
      </c>
      <c r="H8043" s="252">
        <f t="shared" si="633"/>
        <v>0.83031427324312523</v>
      </c>
    </row>
    <row r="8044" spans="1:8" ht="15.75" thickBot="1" x14ac:dyDescent="0.3">
      <c r="A8044" s="42" t="s">
        <v>29</v>
      </c>
      <c r="B8044" s="19">
        <v>44228</v>
      </c>
      <c r="C8044" s="4">
        <v>160</v>
      </c>
      <c r="D8044" s="21">
        <f t="shared" si="628"/>
        <v>5543</v>
      </c>
      <c r="F8044" s="57">
        <f t="shared" si="634"/>
        <v>17</v>
      </c>
      <c r="G8044" s="251">
        <f>SUM(C8044,C8020,C7996,C7972,C7948,C7924,C7900,C7876,C7852,C7828,C7804,C7780,C7756,C7732)/POBLA!$B$3*100000</f>
        <v>313.64487601037939</v>
      </c>
      <c r="H8044" s="252">
        <f t="shared" si="633"/>
        <v>0.95040116703136401</v>
      </c>
    </row>
    <row r="8045" spans="1:8" ht="15.75" thickBot="1" x14ac:dyDescent="0.3">
      <c r="A8045" s="42" t="s">
        <v>16</v>
      </c>
      <c r="B8045" s="19">
        <v>44228</v>
      </c>
      <c r="C8045" s="4">
        <v>93</v>
      </c>
      <c r="D8045" s="21">
        <f t="shared" si="628"/>
        <v>30847</v>
      </c>
      <c r="E8045" s="4">
        <v>8</v>
      </c>
      <c r="F8045" s="57">
        <f t="shared" si="634"/>
        <v>796</v>
      </c>
      <c r="G8045" s="251">
        <f>SUM(C8045,C8021,C7997,C7973,C7949,C7925,C7901,C7877,C7853,C7829,C7805,C7781,C7757,C7733)/POBLA!$B$4*100000</f>
        <v>182.22708899074419</v>
      </c>
      <c r="H8045" s="252">
        <f t="shared" si="633"/>
        <v>0.65935716431360769</v>
      </c>
    </row>
    <row r="8046" spans="1:8" ht="15.75" thickBot="1" x14ac:dyDescent="0.3">
      <c r="A8046" s="42" t="s">
        <v>30</v>
      </c>
      <c r="B8046" s="19">
        <v>44228</v>
      </c>
      <c r="C8046" s="4">
        <v>216</v>
      </c>
      <c r="D8046" s="21">
        <f t="shared" si="628"/>
        <v>42522</v>
      </c>
      <c r="E8046" s="4">
        <v>19</v>
      </c>
      <c r="F8046" s="57">
        <f t="shared" si="634"/>
        <v>636</v>
      </c>
      <c r="G8046" s="251">
        <f>SUM(C8046,C8022,C7998,C7974,C7950,C7926,C7902,C7878,C7854,C7830,C7806,C7782,C7758,C7734)/POBLA!$B$5*100000</f>
        <v>662.52661576687331</v>
      </c>
      <c r="H8046" s="252">
        <f t="shared" si="633"/>
        <v>0.72558386411889597</v>
      </c>
    </row>
    <row r="8047" spans="1:8" ht="15.75" thickBot="1" x14ac:dyDescent="0.3">
      <c r="A8047" s="42" t="s">
        <v>31</v>
      </c>
      <c r="B8047" s="19">
        <v>44228</v>
      </c>
      <c r="C8047" s="4">
        <v>190</v>
      </c>
      <c r="D8047" s="21">
        <f t="shared" si="628"/>
        <v>17563</v>
      </c>
      <c r="E8047" s="4">
        <v>2</v>
      </c>
      <c r="F8047" s="57">
        <f t="shared" si="634"/>
        <v>206</v>
      </c>
      <c r="G8047" s="251">
        <f>SUM(C8047,C8023,C7999,C7975,C7951,C7927,C7903,C7879,C7855,C7831,C7807,C7783,C7759,C7735)/POBLA!$B$7*100000</f>
        <v>53.238309244904201</v>
      </c>
      <c r="H8047" s="252">
        <f t="shared" si="633"/>
        <v>0.21875</v>
      </c>
    </row>
    <row r="8048" spans="1:8" ht="15.75" thickBot="1" x14ac:dyDescent="0.3">
      <c r="A8048" s="42" t="s">
        <v>21</v>
      </c>
      <c r="B8048" s="19">
        <v>44228</v>
      </c>
      <c r="C8048" s="4">
        <v>298</v>
      </c>
      <c r="D8048" s="21">
        <f t="shared" si="628"/>
        <v>145338</v>
      </c>
      <c r="E8048" s="4">
        <v>4</v>
      </c>
      <c r="F8048" s="57">
        <f t="shared" si="634"/>
        <v>2699</v>
      </c>
      <c r="G8048" s="251">
        <f>SUM(C8048,C8024,C8000,C7976,C7952,C7928,C7904,C7880,C7856,C7832,C7808,C7784,C7760,C7736)/POBLA!$B$6*100000</f>
        <v>647.30491853593992</v>
      </c>
      <c r="H8048" s="252">
        <f t="shared" si="633"/>
        <v>2.1650253655625185</v>
      </c>
    </row>
    <row r="8049" spans="1:8" ht="15.75" thickBot="1" x14ac:dyDescent="0.3">
      <c r="A8049" s="42" t="s">
        <v>32</v>
      </c>
      <c r="B8049" s="19">
        <v>44228</v>
      </c>
      <c r="C8049" s="4">
        <v>179</v>
      </c>
      <c r="D8049" s="21">
        <f t="shared" si="628"/>
        <v>41168</v>
      </c>
      <c r="E8049" s="4">
        <v>5</v>
      </c>
      <c r="F8049" s="57">
        <f t="shared" si="634"/>
        <v>729</v>
      </c>
      <c r="G8049" s="251">
        <f>SUM(C8049,C8025,C8001,C7977,C7953,C7929,C7905,C7881,C7857,C7833,C7809,C7785,C7761,C7737)/POBLA!$B$8*100000</f>
        <v>320.06672626430327</v>
      </c>
      <c r="H8049" s="252">
        <f t="shared" ref="H8049:H8065" si="635">SUM(C8049,C8025,C8001,C7977,C7953,C7929,C7905,C7881,C7857,C7833,C7809,C7785,C7761,C7737)/SUM(C7713,C7689,C7665,C7641,C7617,C7593,C7569,C7545,C7521,C7497,C7473,C7449,C7425,C7401)</f>
        <v>0.7024544734758511</v>
      </c>
    </row>
    <row r="8050" spans="1:8" ht="15.75" thickBot="1" x14ac:dyDescent="0.3">
      <c r="A8050" s="42" t="s">
        <v>42</v>
      </c>
      <c r="B8050" s="19">
        <v>44228</v>
      </c>
      <c r="C8050" s="4">
        <v>4</v>
      </c>
      <c r="D8050" s="21">
        <f t="shared" si="628"/>
        <v>847</v>
      </c>
      <c r="F8050" s="57">
        <f t="shared" si="634"/>
        <v>5</v>
      </c>
      <c r="G8050" s="251">
        <f>SUM(C8050,C8026,C8002,C7978,C7954,C7930,C7906,C7882,C7858,C7834,C7810,C7786,C7762,C7738)/POBLA!$B$9*100000</f>
        <v>28.255449088142129</v>
      </c>
      <c r="H8050" s="252">
        <f t="shared" si="635"/>
        <v>0.37582417582417582</v>
      </c>
    </row>
    <row r="8051" spans="1:8" ht="15.75" thickBot="1" x14ac:dyDescent="0.3">
      <c r="A8051" s="42" t="s">
        <v>33</v>
      </c>
      <c r="B8051" s="19">
        <v>44228</v>
      </c>
      <c r="C8051" s="4">
        <v>40</v>
      </c>
      <c r="D8051" s="21">
        <f t="shared" si="628"/>
        <v>19349</v>
      </c>
      <c r="F8051" s="57">
        <f t="shared" si="634"/>
        <v>873</v>
      </c>
      <c r="G8051" s="251">
        <f>SUM(C8051,C8027,C8003,C7979,C7955,C7931,C7907,C7883,C7859,C7835,C7811,C7787,C7763,C7739)/POBLA!$B$10*100000</f>
        <v>56.03977786454719</v>
      </c>
      <c r="H8051" s="252">
        <f t="shared" si="635"/>
        <v>1.2413793103448276</v>
      </c>
    </row>
    <row r="8052" spans="1:8" ht="15.75" thickBot="1" x14ac:dyDescent="0.3">
      <c r="A8052" s="42" t="s">
        <v>34</v>
      </c>
      <c r="B8052" s="19">
        <v>44228</v>
      </c>
      <c r="C8052" s="4">
        <v>74</v>
      </c>
      <c r="D8052" s="21">
        <f t="shared" si="628"/>
        <v>16513</v>
      </c>
      <c r="E8052" s="4">
        <v>1</v>
      </c>
      <c r="F8052" s="57">
        <f t="shared" si="634"/>
        <v>239</v>
      </c>
      <c r="G8052" s="251">
        <f>SUM(C8052,C8028,C8004,C7980,C7956,C7932,C7908,C7884,C7860,C7836,C7812,C7788,C7764,C7740)/POBLA!$B$11*100000</f>
        <v>386.40954389724016</v>
      </c>
      <c r="H8052" s="252">
        <f t="shared" si="635"/>
        <v>0.39696188019489825</v>
      </c>
    </row>
    <row r="8053" spans="1:8" ht="15.75" thickBot="1" x14ac:dyDescent="0.3">
      <c r="A8053" s="42" t="s">
        <v>22</v>
      </c>
      <c r="B8053" s="19">
        <v>44228</v>
      </c>
      <c r="C8053" s="4">
        <v>11</v>
      </c>
      <c r="D8053" s="21">
        <f t="shared" si="628"/>
        <v>9559</v>
      </c>
      <c r="E8053" s="4">
        <v>3</v>
      </c>
      <c r="F8053" s="57">
        <f t="shared" si="634"/>
        <v>414</v>
      </c>
      <c r="G8053" s="251">
        <f>SUM(C8053,C8029,C8005,C7981,C7957,C7933,C7909,C7885,C7861,C7837,C7813,C7789,C7765,C7741)/POBLA!$B$12*100000</f>
        <v>60.732191364848006</v>
      </c>
      <c r="H8053" s="252">
        <f t="shared" si="635"/>
        <v>1.2383419689119171</v>
      </c>
    </row>
    <row r="8054" spans="1:8" ht="15.75" thickBot="1" x14ac:dyDescent="0.3">
      <c r="A8054" s="42" t="s">
        <v>18</v>
      </c>
      <c r="B8054" s="19">
        <v>44228</v>
      </c>
      <c r="C8054" s="4">
        <v>82</v>
      </c>
      <c r="D8054" s="21">
        <f t="shared" si="628"/>
        <v>63895</v>
      </c>
      <c r="E8054" s="4">
        <v>6</v>
      </c>
      <c r="F8054" s="57">
        <f t="shared" si="634"/>
        <v>1368</v>
      </c>
      <c r="G8054" s="251">
        <f>SUM(C8054,C8030,C8006,C7982,C7958,C7934,C7910,C7886,C7862,C7838,C7814,C7790,C7766,C7742)/POBLA!$B$13*100000</f>
        <v>80.589327038925049</v>
      </c>
      <c r="H8054" s="252">
        <f t="shared" si="635"/>
        <v>0.84778012684989434</v>
      </c>
    </row>
    <row r="8055" spans="1:8" ht="15.75" thickBot="1" x14ac:dyDescent="0.3">
      <c r="A8055" s="42" t="s">
        <v>24</v>
      </c>
      <c r="B8055" s="19">
        <v>44228</v>
      </c>
      <c r="C8055" s="4">
        <v>150</v>
      </c>
      <c r="D8055" s="21">
        <f t="shared" si="628"/>
        <v>4859</v>
      </c>
      <c r="E8055" s="4">
        <v>5</v>
      </c>
      <c r="F8055" s="57">
        <f t="shared" si="634"/>
        <v>89</v>
      </c>
      <c r="G8055" s="251">
        <f>SUM(C8055,C8031,C8007,C7983,C7959,C7935,C7911,C7887,C7863,C7839,C7815,C7791,C7767,C7743)/POBLA!$B$14*100000</f>
        <v>200.66693411686728</v>
      </c>
      <c r="H8055" s="252">
        <f t="shared" si="635"/>
        <v>2.161400512382579</v>
      </c>
    </row>
    <row r="8056" spans="1:8" ht="15.75" thickBot="1" x14ac:dyDescent="0.3">
      <c r="A8056" s="42" t="s">
        <v>20</v>
      </c>
      <c r="B8056" s="19">
        <v>44228</v>
      </c>
      <c r="C8056" s="4">
        <v>373</v>
      </c>
      <c r="D8056" s="21">
        <f t="shared" si="628"/>
        <v>54430</v>
      </c>
      <c r="E8056" s="4">
        <v>4</v>
      </c>
      <c r="F8056" s="57">
        <f t="shared" si="634"/>
        <v>774</v>
      </c>
      <c r="G8056" s="251">
        <f>SUM(C8056,C8032,C8008,C7984,C7960,C7936,C7912,C7888,C7864,C7840,C7816,C7792,C7768,C7744)/POBLA!$B$15*100000</f>
        <v>866.04011402635615</v>
      </c>
      <c r="H8056" s="252">
        <f t="shared" si="635"/>
        <v>0.89190446650124067</v>
      </c>
    </row>
    <row r="8057" spans="1:8" ht="15.75" thickBot="1" x14ac:dyDescent="0.3">
      <c r="A8057" s="42" t="s">
        <v>19</v>
      </c>
      <c r="B8057" s="19">
        <v>44228</v>
      </c>
      <c r="C8057" s="4">
        <v>298</v>
      </c>
      <c r="D8057" s="21">
        <f t="shared" si="628"/>
        <v>48186</v>
      </c>
      <c r="E8057" s="4">
        <v>6</v>
      </c>
      <c r="F8057" s="57">
        <f t="shared" si="634"/>
        <v>1081</v>
      </c>
      <c r="G8057" s="251">
        <f>SUM(C8057,C8033,C8009,C7985,C7961,C7937,C7913,C7889,C7865,C7841,C7817,C7793,C7769,C7745)/POBLA!$B$16*100000</f>
        <v>538.51607121360064</v>
      </c>
      <c r="H8057" s="252">
        <f t="shared" si="635"/>
        <v>0.83909962484368483</v>
      </c>
    </row>
    <row r="8058" spans="1:8" ht="15.75" thickBot="1" x14ac:dyDescent="0.3">
      <c r="A8058" s="42" t="s">
        <v>35</v>
      </c>
      <c r="B8058" s="19">
        <v>44228</v>
      </c>
      <c r="C8058" s="4">
        <v>20</v>
      </c>
      <c r="D8058" s="21">
        <f t="shared" si="628"/>
        <v>23826</v>
      </c>
      <c r="F8058" s="57">
        <f t="shared" si="634"/>
        <v>1046</v>
      </c>
      <c r="G8058" s="251">
        <f>SUM(C8058,C8034,C8010,C7986,C7962,C7938,C7914,C7890,C7866,C7842,C7818,C7794,C7770,C7746)/POBLA!$B$17*100000</f>
        <v>50.477500303637257</v>
      </c>
      <c r="H8058" s="252">
        <f t="shared" si="635"/>
        <v>1.0683506686478454</v>
      </c>
    </row>
    <row r="8059" spans="1:8" ht="15.75" thickBot="1" x14ac:dyDescent="0.3">
      <c r="A8059" s="42" t="s">
        <v>36</v>
      </c>
      <c r="B8059" s="19">
        <v>44228</v>
      </c>
      <c r="C8059" s="4">
        <v>47</v>
      </c>
      <c r="D8059" s="21">
        <f t="shared" si="628"/>
        <v>13997</v>
      </c>
      <c r="E8059" s="4">
        <v>2</v>
      </c>
      <c r="F8059" s="57">
        <f t="shared" si="634"/>
        <v>200</v>
      </c>
      <c r="G8059" s="251">
        <f>SUM(C8059,C8035,C8011,C7987,C7963,C7939,C7915,C7891,C7867,C7843,C7819,C7795,C7771,C7747)/POBLA!$B$18*100000</f>
        <v>105.98847695326651</v>
      </c>
      <c r="H8059" s="252">
        <f t="shared" si="635"/>
        <v>0.55495978552278824</v>
      </c>
    </row>
    <row r="8060" spans="1:8" ht="15.75" thickBot="1" x14ac:dyDescent="0.3">
      <c r="A8060" s="42" t="s">
        <v>37</v>
      </c>
      <c r="B8060" s="19">
        <v>44228</v>
      </c>
      <c r="C8060" s="4">
        <v>6</v>
      </c>
      <c r="D8060" s="21">
        <f t="shared" si="628"/>
        <v>19016</v>
      </c>
      <c r="F8060" s="57">
        <f t="shared" si="634"/>
        <v>330</v>
      </c>
      <c r="G8060" s="251">
        <f>SUM(C8060,C8036,C8012,C7988,C7964,C7940,C7916,C7892,C7868,C7844,C7820,C7796,C7772,C7748)/POBLA!$B$19*100000</f>
        <v>403.67636644056597</v>
      </c>
      <c r="H8060" s="252">
        <f t="shared" si="635"/>
        <v>2.9696092619392185</v>
      </c>
    </row>
    <row r="8061" spans="1:8" ht="15.75" thickBot="1" x14ac:dyDescent="0.3">
      <c r="A8061" s="42" t="s">
        <v>38</v>
      </c>
      <c r="B8061" s="19">
        <v>44228</v>
      </c>
      <c r="C8061" s="4">
        <v>140</v>
      </c>
      <c r="D8061" s="21">
        <f t="shared" si="628"/>
        <v>32678</v>
      </c>
      <c r="E8061" s="4">
        <v>12</v>
      </c>
      <c r="F8061" s="57">
        <f t="shared" si="634"/>
        <v>505</v>
      </c>
      <c r="G8061" s="251">
        <f>SUM(C8061,C8037,C8013,C7989,C7965,C7941,C7917,C7893,C7869,C7845,C7821,C7797,C7773,C7749)/POBLA!$B$20*100000</f>
        <v>820.34903116779412</v>
      </c>
      <c r="H8061" s="252">
        <f t="shared" si="635"/>
        <v>0.60386473429951693</v>
      </c>
    </row>
    <row r="8062" spans="1:8" ht="15.75" thickBot="1" x14ac:dyDescent="0.3">
      <c r="A8062" s="42" t="s">
        <v>23</v>
      </c>
      <c r="B8062" s="19">
        <v>44228</v>
      </c>
      <c r="C8062" s="4">
        <v>523</v>
      </c>
      <c r="D8062" s="21">
        <f t="shared" si="628"/>
        <v>206349</v>
      </c>
      <c r="E8062" s="4">
        <v>22</v>
      </c>
      <c r="F8062" s="57">
        <f t="shared" si="634"/>
        <v>3530</v>
      </c>
      <c r="G8062" s="251">
        <f>SUM(C8062,C8038,C8014,C7990,C7966,C7942,C7918,C7894,C7870,C7846,C7822,C7798,C7774,C7750)/POBLA!$B$21*100000</f>
        <v>294.98775314456606</v>
      </c>
      <c r="H8062" s="252">
        <f t="shared" si="635"/>
        <v>0.61148886283704573</v>
      </c>
    </row>
    <row r="8063" spans="1:8" ht="15.75" thickBot="1" x14ac:dyDescent="0.3">
      <c r="A8063" s="42" t="s">
        <v>39</v>
      </c>
      <c r="B8063" s="19">
        <v>44228</v>
      </c>
      <c r="C8063" s="4">
        <v>104</v>
      </c>
      <c r="D8063" s="21">
        <f t="shared" si="628"/>
        <v>20954</v>
      </c>
      <c r="E8063" s="4">
        <v>1</v>
      </c>
      <c r="F8063" s="57">
        <f t="shared" si="634"/>
        <v>244</v>
      </c>
      <c r="G8063" s="251">
        <f>SUM(C8063,C8039,C8015,C7991,C7967,C7943,C7919,C7895,C7871,C7847,C7823,C7799,C7775,C7751)/POBLA!$B$22*100000</f>
        <v>128.0776193304188</v>
      </c>
      <c r="H8063" s="252">
        <f t="shared" si="635"/>
        <v>0.63668699186991873</v>
      </c>
    </row>
    <row r="8064" spans="1:8" ht="15.75" thickBot="1" x14ac:dyDescent="0.3">
      <c r="A8064" s="42" t="s">
        <v>40</v>
      </c>
      <c r="B8064" s="19">
        <v>44228</v>
      </c>
      <c r="C8064" s="4">
        <v>36</v>
      </c>
      <c r="D8064" s="21">
        <f t="shared" si="628"/>
        <v>21852</v>
      </c>
      <c r="F8064" s="57">
        <f t="shared" si="634"/>
        <v>334</v>
      </c>
      <c r="G8064" s="251">
        <f>SUM(C8064,C8040,C8016,C7992,C7968,C7944,C7920,C7896,C7872,C7848,C7824,C7800,C7776,C7752)/POBLA!$B$23*100000</f>
        <v>546.85290957416726</v>
      </c>
      <c r="H8064" s="252">
        <f t="shared" si="635"/>
        <v>0.71470805617147082</v>
      </c>
    </row>
    <row r="8065" spans="1:8" ht="15.75" thickBot="1" x14ac:dyDescent="0.3">
      <c r="A8065" s="60" t="s">
        <v>41</v>
      </c>
      <c r="B8065" s="29">
        <v>44228</v>
      </c>
      <c r="C8065" s="30">
        <v>136</v>
      </c>
      <c r="D8065" s="59">
        <f t="shared" si="628"/>
        <v>76532</v>
      </c>
      <c r="E8065" s="30">
        <v>2</v>
      </c>
      <c r="F8065" s="100">
        <f t="shared" si="634"/>
        <v>1429</v>
      </c>
      <c r="G8065" s="251">
        <f>SUM(C8065,C8041,C8017,C7993,C7969,C7945,C7921,C7897,C7873,C7849,C7825,C7801,C7777,C7753)/POBLA!$B$24*100000</f>
        <v>121.32255749839496</v>
      </c>
      <c r="H8065" s="257">
        <f t="shared" si="635"/>
        <v>0.71141868512110729</v>
      </c>
    </row>
    <row r="8066" spans="1:8" ht="15.75" thickBot="1" x14ac:dyDescent="0.3">
      <c r="A8066" s="45" t="s">
        <v>17</v>
      </c>
      <c r="B8066" s="32">
        <v>44229</v>
      </c>
      <c r="C8066" s="33">
        <v>4243</v>
      </c>
      <c r="D8066" s="97">
        <f t="shared" si="628"/>
        <v>811157</v>
      </c>
      <c r="E8066" s="33">
        <v>42</v>
      </c>
      <c r="F8066" s="250">
        <f>E8066+F8042</f>
        <v>24672</v>
      </c>
      <c r="G8066" s="251">
        <f>SUM(C8066,C8042,C8018,C7994,C7970,C7946,C7922,C7898,C7874,C7850,C7826,C7802,C7778,C7754)/POBLA!$B$1*100000</f>
        <v>294.10287506382849</v>
      </c>
      <c r="H8066" s="230">
        <f t="shared" ref="H8066:H8072" si="636">SUM(C8066,C8042,C8018,C7994,C7970,C7946,C7922,C7898,C7874,C7850,C7826,C7802,C7778,C7754)/SUM(C7730,C7706,C7682,C7658,C7634,C7610,C7586,C7562,C7538,C7514,C7490,C7466,C7442,C7418)</f>
        <v>0.8484335169805115</v>
      </c>
    </row>
    <row r="8067" spans="1:8" ht="15.75" thickBot="1" x14ac:dyDescent="0.3">
      <c r="A8067" s="105" t="s">
        <v>44</v>
      </c>
      <c r="B8067" s="19">
        <v>44229</v>
      </c>
      <c r="C8067" s="4">
        <v>1270</v>
      </c>
      <c r="D8067" s="21">
        <f t="shared" ref="D8067:D8130" si="637">C8067+D8043</f>
        <v>212386</v>
      </c>
      <c r="E8067" s="4">
        <v>15</v>
      </c>
      <c r="F8067" s="57">
        <f t="shared" ref="F8067:F8089" si="638">E8067+F8043</f>
        <v>6089</v>
      </c>
      <c r="G8067" s="251">
        <f>SUM(C8067,C8043,C8019,C7995,C7971,C7947,C7923,C7899,C7875,C7851,C7827,C7803,C7779,C7755)/POBLA!$B$2*100000</f>
        <v>490.95377036238892</v>
      </c>
      <c r="H8067" s="252">
        <f t="shared" si="636"/>
        <v>0.82644628099173556</v>
      </c>
    </row>
    <row r="8068" spans="1:8" ht="15.75" thickBot="1" x14ac:dyDescent="0.3">
      <c r="A8068" s="105" t="s">
        <v>29</v>
      </c>
      <c r="B8068" s="19">
        <v>44229</v>
      </c>
      <c r="C8068" s="4">
        <v>135</v>
      </c>
      <c r="D8068" s="21">
        <f t="shared" si="637"/>
        <v>5678</v>
      </c>
      <c r="F8068" s="57">
        <f t="shared" si="638"/>
        <v>17</v>
      </c>
      <c r="G8068" s="251">
        <f>SUM(C8068,C8044,C8020,C7996,C7972,C7948,C7924,C7900,C7876,C7852,C7828,C7804,C7780,C7756)/POBLA!$B$3*100000</f>
        <v>309.07138971398859</v>
      </c>
      <c r="H8068" s="252">
        <f t="shared" si="636"/>
        <v>0.87704918032786883</v>
      </c>
    </row>
    <row r="8069" spans="1:8" ht="15.75" thickBot="1" x14ac:dyDescent="0.3">
      <c r="A8069" s="105" t="s">
        <v>16</v>
      </c>
      <c r="B8069" s="19">
        <v>44229</v>
      </c>
      <c r="C8069" s="4">
        <v>161</v>
      </c>
      <c r="D8069" s="21">
        <f t="shared" si="637"/>
        <v>31008</v>
      </c>
      <c r="E8069" s="4">
        <v>2</v>
      </c>
      <c r="F8069" s="57">
        <f t="shared" si="638"/>
        <v>798</v>
      </c>
      <c r="G8069" s="251">
        <f>SUM(C8069,C8045,C8021,C7997,C7973,C7949,C7925,C7901,C7877,C7853,C7829,C7805,C7781,C7757)/POBLA!$B$4*100000</f>
        <v>177.99311106886358</v>
      </c>
      <c r="H8069" s="252">
        <f t="shared" si="636"/>
        <v>0.66152422091946927</v>
      </c>
    </row>
    <row r="8070" spans="1:8" ht="15.75" thickBot="1" x14ac:dyDescent="0.3">
      <c r="A8070" s="105" t="s">
        <v>30</v>
      </c>
      <c r="B8070" s="19">
        <v>44229</v>
      </c>
      <c r="C8070" s="4">
        <v>327</v>
      </c>
      <c r="D8070" s="21">
        <f t="shared" si="637"/>
        <v>42849</v>
      </c>
      <c r="E8070" s="4">
        <v>21</v>
      </c>
      <c r="F8070" s="57">
        <f t="shared" si="638"/>
        <v>657</v>
      </c>
      <c r="G8070" s="251">
        <f>SUM(C8070,C8046,C8022,C7998,C7974,C7950,C7926,C7902,C7878,C7854,C7830,C7806,C7782,C7758)/POBLA!$B$5*100000</f>
        <v>658.97246176861165</v>
      </c>
      <c r="H8070" s="252">
        <f t="shared" si="636"/>
        <v>0.75286083425618311</v>
      </c>
    </row>
    <row r="8071" spans="1:8" ht="15.75" thickBot="1" x14ac:dyDescent="0.3">
      <c r="A8071" s="105" t="s">
        <v>31</v>
      </c>
      <c r="B8071" s="19">
        <v>44229</v>
      </c>
      <c r="C8071" s="4">
        <v>175</v>
      </c>
      <c r="D8071" s="21">
        <f t="shared" si="637"/>
        <v>17738</v>
      </c>
      <c r="F8071" s="57">
        <f t="shared" si="638"/>
        <v>206</v>
      </c>
      <c r="G8071" s="251">
        <f>SUM(C8071,C8047,C8023,C7999,C7975,C7951,C7927,C7903,C7879,C7855,C7831,C7807,C7783,C7759)/POBLA!$B$7*100000</f>
        <v>55.498677020037498</v>
      </c>
      <c r="H8071" s="252">
        <f t="shared" si="636"/>
        <v>0.2503899220155969</v>
      </c>
    </row>
    <row r="8072" spans="1:8" ht="15.75" thickBot="1" x14ac:dyDescent="0.3">
      <c r="A8072" s="105" t="s">
        <v>21</v>
      </c>
      <c r="B8072" s="19">
        <v>44229</v>
      </c>
      <c r="C8072" s="4">
        <v>571</v>
      </c>
      <c r="D8072" s="21">
        <f t="shared" si="637"/>
        <v>145909</v>
      </c>
      <c r="E8072" s="4">
        <v>5</v>
      </c>
      <c r="F8072" s="57">
        <f t="shared" si="638"/>
        <v>2704</v>
      </c>
      <c r="G8072" s="251">
        <f>SUM(C8072,C8048,C8024,C8000,C7976,C7952,C7928,C7904,C7880,C7856,C7832,C7808,C7784,C7760)/POBLA!$B$6*100000</f>
        <v>638.65039378087636</v>
      </c>
      <c r="H8072" s="252">
        <f t="shared" si="636"/>
        <v>1.8626073380171742</v>
      </c>
    </row>
    <row r="8073" spans="1:8" ht="15.75" thickBot="1" x14ac:dyDescent="0.3">
      <c r="A8073" s="105" t="s">
        <v>32</v>
      </c>
      <c r="B8073" s="19">
        <v>44229</v>
      </c>
      <c r="C8073" s="4">
        <v>284</v>
      </c>
      <c r="D8073" s="21">
        <f t="shared" si="637"/>
        <v>41452</v>
      </c>
      <c r="E8073" s="4">
        <v>12</v>
      </c>
      <c r="F8073" s="57">
        <f t="shared" si="638"/>
        <v>741</v>
      </c>
      <c r="G8073" s="251">
        <f>SUM(C8073,C8049,C8025,C8001,C7977,C7953,C7929,C7905,C7881,C7857,C7833,C7809,C7785,C7761)/POBLA!$B$8*100000</f>
        <v>308.45023777725351</v>
      </c>
      <c r="H8073" s="252">
        <f t="shared" ref="H8073:H8089" si="639">SUM(C8073,C8049,C8025,C8001,C7977,C7953,C7929,C7905,C7881,C7857,C7833,C7809,C7785,C7761)/SUM(C7737,C7713,C7689,C7665,C7641,C7617,C7593,C7569,C7545,C7521,C7497,C7473,C7449,C7425)</f>
        <v>0.68840579710144922</v>
      </c>
    </row>
    <row r="8074" spans="1:8" ht="15.75" thickBot="1" x14ac:dyDescent="0.3">
      <c r="A8074" s="105" t="s">
        <v>42</v>
      </c>
      <c r="B8074" s="19">
        <v>44229</v>
      </c>
      <c r="C8074" s="4">
        <v>4</v>
      </c>
      <c r="D8074" s="21">
        <f t="shared" si="637"/>
        <v>851</v>
      </c>
      <c r="F8074" s="57">
        <f t="shared" si="638"/>
        <v>5</v>
      </c>
      <c r="G8074" s="251">
        <f>SUM(C8074,C8050,C8026,C8002,C7978,C7954,C7930,C7906,C7882,C7858,C7834,C7810,C7786,C7762)/POBLA!$B$9*100000</f>
        <v>27.594502910641729</v>
      </c>
      <c r="H8074" s="252">
        <f t="shared" si="639"/>
        <v>0.36462882096069871</v>
      </c>
    </row>
    <row r="8075" spans="1:8" ht="15.75" thickBot="1" x14ac:dyDescent="0.3">
      <c r="A8075" s="105" t="s">
        <v>33</v>
      </c>
      <c r="B8075" s="19">
        <v>44229</v>
      </c>
      <c r="C8075" s="4">
        <v>22</v>
      </c>
      <c r="D8075" s="21">
        <f t="shared" si="637"/>
        <v>19371</v>
      </c>
      <c r="F8075" s="57">
        <f t="shared" si="638"/>
        <v>873</v>
      </c>
      <c r="G8075" s="251">
        <f>SUM(C8075,C8051,C8027,C8003,C7979,C7955,C7931,C7907,C7883,C7859,C7835,C7811,C7787,C7763)/POBLA!$B$10*100000</f>
        <v>55.65061274048783</v>
      </c>
      <c r="H8075" s="252">
        <f t="shared" si="639"/>
        <v>1.2118644067796611</v>
      </c>
    </row>
    <row r="8076" spans="1:8" ht="15.75" thickBot="1" x14ac:dyDescent="0.3">
      <c r="A8076" s="105" t="s">
        <v>34</v>
      </c>
      <c r="B8076" s="19">
        <v>44229</v>
      </c>
      <c r="C8076" s="4">
        <v>88</v>
      </c>
      <c r="D8076" s="21">
        <f t="shared" si="637"/>
        <v>16601</v>
      </c>
      <c r="E8076" s="4">
        <v>11</v>
      </c>
      <c r="F8076" s="57">
        <f t="shared" si="638"/>
        <v>250</v>
      </c>
      <c r="G8076" s="251">
        <f>SUM(C8076,C8052,C8028,C8004,C7980,C7956,C7932,C7908,C7884,C7860,C7836,C7812,C7788,C7764)/POBLA!$B$11*100000</f>
        <v>367.15881571752209</v>
      </c>
      <c r="H8076" s="252">
        <f t="shared" si="639"/>
        <v>0.39330543933054396</v>
      </c>
    </row>
    <row r="8077" spans="1:8" ht="15.75" thickBot="1" x14ac:dyDescent="0.3">
      <c r="A8077" s="105" t="s">
        <v>22</v>
      </c>
      <c r="B8077" s="19">
        <v>44229</v>
      </c>
      <c r="C8077" s="4">
        <v>6</v>
      </c>
      <c r="D8077" s="21">
        <f t="shared" si="637"/>
        <v>9565</v>
      </c>
      <c r="F8077" s="57">
        <f t="shared" si="638"/>
        <v>414</v>
      </c>
      <c r="G8077" s="251">
        <f>SUM(C8077,C8053,C8029,C8005,C7981,C7957,C7933,C7909,C7885,C7861,C7837,C7813,C7789,C7765)/POBLA!$B$12*100000</f>
        <v>59.969862602946144</v>
      </c>
      <c r="H8077" s="252">
        <f t="shared" si="639"/>
        <v>1.2291666666666667</v>
      </c>
    </row>
    <row r="8078" spans="1:8" ht="15.75" thickBot="1" x14ac:dyDescent="0.3">
      <c r="A8078" s="105" t="s">
        <v>18</v>
      </c>
      <c r="B8078" s="19">
        <v>44229</v>
      </c>
      <c r="C8078" s="4">
        <v>146</v>
      </c>
      <c r="D8078" s="21">
        <f t="shared" si="637"/>
        <v>64041</v>
      </c>
      <c r="E8078" s="4">
        <v>3</v>
      </c>
      <c r="F8078" s="57">
        <f t="shared" si="638"/>
        <v>1371</v>
      </c>
      <c r="G8078" s="251">
        <f>SUM(C8078,C8054,C8030,C8006,C7982,C7958,C7934,C7910,C7886,C7862,C7838,C7814,C7790,C7766)/POBLA!$B$13*100000</f>
        <v>80.488841593739366</v>
      </c>
      <c r="H8078" s="252">
        <f t="shared" si="639"/>
        <v>0.84986737400530499</v>
      </c>
    </row>
    <row r="8079" spans="1:8" ht="15.75" thickBot="1" x14ac:dyDescent="0.3">
      <c r="A8079" s="105" t="s">
        <v>24</v>
      </c>
      <c r="B8079" s="19">
        <v>44229</v>
      </c>
      <c r="C8079" s="4">
        <v>284</v>
      </c>
      <c r="D8079" s="21">
        <f t="shared" si="637"/>
        <v>5143</v>
      </c>
      <c r="E8079" s="4">
        <v>3</v>
      </c>
      <c r="F8079" s="57">
        <f t="shared" si="638"/>
        <v>92</v>
      </c>
      <c r="G8079" s="251">
        <f>SUM(C8079,C8055,C8031,C8007,C7983,C7959,C7935,C7911,C7887,C7863,C7839,C7815,C7791,C7767)/POBLA!$B$14*100000</f>
        <v>204.31398230705923</v>
      </c>
      <c r="H8079" s="252">
        <f t="shared" si="639"/>
        <v>1.8354700854700854</v>
      </c>
    </row>
    <row r="8080" spans="1:8" ht="15.75" thickBot="1" x14ac:dyDescent="0.3">
      <c r="A8080" s="105" t="s">
        <v>20</v>
      </c>
      <c r="B8080" s="19">
        <v>44229</v>
      </c>
      <c r="C8080" s="4">
        <v>499</v>
      </c>
      <c r="D8080" s="21">
        <f t="shared" si="637"/>
        <v>54929</v>
      </c>
      <c r="E8080" s="4">
        <v>2</v>
      </c>
      <c r="F8080" s="57">
        <f t="shared" si="638"/>
        <v>776</v>
      </c>
      <c r="G8080" s="251">
        <f>SUM(C8080,C8056,C8032,C8008,C7984,C7960,C7936,C7912,C7888,C7864,C7840,C7816,C7792,C7768)/POBLA!$B$15*100000</f>
        <v>878.38845159376388</v>
      </c>
      <c r="H8080" s="252">
        <f t="shared" si="639"/>
        <v>0.94202196382428938</v>
      </c>
    </row>
    <row r="8081" spans="1:8" ht="15.75" thickBot="1" x14ac:dyDescent="0.3">
      <c r="A8081" s="105" t="s">
        <v>19</v>
      </c>
      <c r="B8081" s="19">
        <v>44229</v>
      </c>
      <c r="C8081" s="4">
        <v>294</v>
      </c>
      <c r="D8081" s="21">
        <f t="shared" si="637"/>
        <v>48480</v>
      </c>
      <c r="E8081" s="4">
        <v>4</v>
      </c>
      <c r="F8081" s="57">
        <f t="shared" si="638"/>
        <v>1085</v>
      </c>
      <c r="G8081" s="251">
        <f>SUM(C8081,C8057,C8033,C8009,C7985,C7961,C7937,C7913,C7889,C7865,C7841,C7817,C7793,C7769)/POBLA!$B$16*100000</f>
        <v>523.6687577747756</v>
      </c>
      <c r="H8081" s="252">
        <f t="shared" si="639"/>
        <v>0.81207218419415061</v>
      </c>
    </row>
    <row r="8082" spans="1:8" ht="15.75" thickBot="1" x14ac:dyDescent="0.3">
      <c r="A8082" s="105" t="s">
        <v>35</v>
      </c>
      <c r="B8082" s="19">
        <v>44229</v>
      </c>
      <c r="C8082" s="4">
        <v>57</v>
      </c>
      <c r="D8082" s="21">
        <f t="shared" si="637"/>
        <v>23883</v>
      </c>
      <c r="F8082" s="57">
        <f t="shared" si="638"/>
        <v>1046</v>
      </c>
      <c r="G8082" s="251">
        <f>SUM(C8082,C8058,C8034,C8010,C7986,C7962,C7938,C7914,C7890,C7866,C7842,C7818,C7794,C7770)/POBLA!$B$17*100000</f>
        <v>51.319962061138853</v>
      </c>
      <c r="H8082" s="252">
        <f t="shared" si="639"/>
        <v>1.0548340548340549</v>
      </c>
    </row>
    <row r="8083" spans="1:8" ht="15.75" thickBot="1" x14ac:dyDescent="0.3">
      <c r="A8083" s="105" t="s">
        <v>36</v>
      </c>
      <c r="B8083" s="19">
        <v>44229</v>
      </c>
      <c r="C8083" s="4">
        <v>83</v>
      </c>
      <c r="D8083" s="21">
        <f t="shared" si="637"/>
        <v>14080</v>
      </c>
      <c r="E8083" s="4">
        <v>1</v>
      </c>
      <c r="F8083" s="57">
        <f t="shared" si="638"/>
        <v>201</v>
      </c>
      <c r="G8083" s="251">
        <f>SUM(C8083,C8059,C8035,C8011,C7987,C7963,C7939,C7915,C7891,C7867,C7843,C7819,C7795,C7771)/POBLA!$B$18*100000</f>
        <v>105.47645532547295</v>
      </c>
      <c r="H8083" s="252">
        <f t="shared" si="639"/>
        <v>0.60189919649379109</v>
      </c>
    </row>
    <row r="8084" spans="1:8" ht="15.75" thickBot="1" x14ac:dyDescent="0.3">
      <c r="A8084" s="105" t="s">
        <v>37</v>
      </c>
      <c r="B8084" s="19">
        <v>44229</v>
      </c>
      <c r="C8084" s="4">
        <v>63</v>
      </c>
      <c r="D8084" s="21">
        <f t="shared" si="637"/>
        <v>19079</v>
      </c>
      <c r="E8084" s="4">
        <v>2</v>
      </c>
      <c r="F8084" s="57">
        <f t="shared" si="638"/>
        <v>332</v>
      </c>
      <c r="G8084" s="251">
        <f>SUM(C8084,C8060,C8036,C8012,C7988,C7964,C7940,C7916,C7892,C7868,C7844,C7820,C7796,C7772)/POBLA!$B$19*100000</f>
        <v>397.57794180135659</v>
      </c>
      <c r="H8084" s="252">
        <f t="shared" si="639"/>
        <v>2.7952973720608574</v>
      </c>
    </row>
    <row r="8085" spans="1:8" ht="15.75" thickBot="1" x14ac:dyDescent="0.3">
      <c r="A8085" s="105" t="s">
        <v>38</v>
      </c>
      <c r="B8085" s="19">
        <v>44229</v>
      </c>
      <c r="C8085" s="4">
        <v>158</v>
      </c>
      <c r="D8085" s="21">
        <f t="shared" si="637"/>
        <v>32836</v>
      </c>
      <c r="E8085" s="4">
        <v>2</v>
      </c>
      <c r="F8085" s="57">
        <f t="shared" si="638"/>
        <v>507</v>
      </c>
      <c r="G8085" s="251">
        <f>SUM(C8085,C8061,C8037,C8013,C7989,C7965,C7941,C7917,C7893,C7869,C7845,C7821,C7797,C7773)/POBLA!$B$20*100000</f>
        <v>744.05657126918925</v>
      </c>
      <c r="H8085" s="252">
        <f t="shared" si="639"/>
        <v>0.55792495386508101</v>
      </c>
    </row>
    <row r="8086" spans="1:8" ht="15.75" thickBot="1" x14ac:dyDescent="0.3">
      <c r="A8086" s="105" t="s">
        <v>23</v>
      </c>
      <c r="B8086" s="19">
        <v>44229</v>
      </c>
      <c r="C8086" s="4">
        <v>515</v>
      </c>
      <c r="D8086" s="21">
        <f t="shared" si="637"/>
        <v>206864</v>
      </c>
      <c r="E8086" s="4">
        <v>47</v>
      </c>
      <c r="F8086" s="57">
        <f t="shared" si="638"/>
        <v>3577</v>
      </c>
      <c r="G8086" s="251">
        <f>SUM(C8086,C8062,C8038,C8014,C7990,C7966,C7942,C7918,C7894,C7870,C7846,C7822,C7798,C7774)/POBLA!$B$21*100000</f>
        <v>275.4482077627701</v>
      </c>
      <c r="H8086" s="252">
        <f t="shared" si="639"/>
        <v>0.58020132229435939</v>
      </c>
    </row>
    <row r="8087" spans="1:8" ht="15.75" thickBot="1" x14ac:dyDescent="0.3">
      <c r="A8087" s="105" t="s">
        <v>39</v>
      </c>
      <c r="B8087" s="19">
        <v>44229</v>
      </c>
      <c r="C8087" s="4">
        <v>69</v>
      </c>
      <c r="D8087" s="21">
        <f t="shared" si="637"/>
        <v>21023</v>
      </c>
      <c r="E8087" s="4">
        <v>2</v>
      </c>
      <c r="F8087" s="57">
        <f t="shared" si="638"/>
        <v>246</v>
      </c>
      <c r="G8087" s="251">
        <f>SUM(C8087,C8063,C8039,C8015,C7991,C7967,C7943,C7919,C7895,C7871,C7847,C7823,C7799,C7775)/POBLA!$B$22*100000</f>
        <v>125.72663350073033</v>
      </c>
      <c r="H8087" s="252">
        <f t="shared" si="639"/>
        <v>0.6333676622039135</v>
      </c>
    </row>
    <row r="8088" spans="1:8" ht="15.75" thickBot="1" x14ac:dyDescent="0.3">
      <c r="A8088" s="105" t="s">
        <v>40</v>
      </c>
      <c r="B8088" s="19">
        <v>44229</v>
      </c>
      <c r="C8088" s="4">
        <v>58</v>
      </c>
      <c r="D8088" s="21">
        <f t="shared" si="637"/>
        <v>21910</v>
      </c>
      <c r="E8088" s="4">
        <v>2</v>
      </c>
      <c r="F8088" s="57">
        <f t="shared" si="638"/>
        <v>336</v>
      </c>
      <c r="G8088" s="251">
        <f>SUM(C8088,C8064,C8040,C8016,C7992,C7968,C7944,C7920,C7896,C7872,C7848,C7824,C7800,C7776)/POBLA!$B$23*100000</f>
        <v>500.48068766611999</v>
      </c>
      <c r="H8088" s="252">
        <f t="shared" si="639"/>
        <v>0.65217391304347827</v>
      </c>
    </row>
    <row r="8089" spans="1:8" ht="15.75" thickBot="1" x14ac:dyDescent="0.3">
      <c r="A8089" s="106" t="s">
        <v>41</v>
      </c>
      <c r="B8089" s="36">
        <v>44229</v>
      </c>
      <c r="C8089" s="37">
        <v>183</v>
      </c>
      <c r="D8089" s="98">
        <f t="shared" si="637"/>
        <v>76715</v>
      </c>
      <c r="E8089" s="37"/>
      <c r="F8089" s="255">
        <f t="shared" si="638"/>
        <v>1429</v>
      </c>
      <c r="G8089" s="251">
        <f>SUM(C8089,C8065,C8041,C8017,C7993,C7969,C7945,C7921,C7897,C7873,C7849,C7825,C7801,C7777)/POBLA!$B$24*100000</f>
        <v>120.08336795196193</v>
      </c>
      <c r="H8089" s="257">
        <f t="shared" si="639"/>
        <v>0.71403508771929824</v>
      </c>
    </row>
    <row r="8090" spans="1:8" ht="15.75" thickBot="1" x14ac:dyDescent="0.3">
      <c r="A8090" s="45" t="s">
        <v>17</v>
      </c>
      <c r="B8090" s="152">
        <v>44230</v>
      </c>
      <c r="C8090" s="63">
        <v>3688</v>
      </c>
      <c r="D8090" s="97">
        <f t="shared" si="637"/>
        <v>814845</v>
      </c>
      <c r="E8090" s="33">
        <v>35</v>
      </c>
      <c r="F8090" s="250">
        <f>E8090+F8066</f>
        <v>24707</v>
      </c>
      <c r="G8090" s="251">
        <f>SUM(C8090,C8066,C8042,C8018,C7994,C7970,C7946,C7922,C7898,C7874,C7850,C7826,C7802,C7778)/POBLA!$B$1*100000</f>
        <v>287.20480611837053</v>
      </c>
      <c r="H8090" s="230">
        <f t="shared" ref="H8090:H8096" si="640">SUM(C8090,C8066,C8042,C8018,C7994,C7970,C7946,C7922,C7898,C7874,C7850,C7826,C7802,C7778)/SUM(C7754,C7730,C7706,C7682,C7658,C7634,C7610,C7586,C7562,C7538,C7514,C7490,C7466,C7442)</f>
        <v>0.83337193144974531</v>
      </c>
    </row>
    <row r="8091" spans="1:8" ht="15.75" thickBot="1" x14ac:dyDescent="0.3">
      <c r="A8091" s="105" t="s">
        <v>44</v>
      </c>
      <c r="B8091" s="19">
        <v>44230</v>
      </c>
      <c r="C8091" s="63">
        <v>1071</v>
      </c>
      <c r="D8091" s="21">
        <f t="shared" si="637"/>
        <v>213457</v>
      </c>
      <c r="E8091" s="4">
        <v>7</v>
      </c>
      <c r="F8091" s="57">
        <f t="shared" ref="F8091:F8113" si="641">E8091+F8067</f>
        <v>6096</v>
      </c>
      <c r="G8091" s="251">
        <f>SUM(C8091,C8067,C8043,C8019,C7995,C7971,C7947,C7923,C7899,C7875,C7851,C7827,C7803,C7779)/POBLA!$B$2*100000</f>
        <v>484.41855792246571</v>
      </c>
      <c r="H8091" s="252">
        <f t="shared" si="640"/>
        <v>0.82201379310344824</v>
      </c>
    </row>
    <row r="8092" spans="1:8" ht="15.75" thickBot="1" x14ac:dyDescent="0.3">
      <c r="A8092" s="105" t="s">
        <v>29</v>
      </c>
      <c r="B8092" s="19">
        <v>44230</v>
      </c>
      <c r="C8092" s="63">
        <v>139</v>
      </c>
      <c r="D8092" s="21">
        <f t="shared" si="637"/>
        <v>5817</v>
      </c>
      <c r="F8092" s="57">
        <f t="shared" si="641"/>
        <v>17</v>
      </c>
      <c r="G8092" s="251">
        <f>SUM(C8092,C8068,C8044,C8020,C7996,C7972,C7948,C7924,C7900,C7876,C7852,C7828,C7804,C7780)/POBLA!$B$3*100000</f>
        <v>321.34758977272179</v>
      </c>
      <c r="H8092" s="252">
        <f t="shared" si="640"/>
        <v>0.88235294117647056</v>
      </c>
    </row>
    <row r="8093" spans="1:8" ht="15.75" thickBot="1" x14ac:dyDescent="0.3">
      <c r="A8093" s="105" t="s">
        <v>16</v>
      </c>
      <c r="B8093" s="19">
        <v>44230</v>
      </c>
      <c r="C8093" s="63">
        <v>117</v>
      </c>
      <c r="D8093" s="21">
        <f t="shared" si="637"/>
        <v>31125</v>
      </c>
      <c r="F8093" s="57">
        <f t="shared" si="641"/>
        <v>798</v>
      </c>
      <c r="G8093" s="251">
        <f>SUM(C8093,C8069,C8045,C8021,C7997,C7973,C7949,C7925,C7901,C7877,C7853,C7829,C7805,C7781)/POBLA!$B$4*100000</f>
        <v>172.9289413975946</v>
      </c>
      <c r="H8093" s="252">
        <f t="shared" si="640"/>
        <v>0.66232114467408587</v>
      </c>
    </row>
    <row r="8094" spans="1:8" ht="15.75" thickBot="1" x14ac:dyDescent="0.3">
      <c r="A8094" s="105" t="s">
        <v>30</v>
      </c>
      <c r="B8094" s="19">
        <v>44230</v>
      </c>
      <c r="C8094" s="63">
        <v>299</v>
      </c>
      <c r="D8094" s="21">
        <f t="shared" si="637"/>
        <v>43148</v>
      </c>
      <c r="E8094" s="4">
        <v>4</v>
      </c>
      <c r="F8094" s="57">
        <f t="shared" si="641"/>
        <v>661</v>
      </c>
      <c r="G8094" s="251">
        <f>SUM(C8094,C8070,C8046,C8022,C7998,C7974,C7950,C7926,C7902,C7878,C7854,C7830,C7806,C7782)/POBLA!$B$5*100000</f>
        <v>652.18725868102115</v>
      </c>
      <c r="H8094" s="252">
        <f t="shared" si="640"/>
        <v>0.76559833112080411</v>
      </c>
    </row>
    <row r="8095" spans="1:8" ht="15.75" thickBot="1" x14ac:dyDescent="0.3">
      <c r="A8095" s="105" t="s">
        <v>31</v>
      </c>
      <c r="B8095" s="19">
        <v>44230</v>
      </c>
      <c r="C8095" s="63">
        <v>232</v>
      </c>
      <c r="D8095" s="21">
        <f t="shared" si="637"/>
        <v>17970</v>
      </c>
      <c r="F8095" s="57">
        <f t="shared" si="641"/>
        <v>206</v>
      </c>
      <c r="G8095" s="251">
        <f>SUM(C8095,C8071,C8047,C8023,C7999,C7975,C7951,C7927,C7903,C7879,C7855,C7831,C7807,C7783)/POBLA!$B$7*100000</f>
        <v>58.397266284620194</v>
      </c>
      <c r="H8095" s="252">
        <f t="shared" si="640"/>
        <v>0.29109225874867445</v>
      </c>
    </row>
    <row r="8096" spans="1:8" ht="15.75" thickBot="1" x14ac:dyDescent="0.3">
      <c r="A8096" s="105" t="s">
        <v>21</v>
      </c>
      <c r="B8096" s="19">
        <v>44230</v>
      </c>
      <c r="C8096" s="63">
        <v>603</v>
      </c>
      <c r="D8096" s="21">
        <f t="shared" si="637"/>
        <v>146512</v>
      </c>
      <c r="E8096" s="4">
        <v>6</v>
      </c>
      <c r="F8096" s="57">
        <f t="shared" si="641"/>
        <v>2710</v>
      </c>
      <c r="G8096" s="251">
        <f>SUM(C8096,C8072,C8048,C8024,C8000,C7976,C7952,C7928,C7904,C7880,C7856,C7832,C7808,C7784)/POBLA!$B$6*100000</f>
        <v>630.53120045396099</v>
      </c>
      <c r="H8096" s="252">
        <f t="shared" si="640"/>
        <v>1.6313481071098799</v>
      </c>
    </row>
    <row r="8097" spans="1:8" ht="15.75" thickBot="1" x14ac:dyDescent="0.3">
      <c r="A8097" s="105" t="s">
        <v>32</v>
      </c>
      <c r="B8097" s="19">
        <v>44230</v>
      </c>
      <c r="C8097" s="63">
        <v>265</v>
      </c>
      <c r="D8097" s="21">
        <f t="shared" si="637"/>
        <v>41717</v>
      </c>
      <c r="E8097" s="4">
        <v>4</v>
      </c>
      <c r="F8097" s="57">
        <f t="shared" si="641"/>
        <v>745</v>
      </c>
      <c r="G8097" s="251">
        <f>SUM(C8097,C8073,C8049,C8025,C8001,C7977,C7953,C7929,C7905,C7881,C7857,C7833,C7809,C7785)/POBLA!$B$8*100000</f>
        <v>288.03119279691128</v>
      </c>
      <c r="H8097" s="252">
        <f t="shared" ref="H8097:H8113" si="642">SUM(C8097,C8073,C8049,C8025,C8001,C7977,C7953,C7929,C7905,C7881,C7857,C7833,C7809,C7785)/SUM(C7761,C7737,C7713,C7689,C7665,C7641,C7617,C7593,C7569,C7545,C7521,C7497,C7473,C7449)</f>
        <v>0.6413881748071979</v>
      </c>
    </row>
    <row r="8098" spans="1:8" ht="15.75" thickBot="1" x14ac:dyDescent="0.3">
      <c r="A8098" s="105" t="s">
        <v>42</v>
      </c>
      <c r="B8098" s="19">
        <v>44230</v>
      </c>
      <c r="C8098" s="63">
        <v>4</v>
      </c>
      <c r="D8098" s="21">
        <f t="shared" si="637"/>
        <v>855</v>
      </c>
      <c r="E8098" s="4">
        <v>2</v>
      </c>
      <c r="F8098" s="57">
        <f t="shared" si="641"/>
        <v>7</v>
      </c>
      <c r="G8098" s="251">
        <f>SUM(C8098,C8074,C8050,C8026,C8002,C7978,C7954,C7930,C7906,C7882,C7858,C7834,C7810,C7786)/POBLA!$B$9*100000</f>
        <v>25.611664378140528</v>
      </c>
      <c r="H8098" s="252">
        <f t="shared" si="642"/>
        <v>0.33190578158458245</v>
      </c>
    </row>
    <row r="8099" spans="1:8" ht="15.75" thickBot="1" x14ac:dyDescent="0.3">
      <c r="A8099" s="105" t="s">
        <v>33</v>
      </c>
      <c r="B8099" s="19">
        <v>44230</v>
      </c>
      <c r="C8099" s="63">
        <v>34</v>
      </c>
      <c r="D8099" s="21">
        <f t="shared" si="637"/>
        <v>19405</v>
      </c>
      <c r="E8099" s="4">
        <v>1</v>
      </c>
      <c r="F8099" s="57">
        <f t="shared" si="641"/>
        <v>874</v>
      </c>
      <c r="G8099" s="251">
        <f>SUM(C8099,C8075,C8051,C8027,C8003,C7979,C7955,C7931,C7907,C7883,C7859,C7835,C7811,C7787)/POBLA!$B$10*100000</f>
        <v>55.00200420038891</v>
      </c>
      <c r="H8099" s="252">
        <f t="shared" si="642"/>
        <v>1.1187335092348285</v>
      </c>
    </row>
    <row r="8100" spans="1:8" ht="15.75" thickBot="1" x14ac:dyDescent="0.3">
      <c r="A8100" s="105" t="s">
        <v>34</v>
      </c>
      <c r="B8100" s="19">
        <v>44230</v>
      </c>
      <c r="C8100" s="63">
        <v>100</v>
      </c>
      <c r="D8100" s="21">
        <f t="shared" si="637"/>
        <v>16701</v>
      </c>
      <c r="E8100" s="4">
        <v>2</v>
      </c>
      <c r="F8100" s="57">
        <f t="shared" si="641"/>
        <v>252</v>
      </c>
      <c r="G8100" s="251">
        <f>SUM(C8100,C8076,C8052,C8028,C8004,C7980,C7956,C7932,C7908,C7884,C7860,C7836,C7812,C7788)/POBLA!$B$11*100000</f>
        <v>361.29989844543394</v>
      </c>
      <c r="H8100" s="252">
        <f t="shared" si="642"/>
        <v>0.42251223491027734</v>
      </c>
    </row>
    <row r="8101" spans="1:8" ht="15.75" thickBot="1" x14ac:dyDescent="0.3">
      <c r="A8101" s="105" t="s">
        <v>22</v>
      </c>
      <c r="B8101" s="19">
        <v>44230</v>
      </c>
      <c r="C8101" s="63">
        <v>20</v>
      </c>
      <c r="D8101" s="21">
        <f t="shared" si="637"/>
        <v>9585</v>
      </c>
      <c r="F8101" s="57">
        <f t="shared" si="641"/>
        <v>414</v>
      </c>
      <c r="G8101" s="251">
        <f>SUM(C8101,C8077,C8053,C8029,C8005,C7981,C7957,C7933,C7909,C7885,C7861,C7837,C7813,C7789)/POBLA!$B$12*100000</f>
        <v>57.428766729939959</v>
      </c>
      <c r="H8101" s="252">
        <f t="shared" si="642"/>
        <v>1.0610328638497653</v>
      </c>
    </row>
    <row r="8102" spans="1:8" ht="15.75" thickBot="1" x14ac:dyDescent="0.3">
      <c r="A8102" s="105" t="s">
        <v>18</v>
      </c>
      <c r="B8102" s="19">
        <v>44230</v>
      </c>
      <c r="C8102" s="63">
        <v>158</v>
      </c>
      <c r="D8102" s="21">
        <f t="shared" si="637"/>
        <v>64199</v>
      </c>
      <c r="E8102" s="4">
        <v>4</v>
      </c>
      <c r="F8102" s="57">
        <f t="shared" si="641"/>
        <v>1375</v>
      </c>
      <c r="G8102" s="251">
        <f>SUM(C8102,C8078,C8054,C8030,C8006,C7982,C7958,C7934,C7910,C7886,C7862,C7838,C7814,C7790)/POBLA!$B$13*100000</f>
        <v>78.479132690025509</v>
      </c>
      <c r="H8102" s="252">
        <f t="shared" si="642"/>
        <v>0.81100726895119424</v>
      </c>
    </row>
    <row r="8103" spans="1:8" ht="15.75" thickBot="1" x14ac:dyDescent="0.3">
      <c r="A8103" s="105" t="s">
        <v>24</v>
      </c>
      <c r="B8103" s="19">
        <v>44230</v>
      </c>
      <c r="C8103" s="63">
        <v>190</v>
      </c>
      <c r="D8103" s="21">
        <f t="shared" si="637"/>
        <v>5333</v>
      </c>
      <c r="E8103" s="4">
        <v>5</v>
      </c>
      <c r="F8103" s="57">
        <f t="shared" si="641"/>
        <v>97</v>
      </c>
      <c r="G8103" s="251">
        <f>SUM(C8103,C8079,C8055,C8031,C8007,C7983,C7959,C7935,C7911,C7887,C7863,C7839,C7815,C7791)/POBLA!$B$14*100000</f>
        <v>204.07613133813368</v>
      </c>
      <c r="H8103" s="252">
        <f t="shared" si="642"/>
        <v>1.615819209039548</v>
      </c>
    </row>
    <row r="8104" spans="1:8" ht="15.75" thickBot="1" x14ac:dyDescent="0.3">
      <c r="A8104" s="105" t="s">
        <v>20</v>
      </c>
      <c r="B8104" s="19">
        <v>44230</v>
      </c>
      <c r="C8104" s="63">
        <v>456</v>
      </c>
      <c r="D8104" s="21">
        <f t="shared" si="637"/>
        <v>55385</v>
      </c>
      <c r="E8104" s="4">
        <v>8</v>
      </c>
      <c r="F8104" s="57">
        <f t="shared" si="641"/>
        <v>784</v>
      </c>
      <c r="G8104" s="251">
        <f>SUM(C8104,C8080,C8056,C8032,C8008,C7984,C7960,C7936,C7912,C7888,C7864,C7840,C7816,C7792)/POBLA!$B$15*100000</f>
        <v>866.79306143900294</v>
      </c>
      <c r="H8104" s="252">
        <f t="shared" si="642"/>
        <v>0.93487087867467922</v>
      </c>
    </row>
    <row r="8105" spans="1:8" ht="15.75" thickBot="1" x14ac:dyDescent="0.3">
      <c r="A8105" s="105" t="s">
        <v>19</v>
      </c>
      <c r="B8105" s="19">
        <v>44230</v>
      </c>
      <c r="C8105" s="63">
        <v>280</v>
      </c>
      <c r="D8105" s="21">
        <f t="shared" si="637"/>
        <v>48760</v>
      </c>
      <c r="E8105" s="4">
        <v>8</v>
      </c>
      <c r="F8105" s="57">
        <f t="shared" si="641"/>
        <v>1093</v>
      </c>
      <c r="G8105" s="251">
        <f>SUM(C8105,C8081,C8057,C8033,C8009,C7985,C7961,C7937,C7913,C7889,C7865,C7841,C7817,C7793)/POBLA!$B$16*100000</f>
        <v>501.99970572892278</v>
      </c>
      <c r="H8105" s="252">
        <f t="shared" si="642"/>
        <v>0.76874231872183529</v>
      </c>
    </row>
    <row r="8106" spans="1:8" ht="15.75" thickBot="1" x14ac:dyDescent="0.3">
      <c r="A8106" s="105" t="s">
        <v>35</v>
      </c>
      <c r="B8106" s="19">
        <v>44230</v>
      </c>
      <c r="C8106" s="63">
        <v>90</v>
      </c>
      <c r="D8106" s="21">
        <f t="shared" si="637"/>
        <v>23973</v>
      </c>
      <c r="E8106" s="4">
        <v>1</v>
      </c>
      <c r="F8106" s="57">
        <f t="shared" si="641"/>
        <v>1047</v>
      </c>
      <c r="G8106" s="251">
        <f>SUM(C8106,C8082,C8058,C8034,C8010,C7986,C7962,C7938,C7914,C7890,C7866,C7842,C7818,C7794)/POBLA!$B$17*100000</f>
        <v>52.232628965098911</v>
      </c>
      <c r="H8106" s="252">
        <f t="shared" si="642"/>
        <v>1.0333333333333334</v>
      </c>
    </row>
    <row r="8107" spans="1:8" ht="15.75" thickBot="1" x14ac:dyDescent="0.3">
      <c r="A8107" s="105" t="s">
        <v>36</v>
      </c>
      <c r="B8107" s="19">
        <v>44230</v>
      </c>
      <c r="C8107" s="63">
        <v>59</v>
      </c>
      <c r="D8107" s="21">
        <f t="shared" si="637"/>
        <v>14139</v>
      </c>
      <c r="E8107" s="4">
        <v>1</v>
      </c>
      <c r="F8107" s="57">
        <f t="shared" si="641"/>
        <v>202</v>
      </c>
      <c r="G8107" s="251">
        <f>SUM(C8107,C8083,C8059,C8035,C8011,C7987,C7963,C7939,C7915,C7891,C7867,C7843,C7819,C7795)/POBLA!$B$18*100000</f>
        <v>100.74025526838253</v>
      </c>
      <c r="H8107" s="252">
        <f t="shared" si="642"/>
        <v>0.58210059171597628</v>
      </c>
    </row>
    <row r="8108" spans="1:8" ht="15.75" thickBot="1" x14ac:dyDescent="0.3">
      <c r="A8108" s="105" t="s">
        <v>37</v>
      </c>
      <c r="B8108" s="19">
        <v>44230</v>
      </c>
      <c r="C8108" s="63">
        <v>9</v>
      </c>
      <c r="D8108" s="21">
        <f t="shared" si="637"/>
        <v>19088</v>
      </c>
      <c r="E8108" s="4">
        <v>2</v>
      </c>
      <c r="F8108" s="57">
        <f t="shared" si="641"/>
        <v>334</v>
      </c>
      <c r="G8108" s="251">
        <f>SUM(C8108,C8084,C8060,C8036,C8012,C7988,C7964,C7940,C7916,C7892,C7868,C7844,C7820,C7796)/POBLA!$B$19*100000</f>
        <v>378.88922113281188</v>
      </c>
      <c r="H8108" s="252">
        <f t="shared" si="642"/>
        <v>2.5176470588235293</v>
      </c>
    </row>
    <row r="8109" spans="1:8" ht="15.75" thickBot="1" x14ac:dyDescent="0.3">
      <c r="A8109" s="105" t="s">
        <v>38</v>
      </c>
      <c r="B8109" s="19">
        <v>44230</v>
      </c>
      <c r="C8109" s="63">
        <v>421</v>
      </c>
      <c r="D8109" s="21">
        <f t="shared" si="637"/>
        <v>33257</v>
      </c>
      <c r="E8109" s="4">
        <v>1</v>
      </c>
      <c r="F8109" s="57">
        <f t="shared" si="641"/>
        <v>508</v>
      </c>
      <c r="G8109" s="251">
        <f>SUM(C8109,C8085,C8061,C8037,C8013,C7989,C7965,C7941,C7917,C7893,C7869,C7845,C7821,C7797)/POBLA!$B$20*100000</f>
        <v>724.09474484410634</v>
      </c>
      <c r="H8109" s="252">
        <f t="shared" si="642"/>
        <v>0.53930753564154787</v>
      </c>
    </row>
    <row r="8110" spans="1:8" ht="15.75" thickBot="1" x14ac:dyDescent="0.3">
      <c r="A8110" s="105" t="s">
        <v>23</v>
      </c>
      <c r="B8110" s="19">
        <v>44230</v>
      </c>
      <c r="C8110" s="63">
        <v>688</v>
      </c>
      <c r="D8110" s="21">
        <f t="shared" si="637"/>
        <v>207552</v>
      </c>
      <c r="E8110" s="4">
        <v>16</v>
      </c>
      <c r="F8110" s="57">
        <f t="shared" si="641"/>
        <v>3593</v>
      </c>
      <c r="G8110" s="251">
        <f>SUM(C8110,C8086,C8062,C8038,C8014,C7990,C7966,C7942,C7918,C7894,C7870,C7846,C7822,C7798)/POBLA!$B$21*100000</f>
        <v>260.34818282227951</v>
      </c>
      <c r="H8110" s="252">
        <f t="shared" si="642"/>
        <v>0.55800000000000005</v>
      </c>
    </row>
    <row r="8111" spans="1:8" ht="15.75" thickBot="1" x14ac:dyDescent="0.3">
      <c r="A8111" s="105" t="s">
        <v>39</v>
      </c>
      <c r="B8111" s="19">
        <v>44230</v>
      </c>
      <c r="C8111" s="63">
        <v>91</v>
      </c>
      <c r="D8111" s="21">
        <f t="shared" si="637"/>
        <v>21114</v>
      </c>
      <c r="F8111" s="57">
        <f t="shared" si="641"/>
        <v>246</v>
      </c>
      <c r="G8111" s="251">
        <f>SUM(C8111,C8087,C8063,C8039,C8015,C7991,C7967,C7943,C7919,C7895,C7871,C7847,C7823,C7799)/POBLA!$B$22*100000</f>
        <v>118.0603753604419</v>
      </c>
      <c r="H8111" s="252">
        <f t="shared" si="642"/>
        <v>0.59937727036844834</v>
      </c>
    </row>
    <row r="8112" spans="1:8" ht="15.75" thickBot="1" x14ac:dyDescent="0.3">
      <c r="A8112" s="105" t="s">
        <v>40</v>
      </c>
      <c r="B8112" s="19">
        <v>44230</v>
      </c>
      <c r="C8112" s="63">
        <v>57</v>
      </c>
      <c r="D8112" s="21">
        <f t="shared" si="637"/>
        <v>21967</v>
      </c>
      <c r="F8112" s="57">
        <f t="shared" si="641"/>
        <v>336</v>
      </c>
      <c r="G8112" s="251">
        <f>SUM(C8112,C8088,C8064,C8040,C8016,C7992,C7968,C7944,C7920,C7896,C7872,C7848,C7824,C7800)/POBLA!$B$23*100000</f>
        <v>481.25318102131985</v>
      </c>
      <c r="H8112" s="252">
        <f t="shared" si="642"/>
        <v>0.66640563821456533</v>
      </c>
    </row>
    <row r="8113" spans="1:8" ht="15.75" thickBot="1" x14ac:dyDescent="0.3">
      <c r="A8113" s="106" t="s">
        <v>41</v>
      </c>
      <c r="B8113" s="19">
        <v>44230</v>
      </c>
      <c r="C8113" s="63">
        <v>125</v>
      </c>
      <c r="D8113" s="98">
        <f t="shared" si="637"/>
        <v>76840</v>
      </c>
      <c r="E8113" s="37">
        <v>6</v>
      </c>
      <c r="F8113" s="255">
        <f t="shared" si="641"/>
        <v>1435</v>
      </c>
      <c r="G8113" s="251">
        <f>SUM(C8113,C8089,C8065,C8041,C8017,C7993,C7969,C7945,C7921,C7897,C7873,C7849,C7825,C7801)/POBLA!$B$24*100000</f>
        <v>118.72616035348766</v>
      </c>
      <c r="H8113" s="257">
        <f t="shared" si="642"/>
        <v>0.72661610689779699</v>
      </c>
    </row>
    <row r="8114" spans="1:8" ht="15.75" thickBot="1" x14ac:dyDescent="0.3">
      <c r="A8114" s="45" t="s">
        <v>17</v>
      </c>
      <c r="B8114" s="19">
        <v>44231</v>
      </c>
      <c r="C8114" s="4">
        <v>3709</v>
      </c>
      <c r="D8114" s="97">
        <f t="shared" si="637"/>
        <v>818554</v>
      </c>
      <c r="E8114" s="4">
        <v>41</v>
      </c>
      <c r="F8114" s="250">
        <f>E8114+F8090</f>
        <v>24748</v>
      </c>
      <c r="G8114" s="251">
        <f>SUM(C8114,C8090,C8066,C8042,C8018,C7994,C7970,C7946,C7922,C7898,C7874,C7850,C7826,C7802)/POBLA!$B$1*100000</f>
        <v>281.95429248302605</v>
      </c>
      <c r="H8114" s="230">
        <f t="shared" ref="H8114:H8120" si="643">SUM(C8114,C8090,C8066,C8042,C8018,C7994,C7970,C7946,C7922,C7898,C7874,C7850,C7826,C7802)/SUM(C7778,C7754,C7730,C7706,C7682,C7658,C7634,C7610,C7586,C7562,C7538,C7514,C7490,C7466)</f>
        <v>0.82756889714371773</v>
      </c>
    </row>
    <row r="8115" spans="1:8" ht="15.75" thickBot="1" x14ac:dyDescent="0.3">
      <c r="A8115" s="105" t="s">
        <v>44</v>
      </c>
      <c r="B8115" s="19">
        <v>44231</v>
      </c>
      <c r="C8115" s="4">
        <v>1214</v>
      </c>
      <c r="D8115" s="21">
        <f t="shared" si="637"/>
        <v>214671</v>
      </c>
      <c r="E8115" s="4">
        <v>3</v>
      </c>
      <c r="F8115" s="57">
        <f t="shared" ref="F8115:F8137" si="644">E8115+F8091</f>
        <v>6099</v>
      </c>
      <c r="G8115" s="251">
        <f>SUM(C8115,C8091,C8067,C8043,C8019,C7995,C7971,C7947,C7923,C7899,C7875,C7851,C7827,C7803)/POBLA!$B$2*100000</f>
        <v>482.76036969144042</v>
      </c>
      <c r="H8115" s="252">
        <f t="shared" si="643"/>
        <v>0.83256700684086571</v>
      </c>
    </row>
    <row r="8116" spans="1:8" ht="15.75" thickBot="1" x14ac:dyDescent="0.3">
      <c r="A8116" s="105" t="s">
        <v>29</v>
      </c>
      <c r="B8116" s="19">
        <v>44231</v>
      </c>
      <c r="C8116" s="4">
        <v>124</v>
      </c>
      <c r="D8116" s="21">
        <f t="shared" si="637"/>
        <v>5941</v>
      </c>
      <c r="F8116" s="57">
        <f t="shared" si="644"/>
        <v>17</v>
      </c>
      <c r="G8116" s="251">
        <f>SUM(C8116,C8092,C8068,C8044,C8020,C7996,C7972,C7948,C7924,C7900,C7876,C7852,C7828,C7804)/POBLA!$B$3*100000</f>
        <v>328.32817411984456</v>
      </c>
      <c r="H8116" s="252">
        <f t="shared" si="643"/>
        <v>0.86383787207093099</v>
      </c>
    </row>
    <row r="8117" spans="1:8" ht="15.75" thickBot="1" x14ac:dyDescent="0.3">
      <c r="A8117" s="105" t="s">
        <v>16</v>
      </c>
      <c r="B8117" s="19">
        <v>44231</v>
      </c>
      <c r="C8117" s="4">
        <v>133</v>
      </c>
      <c r="D8117" s="21">
        <f t="shared" si="637"/>
        <v>31258</v>
      </c>
      <c r="E8117" s="4">
        <v>4</v>
      </c>
      <c r="F8117" s="57">
        <f t="shared" si="644"/>
        <v>802</v>
      </c>
      <c r="G8117" s="251">
        <f>SUM(C8117,C8093,C8069,C8045,C8021,C7997,C7973,C7949,C7925,C7901,C7877,C7853,C7829,C7805)/POBLA!$B$4*100000</f>
        <v>160.64210350664692</v>
      </c>
      <c r="H8117" s="252">
        <f t="shared" si="643"/>
        <v>0.62258687258687262</v>
      </c>
    </row>
    <row r="8118" spans="1:8" ht="15.75" thickBot="1" x14ac:dyDescent="0.3">
      <c r="A8118" s="105" t="s">
        <v>30</v>
      </c>
      <c r="B8118" s="19">
        <v>44231</v>
      </c>
      <c r="C8118" s="4">
        <v>274</v>
      </c>
      <c r="D8118" s="21">
        <f t="shared" si="637"/>
        <v>43422</v>
      </c>
      <c r="E8118" s="4">
        <v>4</v>
      </c>
      <c r="F8118" s="57">
        <f t="shared" si="644"/>
        <v>665</v>
      </c>
      <c r="G8118" s="251">
        <f>SUM(C8118,C8094,C8070,C8046,C8022,C7998,C7974,C7950,C7926,C7902,C7878,C7854,C7830,C7806)/POBLA!$B$5*100000</f>
        <v>634.90114605311203</v>
      </c>
      <c r="H8118" s="252">
        <f t="shared" si="643"/>
        <v>0.7610379550735864</v>
      </c>
    </row>
    <row r="8119" spans="1:8" ht="15.75" thickBot="1" x14ac:dyDescent="0.3">
      <c r="A8119" s="105" t="s">
        <v>31</v>
      </c>
      <c r="B8119" s="19">
        <v>44231</v>
      </c>
      <c r="C8119" s="4">
        <v>196</v>
      </c>
      <c r="D8119" s="21">
        <f t="shared" si="637"/>
        <v>18166</v>
      </c>
      <c r="F8119" s="57">
        <f t="shared" si="644"/>
        <v>206</v>
      </c>
      <c r="G8119" s="251">
        <f>SUM(C8119,C8095,C8071,C8047,C8023,C7999,C7975,C7951,C7927,C7903,C7879,C7855,C7831,C7807)/POBLA!$B$7*100000</f>
        <v>60.019412570304084</v>
      </c>
      <c r="H8119" s="252">
        <f t="shared" si="643"/>
        <v>0.33571322326342407</v>
      </c>
    </row>
    <row r="8120" spans="1:8" ht="15.75" thickBot="1" x14ac:dyDescent="0.3">
      <c r="A8120" s="105" t="s">
        <v>21</v>
      </c>
      <c r="B8120" s="19">
        <v>44231</v>
      </c>
      <c r="C8120" s="4">
        <v>532</v>
      </c>
      <c r="D8120" s="21">
        <f t="shared" si="637"/>
        <v>147044</v>
      </c>
      <c r="E8120" s="4">
        <v>7</v>
      </c>
      <c r="F8120" s="57">
        <f t="shared" si="644"/>
        <v>2717</v>
      </c>
      <c r="G8120" s="251">
        <f>SUM(C8120,C8096,C8072,C8048,C8024,C8000,C7976,C7952,C7928,C7904,C7880,C7856,C7832,C7808)/POBLA!$B$6*100000</f>
        <v>620.09223760506995</v>
      </c>
      <c r="H8120" s="252">
        <f t="shared" si="643"/>
        <v>1.4567176692517292</v>
      </c>
    </row>
    <row r="8121" spans="1:8" ht="15.75" thickBot="1" x14ac:dyDescent="0.3">
      <c r="A8121" s="105" t="s">
        <v>32</v>
      </c>
      <c r="B8121" s="19">
        <v>44231</v>
      </c>
      <c r="C8121" s="4">
        <v>218</v>
      </c>
      <c r="D8121" s="21">
        <f t="shared" si="637"/>
        <v>41935</v>
      </c>
      <c r="E8121" s="4">
        <v>11</v>
      </c>
      <c r="F8121" s="57">
        <f t="shared" si="644"/>
        <v>756</v>
      </c>
      <c r="G8121" s="251">
        <f>SUM(C8121,C8097,C8073,C8049,C8025,C8001,C7977,C7953,C7929,C7905,C7881,C7857,C7833,C7809)/POBLA!$B$8*100000</f>
        <v>271.65266555119513</v>
      </c>
      <c r="H8121" s="252">
        <f t="shared" ref="H8121:H8137" si="645">SUM(C8121,C8097,C8073,C8049,C8025,C8001,C7977,C7953,C7929,C7905,C7881,C7857,C7833,C7809)/SUM(C7785,C7761,C7737,C7713,C7689,C7665,C7641,C7617,C7593,C7569,C7545,C7521,C7497,C7473)</f>
        <v>0.6190397895429135</v>
      </c>
    </row>
    <row r="8122" spans="1:8" ht="15.75" thickBot="1" x14ac:dyDescent="0.3">
      <c r="A8122" s="105" t="s">
        <v>42</v>
      </c>
      <c r="B8122" s="19">
        <v>44231</v>
      </c>
      <c r="C8122" s="4">
        <v>3</v>
      </c>
      <c r="D8122" s="21">
        <f t="shared" si="637"/>
        <v>858</v>
      </c>
      <c r="F8122" s="57">
        <f t="shared" si="644"/>
        <v>7</v>
      </c>
      <c r="G8122" s="251">
        <f>SUM(C8122,C8098,C8074,C8050,C8026,C8002,C7978,C7954,C7930,C7906,C7882,C7858,C7834,C7810)/POBLA!$B$9*100000</f>
        <v>16.358417893134916</v>
      </c>
      <c r="H8122" s="252">
        <f t="shared" si="645"/>
        <v>0.19001919385796545</v>
      </c>
    </row>
    <row r="8123" spans="1:8" ht="15.75" thickBot="1" x14ac:dyDescent="0.3">
      <c r="A8123" s="105" t="s">
        <v>33</v>
      </c>
      <c r="B8123" s="19">
        <v>44231</v>
      </c>
      <c r="C8123" s="4">
        <v>28</v>
      </c>
      <c r="D8123" s="21">
        <f t="shared" si="637"/>
        <v>19433</v>
      </c>
      <c r="E8123" s="4">
        <v>2</v>
      </c>
      <c r="F8123" s="57">
        <f t="shared" si="644"/>
        <v>876</v>
      </c>
      <c r="G8123" s="251">
        <f>SUM(C8123,C8099,C8075,C8051,C8027,C8003,C7979,C7955,C7931,C7907,C7883,C7859,C7835,C7811)/POBLA!$B$10*100000</f>
        <v>52.796735164052556</v>
      </c>
      <c r="H8123" s="252">
        <f t="shared" si="645"/>
        <v>0.99511002444987773</v>
      </c>
    </row>
    <row r="8124" spans="1:8" ht="15.75" thickBot="1" x14ac:dyDescent="0.3">
      <c r="A8124" s="105" t="s">
        <v>34</v>
      </c>
      <c r="B8124" s="19">
        <v>44231</v>
      </c>
      <c r="C8124" s="4">
        <v>174</v>
      </c>
      <c r="D8124" s="21">
        <f t="shared" si="637"/>
        <v>16875</v>
      </c>
      <c r="E8124" s="4">
        <v>4</v>
      </c>
      <c r="F8124" s="57">
        <f t="shared" si="644"/>
        <v>256</v>
      </c>
      <c r="G8124" s="251">
        <f>SUM(C8124,C8100,C8076,C8052,C8028,C8004,C7980,C7956,C7932,C7908,C7884,C7860,C7836,C7812)/POBLA!$B$11*100000</f>
        <v>371.0647605655808</v>
      </c>
      <c r="H8124" s="252">
        <f t="shared" si="645"/>
        <v>0.47636103151862463</v>
      </c>
    </row>
    <row r="8125" spans="1:8" ht="15.75" thickBot="1" x14ac:dyDescent="0.3">
      <c r="A8125" s="105" t="s">
        <v>22</v>
      </c>
      <c r="B8125" s="19">
        <v>44231</v>
      </c>
      <c r="C8125" s="4">
        <v>13</v>
      </c>
      <c r="D8125" s="21">
        <f t="shared" si="637"/>
        <v>9598</v>
      </c>
      <c r="F8125" s="57">
        <f t="shared" si="644"/>
        <v>414</v>
      </c>
      <c r="G8125" s="251">
        <f>SUM(C8125,C8101,C8077,C8053,C8029,C8005,C7981,C7957,C7933,C7909,C7885,C7861,C7837,C7813)/POBLA!$B$12*100000</f>
        <v>55.904109206136233</v>
      </c>
      <c r="H8125" s="252">
        <f t="shared" si="645"/>
        <v>1.0426540284360191</v>
      </c>
    </row>
    <row r="8126" spans="1:8" ht="15.75" thickBot="1" x14ac:dyDescent="0.3">
      <c r="A8126" s="105" t="s">
        <v>18</v>
      </c>
      <c r="B8126" s="19">
        <v>44231</v>
      </c>
      <c r="C8126" s="4">
        <v>190</v>
      </c>
      <c r="D8126" s="21">
        <f t="shared" si="637"/>
        <v>64389</v>
      </c>
      <c r="E8126" s="4">
        <v>5</v>
      </c>
      <c r="F8126" s="57">
        <f t="shared" si="644"/>
        <v>1380</v>
      </c>
      <c r="G8126" s="251">
        <f>SUM(C8126,C8102,C8078,C8054,C8030,C8006,C7982,C7958,C7934,C7910,C7886,C7862,C7838,C7814)/POBLA!$B$13*100000</f>
        <v>79.38350169669674</v>
      </c>
      <c r="H8126" s="252">
        <f t="shared" si="645"/>
        <v>0.82291666666666663</v>
      </c>
    </row>
    <row r="8127" spans="1:8" ht="15.75" thickBot="1" x14ac:dyDescent="0.3">
      <c r="A8127" s="105" t="s">
        <v>24</v>
      </c>
      <c r="B8127" s="19">
        <v>44231</v>
      </c>
      <c r="C8127" s="4">
        <v>200</v>
      </c>
      <c r="D8127" s="21">
        <f t="shared" si="637"/>
        <v>5533</v>
      </c>
      <c r="E8127" s="4">
        <v>3</v>
      </c>
      <c r="F8127" s="57">
        <f t="shared" si="644"/>
        <v>100</v>
      </c>
      <c r="G8127" s="251">
        <f>SUM(C8127,C8103,C8079,C8055,C8031,C8007,C7983,C7959,C7935,C7911,C7887,C7863,C7839,C7815)/POBLA!$B$14*100000</f>
        <v>206.05822274584673</v>
      </c>
      <c r="H8127" s="252">
        <f t="shared" si="645"/>
        <v>1.4775440591245026</v>
      </c>
    </row>
    <row r="8128" spans="1:8" ht="15.75" thickBot="1" x14ac:dyDescent="0.3">
      <c r="A8128" s="105" t="s">
        <v>20</v>
      </c>
      <c r="B8128" s="19">
        <v>44231</v>
      </c>
      <c r="C8128" s="4">
        <v>489</v>
      </c>
      <c r="D8128" s="21">
        <f t="shared" si="637"/>
        <v>55874</v>
      </c>
      <c r="E8128" s="4">
        <v>4</v>
      </c>
      <c r="F8128" s="57">
        <f t="shared" si="644"/>
        <v>788</v>
      </c>
      <c r="G8128" s="251">
        <f>SUM(C8128,C8104,C8080,C8056,C8032,C8008,C7984,C7960,C7936,C7912,C7888,C7864,C7840,C7816)/POBLA!$B$15*100000</f>
        <v>861.52242955047541</v>
      </c>
      <c r="H8128" s="252">
        <f t="shared" si="645"/>
        <v>0.93956314665790774</v>
      </c>
    </row>
    <row r="8129" spans="1:10" ht="15.75" thickBot="1" x14ac:dyDescent="0.3">
      <c r="A8129" s="105" t="s">
        <v>19</v>
      </c>
      <c r="B8129" s="19">
        <v>44231</v>
      </c>
      <c r="C8129" s="4">
        <v>189</v>
      </c>
      <c r="D8129" s="21">
        <f t="shared" si="637"/>
        <v>48949</v>
      </c>
      <c r="E8129" s="4">
        <v>2</v>
      </c>
      <c r="F8129" s="57">
        <f t="shared" si="644"/>
        <v>1095</v>
      </c>
      <c r="G8129" s="251">
        <f>SUM(C8129,C8105,C8081,C8057,C8033,C8009,C7985,C7961,C7937,C7913,C7889,C7865,C7841,C7817)/POBLA!$B$16*100000</f>
        <v>491.83397760864625</v>
      </c>
      <c r="H8129" s="252">
        <f t="shared" si="645"/>
        <v>0.78400852878464822</v>
      </c>
    </row>
    <row r="8130" spans="1:10" ht="15.75" thickBot="1" x14ac:dyDescent="0.3">
      <c r="A8130" s="105" t="s">
        <v>35</v>
      </c>
      <c r="B8130" s="19">
        <v>44231</v>
      </c>
      <c r="C8130" s="4">
        <v>94</v>
      </c>
      <c r="D8130" s="21">
        <f t="shared" si="637"/>
        <v>24067</v>
      </c>
      <c r="E8130" s="4">
        <v>2</v>
      </c>
      <c r="F8130" s="57">
        <f t="shared" si="644"/>
        <v>1049</v>
      </c>
      <c r="G8130" s="251">
        <f>SUM(C8130,C8106,C8082,C8058,C8034,C8010,C7986,C7962,C7938,C7914,C7890,C7866,C7842,C7818)/POBLA!$B$17*100000</f>
        <v>53.566526747809775</v>
      </c>
      <c r="H8130" s="252">
        <f t="shared" si="645"/>
        <v>1.0509641873278237</v>
      </c>
    </row>
    <row r="8131" spans="1:10" ht="15.75" thickBot="1" x14ac:dyDescent="0.3">
      <c r="A8131" s="105" t="s">
        <v>36</v>
      </c>
      <c r="B8131" s="19">
        <v>44231</v>
      </c>
      <c r="C8131" s="4">
        <v>84</v>
      </c>
      <c r="D8131" s="21">
        <f t="shared" ref="D8131:D8194" si="646">C8131+D8107</f>
        <v>14223</v>
      </c>
      <c r="F8131" s="57">
        <f t="shared" si="644"/>
        <v>202</v>
      </c>
      <c r="G8131" s="251">
        <f>SUM(C8131,C8107,C8083,C8059,C8035,C8011,C7987,C7963,C7939,C7915,C7891,C7867,C7843,C7819)/POBLA!$B$18*100000</f>
        <v>101.1242714892277</v>
      </c>
      <c r="H8131" s="252">
        <f t="shared" si="645"/>
        <v>0.61192873741285825</v>
      </c>
    </row>
    <row r="8132" spans="1:10" ht="15.75" thickBot="1" x14ac:dyDescent="0.3">
      <c r="A8132" s="105" t="s">
        <v>37</v>
      </c>
      <c r="B8132" s="19">
        <v>44231</v>
      </c>
      <c r="C8132" s="4">
        <v>4</v>
      </c>
      <c r="D8132" s="21">
        <f t="shared" si="646"/>
        <v>19092</v>
      </c>
      <c r="E8132" s="4">
        <v>1</v>
      </c>
      <c r="F8132" s="57">
        <f t="shared" si="644"/>
        <v>335</v>
      </c>
      <c r="G8132" s="251">
        <f>SUM(C8132,C8108,C8084,C8060,C8036,C8012,C7988,C7964,C7940,C7916,C7892,C7868,C7844,C7820)/POBLA!$B$19*100000</f>
        <v>339.93799279205552</v>
      </c>
      <c r="H8132" s="252">
        <f t="shared" si="645"/>
        <v>1.8823529411764706</v>
      </c>
    </row>
    <row r="8133" spans="1:10" ht="15.75" thickBot="1" x14ac:dyDescent="0.3">
      <c r="A8133" s="105" t="s">
        <v>38</v>
      </c>
      <c r="B8133" s="19">
        <v>44231</v>
      </c>
      <c r="C8133" s="4">
        <v>181</v>
      </c>
      <c r="D8133" s="21">
        <f t="shared" si="646"/>
        <v>33438</v>
      </c>
      <c r="E8133" s="4">
        <v>5</v>
      </c>
      <c r="F8133" s="57">
        <f t="shared" si="644"/>
        <v>513</v>
      </c>
      <c r="G8133" s="251">
        <f>SUM(C8133,C8109,C8085,C8061,C8037,C8013,C7989,C7965,C7941,C7917,C7893,C7869,C7845,C7821)/POBLA!$B$20*100000</f>
        <v>687.72593779566751</v>
      </c>
      <c r="H8133" s="252">
        <f t="shared" si="645"/>
        <v>0.52802855343271049</v>
      </c>
    </row>
    <row r="8134" spans="1:10" ht="15.75" thickBot="1" x14ac:dyDescent="0.3">
      <c r="A8134" s="105" t="s">
        <v>23</v>
      </c>
      <c r="B8134" s="19">
        <v>44231</v>
      </c>
      <c r="C8134" s="4">
        <v>570</v>
      </c>
      <c r="D8134" s="21">
        <f t="shared" si="646"/>
        <v>208122</v>
      </c>
      <c r="E8134" s="4">
        <v>64</v>
      </c>
      <c r="F8134" s="57">
        <f t="shared" si="644"/>
        <v>3657</v>
      </c>
      <c r="G8134" s="251">
        <f>SUM(C8134,C8110,C8086,C8062,C8038,C8014,C7990,C7966,C7942,C7918,C7894,C7870,C7846,C7822)/POBLA!$B$21*100000</f>
        <v>245.33298948257814</v>
      </c>
      <c r="H8134" s="252">
        <f t="shared" si="645"/>
        <v>0.53704735376044566</v>
      </c>
    </row>
    <row r="8135" spans="1:10" ht="15.75" thickBot="1" x14ac:dyDescent="0.3">
      <c r="A8135" s="105" t="s">
        <v>39</v>
      </c>
      <c r="B8135" s="19">
        <v>44231</v>
      </c>
      <c r="C8135" s="4">
        <v>75</v>
      </c>
      <c r="D8135" s="21">
        <f t="shared" si="646"/>
        <v>21189</v>
      </c>
      <c r="F8135" s="57">
        <f t="shared" si="644"/>
        <v>246</v>
      </c>
      <c r="G8135" s="251">
        <f>SUM(C8135,C8111,C8087,C8063,C8039,C8015,C7991,C7967,C7943,C7919,C7895,C7871,C7847,C7823)/POBLA!$B$22*100000</f>
        <v>115.50495598034576</v>
      </c>
      <c r="H8135" s="252">
        <f t="shared" si="645"/>
        <v>0.60752688172043012</v>
      </c>
    </row>
    <row r="8136" spans="1:10" ht="15.75" thickBot="1" x14ac:dyDescent="0.3">
      <c r="A8136" s="105" t="s">
        <v>40</v>
      </c>
      <c r="B8136" s="19">
        <v>44231</v>
      </c>
      <c r="C8136" s="4">
        <v>29</v>
      </c>
      <c r="D8136" s="21">
        <f t="shared" si="646"/>
        <v>21996</v>
      </c>
      <c r="F8136" s="57">
        <f t="shared" si="644"/>
        <v>336</v>
      </c>
      <c r="G8136" s="251">
        <f>SUM(C8136,C8112,C8088,C8064,C8040,C8016,C7992,C7968,C7944,C7920,C7896,C7872,C7848,C7824)/POBLA!$B$23*100000</f>
        <v>437.70853361986093</v>
      </c>
      <c r="H8136" s="252">
        <f t="shared" si="645"/>
        <v>0.59129106187929714</v>
      </c>
    </row>
    <row r="8137" spans="1:10" ht="15.75" thickBot="1" x14ac:dyDescent="0.3">
      <c r="A8137" s="106" t="s">
        <v>41</v>
      </c>
      <c r="B8137" s="19">
        <v>44231</v>
      </c>
      <c r="C8137" s="4">
        <v>168</v>
      </c>
      <c r="D8137" s="98">
        <f t="shared" si="646"/>
        <v>77008</v>
      </c>
      <c r="F8137" s="255">
        <f t="shared" si="644"/>
        <v>1435</v>
      </c>
      <c r="G8137" s="251">
        <f>SUM(C8137,C8113,C8089,C8065,C8041,C8017,C7993,C7969,C7945,C7921,C7897,C7873,C7849,C7825)/POBLA!$B$24*100000</f>
        <v>120.49643113410627</v>
      </c>
      <c r="H8137" s="257">
        <f t="shared" si="645"/>
        <v>0.77524677296886868</v>
      </c>
    </row>
    <row r="8138" spans="1:10" ht="15.75" thickBot="1" x14ac:dyDescent="0.3">
      <c r="A8138" s="42" t="s">
        <v>17</v>
      </c>
      <c r="B8138" s="19">
        <v>44232</v>
      </c>
      <c r="C8138" s="4">
        <v>3483</v>
      </c>
      <c r="D8138" s="97">
        <f t="shared" si="646"/>
        <v>822037</v>
      </c>
      <c r="E8138" s="4">
        <v>158</v>
      </c>
      <c r="F8138" s="250">
        <f>E8138+F8114</f>
        <v>24906</v>
      </c>
      <c r="G8138" s="251">
        <f>SUM(C8138,C8114,C8090,C8066,C8042,C8018,C7994,C7970,C7946,C7922,C7898,C7874,C7850,C7826)/POBLA!$B$1*100000</f>
        <v>277.99787938538316</v>
      </c>
      <c r="H8138" s="230">
        <f t="shared" ref="H8138:H8144" si="647">SUM(C8138,C8114,C8090,C8066,C8042,C8018,C7994,C7970,C7946,C7922,C7898,C7874,C7850,C7826)/SUM(C7802,C7778,C7754,C7730,C7706,C7682,C7658,C7634,C7610,C7586,C7562,C7538,C7514,C7490)</f>
        <v>0.82646645085843096</v>
      </c>
    </row>
    <row r="8139" spans="1:10" ht="15.75" thickBot="1" x14ac:dyDescent="0.3">
      <c r="A8139" s="42" t="s">
        <v>44</v>
      </c>
      <c r="B8139" s="19">
        <v>44232</v>
      </c>
      <c r="C8139" s="4">
        <v>1086</v>
      </c>
      <c r="D8139" s="21">
        <f t="shared" si="646"/>
        <v>215757</v>
      </c>
      <c r="E8139" s="4">
        <v>27</v>
      </c>
      <c r="F8139" s="57">
        <f t="shared" ref="F8139:F8161" si="648">E8139+F8115</f>
        <v>6126</v>
      </c>
      <c r="G8139" s="251">
        <f>SUM(C8139,C8115,C8091,C8067,C8043,C8019,C7995,C7971,C7947,C7923,C7899,C7875,C7851,C7827)/POBLA!$B$2*100000</f>
        <v>480.35437108171749</v>
      </c>
      <c r="H8139" s="252">
        <f t="shared" si="647"/>
        <v>0.84215926580402445</v>
      </c>
      <c r="J8139" s="62"/>
    </row>
    <row r="8140" spans="1:10" ht="15.75" thickBot="1" x14ac:dyDescent="0.3">
      <c r="A8140" s="42" t="s">
        <v>29</v>
      </c>
      <c r="B8140" s="19">
        <v>44232</v>
      </c>
      <c r="C8140" s="4">
        <v>110</v>
      </c>
      <c r="D8140" s="21">
        <f t="shared" si="646"/>
        <v>6051</v>
      </c>
      <c r="E8140" s="4">
        <v>0</v>
      </c>
      <c r="F8140" s="57">
        <f t="shared" si="648"/>
        <v>17</v>
      </c>
      <c r="G8140" s="251">
        <f>SUM(C8140,C8116,C8092,C8068,C8044,C8020,C7996,C7972,C7948,C7924,C7900,C7876,C7852,C7828)/POBLA!$B$3*100000</f>
        <v>342.28934281409016</v>
      </c>
      <c r="H8140" s="252">
        <f t="shared" si="647"/>
        <v>0.90228426395939088</v>
      </c>
      <c r="J8140" s="62"/>
    </row>
    <row r="8141" spans="1:10" ht="15.75" thickBot="1" x14ac:dyDescent="0.3">
      <c r="A8141" s="42" t="s">
        <v>16</v>
      </c>
      <c r="B8141" s="19">
        <v>44232</v>
      </c>
      <c r="C8141" s="4">
        <v>159</v>
      </c>
      <c r="D8141" s="21">
        <f t="shared" si="646"/>
        <v>31417</v>
      </c>
      <c r="E8141" s="4">
        <v>5</v>
      </c>
      <c r="F8141" s="57">
        <f t="shared" si="648"/>
        <v>807</v>
      </c>
      <c r="G8141" s="251">
        <f>SUM(C8141,C8117,C8093,C8069,C8045,C8021,C7997,C7973,C7949,C7925,C7901,C7877,C7853,C7829)/POBLA!$B$4*100000</f>
        <v>158.7326624830537</v>
      </c>
      <c r="H8141" s="252">
        <f t="shared" si="647"/>
        <v>0.63903743315508021</v>
      </c>
      <c r="J8141" s="62"/>
    </row>
    <row r="8142" spans="1:10" ht="15.75" thickBot="1" x14ac:dyDescent="0.3">
      <c r="A8142" s="42" t="s">
        <v>30</v>
      </c>
      <c r="B8142" s="19">
        <v>44232</v>
      </c>
      <c r="C8142" s="4">
        <v>273</v>
      </c>
      <c r="D8142" s="21">
        <f t="shared" si="646"/>
        <v>43695</v>
      </c>
      <c r="E8142" s="4">
        <v>5</v>
      </c>
      <c r="F8142" s="57">
        <f t="shared" si="648"/>
        <v>670</v>
      </c>
      <c r="G8142" s="251">
        <f>SUM(C8142,C8118,C8094,C8070,C8046,C8022,C7998,C7974,C7950,C7926,C7902,C7878,C7854,C7830)/POBLA!$B$5*100000</f>
        <v>605.17549443128689</v>
      </c>
      <c r="H8142" s="252">
        <f t="shared" si="647"/>
        <v>0.72695517174461477</v>
      </c>
      <c r="J8142" s="62"/>
    </row>
    <row r="8143" spans="1:10" ht="15.75" thickBot="1" x14ac:dyDescent="0.3">
      <c r="A8143" s="42" t="s">
        <v>31</v>
      </c>
      <c r="B8143" s="19">
        <v>44232</v>
      </c>
      <c r="C8143" s="4">
        <v>256</v>
      </c>
      <c r="D8143" s="21">
        <f t="shared" si="646"/>
        <v>18422</v>
      </c>
      <c r="E8143" s="4">
        <v>0</v>
      </c>
      <c r="F8143" s="57">
        <f t="shared" si="648"/>
        <v>206</v>
      </c>
      <c r="G8143" s="251">
        <f>SUM(C8143,C8119,C8095,C8071,C8047,C8023,C7999,C7975,C7951,C7927,C7903,C7879,C7855,C7831)/POBLA!$B$7*100000</f>
        <v>62.359558031618555</v>
      </c>
      <c r="H8143" s="252">
        <f t="shared" si="647"/>
        <v>0.39745762711864407</v>
      </c>
      <c r="J8143" s="62"/>
    </row>
    <row r="8144" spans="1:10" ht="15.75" thickBot="1" x14ac:dyDescent="0.3">
      <c r="A8144" s="42" t="s">
        <v>21</v>
      </c>
      <c r="B8144" s="19">
        <v>44232</v>
      </c>
      <c r="C8144" s="4">
        <v>549</v>
      </c>
      <c r="D8144" s="21">
        <f t="shared" si="646"/>
        <v>147593</v>
      </c>
      <c r="E8144" s="4">
        <v>11</v>
      </c>
      <c r="F8144" s="57">
        <f t="shared" si="648"/>
        <v>2728</v>
      </c>
      <c r="G8144" s="251">
        <f>SUM(C8144,C8120,C8096,C8072,C8048,C8024,C8000,C7976,C7952,C7928,C7904,C7880,C7856,C7832)/POBLA!$B$6*100000</f>
        <v>617.14791475025459</v>
      </c>
      <c r="H8144" s="252">
        <f t="shared" si="647"/>
        <v>1.3683481701285856</v>
      </c>
      <c r="J8144" s="62"/>
    </row>
    <row r="8145" spans="1:10" ht="15.75" thickBot="1" x14ac:dyDescent="0.3">
      <c r="A8145" s="42" t="s">
        <v>32</v>
      </c>
      <c r="B8145" s="19">
        <v>44232</v>
      </c>
      <c r="C8145" s="4">
        <v>254</v>
      </c>
      <c r="D8145" s="21">
        <f t="shared" si="646"/>
        <v>42189</v>
      </c>
      <c r="E8145" s="4">
        <v>2</v>
      </c>
      <c r="F8145" s="57">
        <f t="shared" si="648"/>
        <v>758</v>
      </c>
      <c r="G8145" s="251">
        <f>SUM(C8145,C8121,C8097,C8073,C8049,C8025,C8001,C7977,C7953,C7929,C7905,C7881,C7857,C7833)/POBLA!$B$8*100000</f>
        <v>262.41719644347859</v>
      </c>
      <c r="H8145" s="252">
        <f t="shared" ref="H8145:H8161" si="649">SUM(C8145,C8121,C8097,C8073,C8049,C8025,C8001,C7977,C7953,C7929,C7905,C7881,C7857,C7833)/SUM(C7809,C7785,C7761,C7737,C7713,C7689,C7665,C7641,C7617,C7593,C7569,C7545,C7521,C7497)</f>
        <v>0.61885315637229876</v>
      </c>
      <c r="J8145" s="62"/>
    </row>
    <row r="8146" spans="1:10" ht="15.75" thickBot="1" x14ac:dyDescent="0.3">
      <c r="A8146" s="42" t="s">
        <v>42</v>
      </c>
      <c r="B8146" s="19">
        <v>44232</v>
      </c>
      <c r="C8146" s="4">
        <v>9</v>
      </c>
      <c r="D8146" s="21">
        <f t="shared" si="646"/>
        <v>867</v>
      </c>
      <c r="E8146" s="4">
        <v>2</v>
      </c>
      <c r="F8146" s="57">
        <f t="shared" si="648"/>
        <v>9</v>
      </c>
      <c r="G8146" s="251">
        <f>SUM(C8146,C8122,C8098,C8074,C8050,C8026,C8002,C7978,C7954,C7930,C7906,C7882,C7858,C7834)/POBLA!$B$9*100000</f>
        <v>11.566558106257013</v>
      </c>
      <c r="H8146" s="252">
        <f t="shared" si="649"/>
        <v>0.12589928057553956</v>
      </c>
      <c r="J8146" s="62"/>
    </row>
    <row r="8147" spans="1:10" ht="15.75" thickBot="1" x14ac:dyDescent="0.3">
      <c r="A8147" s="42" t="s">
        <v>33</v>
      </c>
      <c r="B8147" s="19">
        <v>44232</v>
      </c>
      <c r="C8147" s="4">
        <v>43</v>
      </c>
      <c r="D8147" s="21">
        <f t="shared" si="646"/>
        <v>19476</v>
      </c>
      <c r="E8147" s="4">
        <v>3</v>
      </c>
      <c r="F8147" s="57">
        <f t="shared" si="648"/>
        <v>879</v>
      </c>
      <c r="G8147" s="251">
        <f>SUM(C8147,C8123,C8099,C8075,C8051,C8027,C8003,C7979,C7955,C7931,C7907,C7883,C7859,C7835)/POBLA!$B$10*100000</f>
        <v>54.48311736830977</v>
      </c>
      <c r="H8147" s="252">
        <f t="shared" si="649"/>
        <v>1.0552763819095476</v>
      </c>
      <c r="J8147" s="62"/>
    </row>
    <row r="8148" spans="1:10" ht="15.75" thickBot="1" x14ac:dyDescent="0.3">
      <c r="A8148" s="42" t="s">
        <v>34</v>
      </c>
      <c r="B8148" s="19">
        <v>44232</v>
      </c>
      <c r="C8148" s="4">
        <v>90</v>
      </c>
      <c r="D8148" s="21">
        <f t="shared" si="646"/>
        <v>16965</v>
      </c>
      <c r="E8148" s="4">
        <v>3</v>
      </c>
      <c r="F8148" s="57">
        <f t="shared" si="648"/>
        <v>259</v>
      </c>
      <c r="G8148" s="251">
        <f>SUM(C8148,C8124,C8100,C8076,C8052,C8028,C8004,C7980,C7956,C7932,C7908,C7884,C7860,C7836)/POBLA!$B$11*100000</f>
        <v>368.55379602040017</v>
      </c>
      <c r="H8148" s="252">
        <f t="shared" si="649"/>
        <v>0.51581413510347518</v>
      </c>
      <c r="J8148" s="62"/>
    </row>
    <row r="8149" spans="1:10" ht="15.75" thickBot="1" x14ac:dyDescent="0.3">
      <c r="A8149" s="42" t="s">
        <v>22</v>
      </c>
      <c r="B8149" s="19">
        <v>44232</v>
      </c>
      <c r="C8149" s="4">
        <v>24</v>
      </c>
      <c r="D8149" s="21">
        <f t="shared" si="646"/>
        <v>9622</v>
      </c>
      <c r="E8149" s="4">
        <v>0</v>
      </c>
      <c r="F8149" s="57">
        <f t="shared" si="648"/>
        <v>414</v>
      </c>
      <c r="G8149" s="251">
        <f>SUM(C8149,C8125,C8101,C8077,C8053,C8029,C8005,C7981,C7957,C7933,C7909,C7885,C7861,C7837)/POBLA!$B$12*100000</f>
        <v>59.207533841044288</v>
      </c>
      <c r="H8149" s="252">
        <f t="shared" si="649"/>
        <v>1.1365853658536584</v>
      </c>
      <c r="J8149" s="62"/>
    </row>
    <row r="8150" spans="1:10" ht="15.75" thickBot="1" x14ac:dyDescent="0.3">
      <c r="A8150" s="42" t="s">
        <v>18</v>
      </c>
      <c r="B8150" s="19">
        <v>44232</v>
      </c>
      <c r="C8150" s="4">
        <v>180</v>
      </c>
      <c r="D8150" s="21">
        <f t="shared" si="646"/>
        <v>64569</v>
      </c>
      <c r="E8150" s="4">
        <v>12</v>
      </c>
      <c r="F8150" s="57">
        <f t="shared" si="648"/>
        <v>1392</v>
      </c>
      <c r="G8150" s="251">
        <f>SUM(C8150,C8126,C8102,C8078,C8054,C8030,C8006,C7982,C7958,C7934,C7910,C7886,C7862,C7838)/POBLA!$B$13*100000</f>
        <v>79.283016251511057</v>
      </c>
      <c r="H8150" s="252">
        <f t="shared" si="649"/>
        <v>0.82101977107180024</v>
      </c>
      <c r="J8150" s="62"/>
    </row>
    <row r="8151" spans="1:10" ht="15.75" thickBot="1" x14ac:dyDescent="0.3">
      <c r="A8151" s="42" t="s">
        <v>24</v>
      </c>
      <c r="B8151" s="19">
        <v>44232</v>
      </c>
      <c r="C8151" s="4">
        <v>198</v>
      </c>
      <c r="D8151" s="21">
        <f t="shared" si="646"/>
        <v>5731</v>
      </c>
      <c r="E8151" s="4">
        <v>2</v>
      </c>
      <c r="F8151" s="57">
        <f t="shared" si="648"/>
        <v>102</v>
      </c>
      <c r="G8151" s="251">
        <f>SUM(C8151,C8127,C8103,C8079,C8055,C8031,C8007,C7983,C7959,C7935,C7911,C7887,C7863,C7839)/POBLA!$B$14*100000</f>
        <v>209.07100168557051</v>
      </c>
      <c r="H8151" s="252">
        <f t="shared" si="649"/>
        <v>1.3770234986945169</v>
      </c>
      <c r="J8151" s="62"/>
    </row>
    <row r="8152" spans="1:10" ht="15.75" thickBot="1" x14ac:dyDescent="0.3">
      <c r="A8152" s="42" t="s">
        <v>20</v>
      </c>
      <c r="B8152" s="19">
        <v>44232</v>
      </c>
      <c r="C8152" s="4">
        <v>319</v>
      </c>
      <c r="D8152" s="21">
        <f t="shared" si="646"/>
        <v>56193</v>
      </c>
      <c r="E8152" s="4">
        <v>3</v>
      </c>
      <c r="F8152" s="57">
        <f t="shared" si="648"/>
        <v>791</v>
      </c>
      <c r="G8152" s="251">
        <f>SUM(C8152,C8128,C8104,C8080,C8056,C8032,C8008,C7984,C7960,C7936,C7912,C7888,C7864,C7840)/POBLA!$B$15*100000</f>
        <v>842.99992319936382</v>
      </c>
      <c r="H8152" s="252">
        <f t="shared" si="649"/>
        <v>0.9291286307053942</v>
      </c>
      <c r="J8152" s="62"/>
    </row>
    <row r="8153" spans="1:10" ht="15.75" thickBot="1" x14ac:dyDescent="0.3">
      <c r="A8153" s="42" t="s">
        <v>19</v>
      </c>
      <c r="B8153" s="19">
        <v>44232</v>
      </c>
      <c r="C8153" s="4">
        <v>233</v>
      </c>
      <c r="D8153" s="21">
        <f t="shared" si="646"/>
        <v>49182</v>
      </c>
      <c r="E8153" s="4">
        <v>2</v>
      </c>
      <c r="F8153" s="57">
        <f t="shared" si="648"/>
        <v>1097</v>
      </c>
      <c r="G8153" s="251">
        <f>SUM(C8153,C8129,C8105,C8081,C8057,C8033,C8009,C7985,C7961,C7937,C7913,C7889,C7865,C7841)/POBLA!$B$16*100000</f>
        <v>481.26697074677975</v>
      </c>
      <c r="H8153" s="252">
        <f t="shared" si="649"/>
        <v>0.79286029087703835</v>
      </c>
      <c r="J8153" s="62"/>
    </row>
    <row r="8154" spans="1:10" ht="15.75" thickBot="1" x14ac:dyDescent="0.3">
      <c r="A8154" s="42" t="s">
        <v>35</v>
      </c>
      <c r="B8154" s="19">
        <v>44232</v>
      </c>
      <c r="C8154" s="4">
        <v>90</v>
      </c>
      <c r="D8154" s="21">
        <f t="shared" si="646"/>
        <v>24157</v>
      </c>
      <c r="E8154" s="4">
        <v>1</v>
      </c>
      <c r="F8154" s="57">
        <f t="shared" si="648"/>
        <v>1050</v>
      </c>
      <c r="G8154" s="251">
        <f>SUM(C8154,C8130,C8106,C8082,C8058,C8034,C8010,C7986,C7962,C7938,C7914,C7890,C7866,C7842)/POBLA!$B$17*100000</f>
        <v>56.164117166773025</v>
      </c>
      <c r="H8154" s="252">
        <f t="shared" si="649"/>
        <v>1.0796221322537112</v>
      </c>
      <c r="J8154" s="62"/>
    </row>
    <row r="8155" spans="1:10" ht="15.75" thickBot="1" x14ac:dyDescent="0.3">
      <c r="A8155" s="42" t="s">
        <v>36</v>
      </c>
      <c r="B8155" s="19">
        <v>44232</v>
      </c>
      <c r="C8155" s="4">
        <v>45</v>
      </c>
      <c r="D8155" s="21">
        <f t="shared" si="646"/>
        <v>14268</v>
      </c>
      <c r="E8155" s="4">
        <v>0</v>
      </c>
      <c r="F8155" s="57">
        <f t="shared" si="648"/>
        <v>202</v>
      </c>
      <c r="G8155" s="251">
        <f>SUM(C8155,C8131,C8107,C8083,C8059,C8035,C8011,C7987,C7963,C7939,C7915,C7891,C7867,C7843)/POBLA!$B$18*100000</f>
        <v>97.796130908569566</v>
      </c>
      <c r="H8155" s="252">
        <f t="shared" si="649"/>
        <v>0.62418300653594772</v>
      </c>
      <c r="J8155" s="62"/>
    </row>
    <row r="8156" spans="1:10" ht="15.75" thickBot="1" x14ac:dyDescent="0.3">
      <c r="A8156" s="42" t="s">
        <v>37</v>
      </c>
      <c r="B8156" s="19">
        <v>44232</v>
      </c>
      <c r="C8156" s="4">
        <v>10</v>
      </c>
      <c r="D8156" s="21">
        <f t="shared" si="646"/>
        <v>19102</v>
      </c>
      <c r="E8156" s="4">
        <v>2</v>
      </c>
      <c r="F8156" s="57">
        <f t="shared" si="648"/>
        <v>337</v>
      </c>
      <c r="G8156" s="251">
        <f>SUM(C8156,C8132,C8108,C8084,C8060,C8036,C8012,C7988,C7964,C7940,C7916,C7892,C7868,C7844)/POBLA!$B$19*100000</f>
        <v>231.34668953903778</v>
      </c>
      <c r="H8156" s="252">
        <f t="shared" si="649"/>
        <v>0.83641536273115225</v>
      </c>
      <c r="J8156" s="62"/>
    </row>
    <row r="8157" spans="1:10" ht="15.75" thickBot="1" x14ac:dyDescent="0.3">
      <c r="A8157" s="42" t="s">
        <v>38</v>
      </c>
      <c r="B8157" s="19">
        <v>44232</v>
      </c>
      <c r="C8157" s="4">
        <v>185</v>
      </c>
      <c r="D8157" s="21">
        <f t="shared" si="646"/>
        <v>33623</v>
      </c>
      <c r="E8157" s="4">
        <v>1</v>
      </c>
      <c r="F8157" s="57">
        <f t="shared" si="648"/>
        <v>514</v>
      </c>
      <c r="G8157" s="251">
        <f>SUM(C8157,C8133,C8109,C8085,C8061,C8037,C8013,C7989,C7965,C7941,C7917,C7893,C7869,C7845)/POBLA!$B$20*100000</f>
        <v>671.31895717231157</v>
      </c>
      <c r="H8157" s="252">
        <f t="shared" si="649"/>
        <v>0.53439268611232038</v>
      </c>
      <c r="J8157" s="62"/>
    </row>
    <row r="8158" spans="1:10" ht="15.75" thickBot="1" x14ac:dyDescent="0.3">
      <c r="A8158" s="42" t="s">
        <v>23</v>
      </c>
      <c r="B8158" s="19">
        <v>44232</v>
      </c>
      <c r="C8158" s="4">
        <v>495</v>
      </c>
      <c r="D8158" s="21">
        <f t="shared" si="646"/>
        <v>208617</v>
      </c>
      <c r="E8158" s="4">
        <v>39</v>
      </c>
      <c r="F8158" s="57">
        <f t="shared" si="648"/>
        <v>3696</v>
      </c>
      <c r="G8158" s="251">
        <f>SUM(C8158,C8134,C8110,C8086,C8062,C8038,C8014,C7990,C7966,C7942,C7918,C7894,C7870,C7846)/POBLA!$B$21*100000</f>
        <v>229.83708373840423</v>
      </c>
      <c r="H8158" s="252">
        <f t="shared" si="649"/>
        <v>0.51540900443880788</v>
      </c>
      <c r="J8158" s="62"/>
    </row>
    <row r="8159" spans="1:10" ht="15.75" thickBot="1" x14ac:dyDescent="0.3">
      <c r="A8159" s="42" t="s">
        <v>39</v>
      </c>
      <c r="B8159" s="19">
        <v>44232</v>
      </c>
      <c r="C8159" s="4">
        <v>90</v>
      </c>
      <c r="D8159" s="21">
        <f t="shared" si="646"/>
        <v>21279</v>
      </c>
      <c r="E8159" s="4">
        <v>1</v>
      </c>
      <c r="F8159" s="57">
        <f t="shared" si="648"/>
        <v>247</v>
      </c>
      <c r="G8159" s="251">
        <f>SUM(C8159,C8135,C8111,C8087,C8063,C8039,C8015,C7991,C7967,C7943,C7919,C7895,C7871,C7847)/POBLA!$B$22*100000</f>
        <v>114.58500500351114</v>
      </c>
      <c r="H8159" s="252">
        <f t="shared" si="649"/>
        <v>0.64760254188330446</v>
      </c>
      <c r="J8159" s="62"/>
    </row>
    <row r="8160" spans="1:10" ht="15.75" thickBot="1" x14ac:dyDescent="0.3">
      <c r="A8160" s="42" t="s">
        <v>40</v>
      </c>
      <c r="B8160" s="19">
        <v>44232</v>
      </c>
      <c r="C8160" s="4">
        <v>49</v>
      </c>
      <c r="D8160" s="21">
        <f t="shared" si="646"/>
        <v>22045</v>
      </c>
      <c r="E8160" s="4">
        <v>2</v>
      </c>
      <c r="F8160" s="57">
        <f t="shared" si="648"/>
        <v>338</v>
      </c>
      <c r="G8160" s="251">
        <f>SUM(C8160,C8136,C8112,C8088,C8064,C8040,C8016,C7992,C7968,C7944,C7920,C7896,C7872,C7848)/POBLA!$B$23*100000</f>
        <v>438.27404852117854</v>
      </c>
      <c r="H8160" s="252">
        <f t="shared" si="649"/>
        <v>0.63008130081300817</v>
      </c>
      <c r="J8160" s="62"/>
    </row>
    <row r="8161" spans="1:10" ht="15.75" thickBot="1" x14ac:dyDescent="0.3">
      <c r="A8161" s="42" t="s">
        <v>41</v>
      </c>
      <c r="B8161" s="19">
        <v>44232</v>
      </c>
      <c r="C8161" s="4">
        <v>144</v>
      </c>
      <c r="D8161" s="98">
        <f t="shared" si="646"/>
        <v>77152</v>
      </c>
      <c r="E8161" s="4">
        <v>3</v>
      </c>
      <c r="F8161" s="255">
        <f t="shared" si="648"/>
        <v>1438</v>
      </c>
      <c r="G8161" s="251">
        <f>SUM(C8161,C8137,C8113,C8089,C8065,C8041,C8017,C7993,C7969,C7945,C7921,C7897,C7873,C7849)/POBLA!$B$24*100000</f>
        <v>117.30994372899279</v>
      </c>
      <c r="H8161" s="257">
        <f t="shared" si="649"/>
        <v>0.77565353101833789</v>
      </c>
      <c r="J8161" s="62"/>
    </row>
    <row r="8162" spans="1:10" ht="15.75" thickBot="1" x14ac:dyDescent="0.3">
      <c r="A8162" s="42" t="s">
        <v>17</v>
      </c>
      <c r="B8162" s="19">
        <v>44233</v>
      </c>
      <c r="C8162" s="4">
        <v>2946</v>
      </c>
      <c r="D8162" s="97">
        <f t="shared" si="646"/>
        <v>824983</v>
      </c>
      <c r="E8162" s="4">
        <v>77</v>
      </c>
      <c r="F8162" s="250">
        <f>E8162+F8138</f>
        <v>24983</v>
      </c>
      <c r="G8162" s="251">
        <f>SUM(C8162,C8138,C8114,C8090,C8066,C8042,C8018,C7994,C7970,C7946,C7922,C7898,C7874,C7850)/POBLA!$B$1*100000</f>
        <v>276.17929757248976</v>
      </c>
      <c r="H8162" s="230">
        <f t="shared" ref="H8162:H8168" si="650">SUM(C8162,C8138,C8114,C8090,C8066,C8042,C8018,C7994,C7970,C7946,C7922,C7898,C7874,C7850)/SUM(C7826,C7802,C7778,C7754,C7730,C7706,C7682,C7658,C7634,C7610,C7586,C7562,C7538,C7514)</f>
        <v>0.83700478584633464</v>
      </c>
    </row>
    <row r="8163" spans="1:10" ht="15.75" thickBot="1" x14ac:dyDescent="0.3">
      <c r="A8163" s="42" t="s">
        <v>44</v>
      </c>
      <c r="B8163" s="19">
        <v>44233</v>
      </c>
      <c r="C8163" s="4">
        <v>733</v>
      </c>
      <c r="D8163" s="21">
        <f t="shared" si="646"/>
        <v>216490</v>
      </c>
      <c r="E8163" s="4">
        <v>18</v>
      </c>
      <c r="F8163" s="57">
        <f t="shared" ref="F8163:F8185" si="651">E8163+F8139</f>
        <v>6144</v>
      </c>
      <c r="G8163" s="251">
        <f>SUM(C8163,C8139,C8115,C8091,C8067,C8043,C8019,C7995,C7971,C7947,C7923,C7899,C7875,C7851)/POBLA!$B$2*100000</f>
        <v>474.14429358905414</v>
      </c>
      <c r="H8163" s="252">
        <f t="shared" si="650"/>
        <v>0.85196003972658763</v>
      </c>
    </row>
    <row r="8164" spans="1:10" ht="15.75" thickBot="1" x14ac:dyDescent="0.3">
      <c r="A8164" s="42" t="s">
        <v>29</v>
      </c>
      <c r="B8164" s="19">
        <v>44233</v>
      </c>
      <c r="C8164" s="4">
        <v>77</v>
      </c>
      <c r="D8164" s="21">
        <f t="shared" si="646"/>
        <v>6128</v>
      </c>
      <c r="F8164" s="57">
        <f t="shared" si="651"/>
        <v>17</v>
      </c>
      <c r="G8164" s="251">
        <f>SUM(C8164,C8140,C8116,C8092,C8068,C8044,C8020,C7996,C7972,C7948,C7924,C7900,C7876,C7852)/POBLA!$B$3*100000</f>
        <v>348.066378135847</v>
      </c>
      <c r="H8164" s="252">
        <f t="shared" si="650"/>
        <v>0.92692307692307696</v>
      </c>
    </row>
    <row r="8165" spans="1:10" ht="15.75" thickBot="1" x14ac:dyDescent="0.3">
      <c r="A8165" s="42" t="s">
        <v>16</v>
      </c>
      <c r="B8165" s="19">
        <v>44233</v>
      </c>
      <c r="C8165" s="4">
        <v>144</v>
      </c>
      <c r="D8165" s="21">
        <f t="shared" si="646"/>
        <v>31561</v>
      </c>
      <c r="E8165" s="4">
        <v>2</v>
      </c>
      <c r="F8165" s="57">
        <f t="shared" si="651"/>
        <v>809</v>
      </c>
      <c r="G8165" s="251">
        <f>SUM(C8165,C8141,C8117,C8093,C8069,C8045,C8021,C7997,C7973,C7949,C7925,C7901,C7877,C7853)/POBLA!$B$4*100000</f>
        <v>156.40812558476631</v>
      </c>
      <c r="H8165" s="252">
        <f t="shared" si="650"/>
        <v>0.64103436543041847</v>
      </c>
    </row>
    <row r="8166" spans="1:10" ht="15.75" thickBot="1" x14ac:dyDescent="0.3">
      <c r="A8166" s="42" t="s">
        <v>30</v>
      </c>
      <c r="B8166" s="19">
        <v>44233</v>
      </c>
      <c r="C8166" s="4">
        <v>155</v>
      </c>
      <c r="D8166" s="21">
        <f t="shared" si="646"/>
        <v>43850</v>
      </c>
      <c r="F8166" s="57">
        <f t="shared" si="651"/>
        <v>670</v>
      </c>
      <c r="G8166" s="251">
        <f>SUM(C8166,C8142,C8118,C8094,C8070,C8046,C8022,C7998,C7974,C7950,C7926,C7902,C7878,C7854)/POBLA!$B$5*100000</f>
        <v>598.06718643476347</v>
      </c>
      <c r="H8166" s="252">
        <f t="shared" si="650"/>
        <v>0.73715651135005977</v>
      </c>
    </row>
    <row r="8167" spans="1:10" ht="15.75" thickBot="1" x14ac:dyDescent="0.3">
      <c r="A8167" s="42" t="s">
        <v>31</v>
      </c>
      <c r="B8167" s="19">
        <v>44233</v>
      </c>
      <c r="C8167" s="4">
        <v>297</v>
      </c>
      <c r="D8167" s="21">
        <f t="shared" si="646"/>
        <v>18719</v>
      </c>
      <c r="F8167" s="57">
        <f t="shared" si="651"/>
        <v>206</v>
      </c>
      <c r="G8167" s="251">
        <f>SUM(C8167,C8143,C8119,C8095,C8071,C8047,C8023,C7999,C7975,C7951,C7927,C7903,C7879,C7855)/POBLA!$B$7*100000</f>
        <v>65.949553909771438</v>
      </c>
      <c r="H8167" s="252">
        <f t="shared" si="650"/>
        <v>0.45638571954361429</v>
      </c>
    </row>
    <row r="8168" spans="1:10" ht="15.75" thickBot="1" x14ac:dyDescent="0.3">
      <c r="A8168" s="42" t="s">
        <v>21</v>
      </c>
      <c r="B8168" s="19">
        <v>44233</v>
      </c>
      <c r="C8168" s="4">
        <v>453</v>
      </c>
      <c r="D8168" s="21">
        <f t="shared" si="646"/>
        <v>148046</v>
      </c>
      <c r="E8168" s="4">
        <v>5</v>
      </c>
      <c r="F8168" s="57">
        <f t="shared" si="651"/>
        <v>2733</v>
      </c>
      <c r="G8168" s="251">
        <f>SUM(C8168,C8144,C8120,C8096,C8072,C8048,C8024,C8000,C7976,C7952,C7928,C7904,C7880,C7856)/POBLA!$B$6*100000</f>
        <v>609.02872142333922</v>
      </c>
      <c r="H8168" s="252">
        <f t="shared" si="650"/>
        <v>1.2876815695151858</v>
      </c>
    </row>
    <row r="8169" spans="1:10" ht="15.75" thickBot="1" x14ac:dyDescent="0.3">
      <c r="A8169" s="42" t="s">
        <v>32</v>
      </c>
      <c r="B8169" s="19">
        <v>44233</v>
      </c>
      <c r="C8169" s="4">
        <v>228</v>
      </c>
      <c r="D8169" s="21">
        <f t="shared" si="646"/>
        <v>42417</v>
      </c>
      <c r="E8169" s="4">
        <v>2</v>
      </c>
      <c r="F8169" s="57">
        <f t="shared" si="651"/>
        <v>760</v>
      </c>
      <c r="G8169" s="251">
        <f>SUM(C8169,C8145,C8121,C8097,C8073,C8049,C8025,C8001,C7977,C7953,C7929,C7905,C7881,C7857)/POBLA!$B$8*100000</f>
        <v>257.07794086557988</v>
      </c>
      <c r="H8169" s="252">
        <f t="shared" ref="H8169:H8185" si="652">SUM(C8169,C8145,C8121,C8097,C8073,C8049,C8025,C8001,C7977,C7953,C7929,C7905,C7881,C7857)/SUM(C7833,C7809,C7785,C7761,C7737,C7713,C7689,C7665,C7641,C7617,C7593,C7569,C7545,C7521)</f>
        <v>0.62917181705809644</v>
      </c>
    </row>
    <row r="8170" spans="1:10" ht="15.75" thickBot="1" x14ac:dyDescent="0.3">
      <c r="A8170" s="42" t="s">
        <v>42</v>
      </c>
      <c r="B8170" s="19">
        <v>44233</v>
      </c>
      <c r="C8170" s="4">
        <v>1</v>
      </c>
      <c r="D8170" s="21">
        <f t="shared" si="646"/>
        <v>868</v>
      </c>
      <c r="F8170" s="57">
        <f t="shared" si="651"/>
        <v>9</v>
      </c>
      <c r="G8170" s="251">
        <f>SUM(C8170,C8146,C8122,C8098,C8074,C8050,C8026,C8002,C7978,C7954,C7930,C7906,C7882,C7858)/POBLA!$B$9*100000</f>
        <v>11.236085017506813</v>
      </c>
      <c r="H8170" s="252">
        <f t="shared" si="652"/>
        <v>0.1256931608133087</v>
      </c>
    </row>
    <row r="8171" spans="1:10" ht="15.75" thickBot="1" x14ac:dyDescent="0.3">
      <c r="A8171" s="42" t="s">
        <v>33</v>
      </c>
      <c r="B8171" s="19">
        <v>44233</v>
      </c>
      <c r="C8171" s="4">
        <v>27</v>
      </c>
      <c r="D8171" s="21">
        <f t="shared" si="646"/>
        <v>19503</v>
      </c>
      <c r="E8171" s="4">
        <v>3</v>
      </c>
      <c r="F8171" s="57">
        <f t="shared" si="651"/>
        <v>882</v>
      </c>
      <c r="G8171" s="251">
        <f>SUM(C8171,C8147,C8123,C8099,C8075,C8051,C8027,C8003,C7979,C7955,C7931,C7907,C7883,C7859)/POBLA!$B$10*100000</f>
        <v>56.947829820685691</v>
      </c>
      <c r="H8171" s="252">
        <f t="shared" si="652"/>
        <v>1.1030150753768844</v>
      </c>
    </row>
    <row r="8172" spans="1:10" ht="15.75" thickBot="1" x14ac:dyDescent="0.3">
      <c r="A8172" s="42" t="s">
        <v>34</v>
      </c>
      <c r="B8172" s="19">
        <v>44233</v>
      </c>
      <c r="C8172" s="4">
        <v>65</v>
      </c>
      <c r="D8172" s="21">
        <f t="shared" si="646"/>
        <v>17030</v>
      </c>
      <c r="E8172" s="4">
        <v>1</v>
      </c>
      <c r="F8172" s="57">
        <f t="shared" si="651"/>
        <v>260</v>
      </c>
      <c r="G8172" s="251">
        <f>SUM(C8172,C8148,C8124,C8100,C8076,C8052,C8028,C8004,C7980,C7956,C7932,C7908,C7884,C7860)/POBLA!$B$11*100000</f>
        <v>357.11495753679958</v>
      </c>
      <c r="H8172" s="252">
        <f t="shared" si="652"/>
        <v>0.54421768707482998</v>
      </c>
    </row>
    <row r="8173" spans="1:10" ht="15.75" thickBot="1" x14ac:dyDescent="0.3">
      <c r="A8173" s="42" t="s">
        <v>22</v>
      </c>
      <c r="B8173" s="19">
        <v>44233</v>
      </c>
      <c r="C8173" s="4">
        <v>31</v>
      </c>
      <c r="D8173" s="21">
        <f t="shared" si="646"/>
        <v>9653</v>
      </c>
      <c r="F8173" s="57">
        <f t="shared" si="651"/>
        <v>414</v>
      </c>
      <c r="G8173" s="251">
        <f>SUM(C8173,C8149,C8125,C8101,C8077,C8053,C8029,C8005,C7981,C7957,C7933,C7909,C7885,C7861)/POBLA!$B$12*100000</f>
        <v>63.781506412455428</v>
      </c>
      <c r="H8173" s="252">
        <f t="shared" si="652"/>
        <v>1.2364532019704433</v>
      </c>
    </row>
    <row r="8174" spans="1:10" ht="15.75" thickBot="1" x14ac:dyDescent="0.3">
      <c r="A8174" s="42" t="s">
        <v>18</v>
      </c>
      <c r="B8174" s="19">
        <v>44233</v>
      </c>
      <c r="C8174" s="4">
        <v>121</v>
      </c>
      <c r="D8174" s="21">
        <f t="shared" si="646"/>
        <v>64690</v>
      </c>
      <c r="E8174" s="4">
        <v>3</v>
      </c>
      <c r="F8174" s="57">
        <f t="shared" si="651"/>
        <v>1395</v>
      </c>
      <c r="G8174" s="251">
        <f>SUM(C8174,C8150,C8126,C8102,C8078,C8054,C8030,C8006,C7982,C7958,C7934,C7910,C7886,C7862)/POBLA!$B$13*100000</f>
        <v>80.287870703367972</v>
      </c>
      <c r="H8174" s="252">
        <f t="shared" si="652"/>
        <v>0.85090521831735888</v>
      </c>
    </row>
    <row r="8175" spans="1:10" ht="15.75" thickBot="1" x14ac:dyDescent="0.3">
      <c r="A8175" s="42" t="s">
        <v>24</v>
      </c>
      <c r="B8175" s="19">
        <v>44233</v>
      </c>
      <c r="C8175" s="4">
        <v>127</v>
      </c>
      <c r="D8175" s="21">
        <f t="shared" si="646"/>
        <v>5858</v>
      </c>
      <c r="E8175" s="4">
        <v>1</v>
      </c>
      <c r="F8175" s="57">
        <f t="shared" si="651"/>
        <v>103</v>
      </c>
      <c r="G8175" s="251">
        <f>SUM(C8175,C8151,C8127,C8103,C8079,C8055,C8031,C8007,C7983,C7959,C7935,C7911,C7887,C7863)/POBLA!$B$14*100000</f>
        <v>202.17332358672917</v>
      </c>
      <c r="H8175" s="252">
        <f t="shared" si="652"/>
        <v>1.2924480486568677</v>
      </c>
    </row>
    <row r="8176" spans="1:10" ht="15.75" thickBot="1" x14ac:dyDescent="0.3">
      <c r="A8176" s="42" t="s">
        <v>20</v>
      </c>
      <c r="B8176" s="19">
        <v>44233</v>
      </c>
      <c r="C8176" s="4">
        <v>300</v>
      </c>
      <c r="D8176" s="21">
        <f t="shared" si="646"/>
        <v>56493</v>
      </c>
      <c r="E8176" s="4">
        <v>2</v>
      </c>
      <c r="F8176" s="57">
        <f t="shared" si="651"/>
        <v>793</v>
      </c>
      <c r="G8176" s="251">
        <f>SUM(C8176,C8152,C8128,C8104,C8080,C8056,C8032,C8008,C7984,C7960,C7936,C7912,C7888,C7864)/POBLA!$B$15*100000</f>
        <v>851.88470266859622</v>
      </c>
      <c r="H8176" s="252">
        <f t="shared" si="652"/>
        <v>0.95638207945900255</v>
      </c>
    </row>
    <row r="8177" spans="1:8" ht="15.75" thickBot="1" x14ac:dyDescent="0.3">
      <c r="A8177" s="42" t="s">
        <v>19</v>
      </c>
      <c r="B8177" s="19">
        <v>44233</v>
      </c>
      <c r="C8177" s="4">
        <v>136</v>
      </c>
      <c r="D8177" s="21">
        <f t="shared" si="646"/>
        <v>49318</v>
      </c>
      <c r="E8177" s="4">
        <v>1</v>
      </c>
      <c r="F8177" s="57">
        <f t="shared" si="651"/>
        <v>1098</v>
      </c>
      <c r="G8177" s="251">
        <f>SUM(C8177,C8153,C8129,C8105,C8081,C8057,C8033,C8009,C7985,C7961,C7937,C7913,C7889,C7865)/POBLA!$B$16*100000</f>
        <v>461.20303366728643</v>
      </c>
      <c r="H8177" s="252">
        <f t="shared" si="652"/>
        <v>0.75168955744495314</v>
      </c>
    </row>
    <row r="8178" spans="1:8" ht="15.75" thickBot="1" x14ac:dyDescent="0.3">
      <c r="A8178" s="42" t="s">
        <v>35</v>
      </c>
      <c r="B8178" s="19">
        <v>44233</v>
      </c>
      <c r="C8178" s="4">
        <v>92</v>
      </c>
      <c r="D8178" s="21">
        <f t="shared" si="646"/>
        <v>24249</v>
      </c>
      <c r="E8178" s="4">
        <v>2</v>
      </c>
      <c r="F8178" s="57">
        <f t="shared" si="651"/>
        <v>1052</v>
      </c>
      <c r="G8178" s="251">
        <f>SUM(C8178,C8154,C8130,C8106,C8082,C8058,C8034,C8010,C7986,C7962,C7938,C7914,C7890,C7866)/POBLA!$B$17*100000</f>
        <v>58.48088699990241</v>
      </c>
      <c r="H8178" s="252">
        <f t="shared" si="652"/>
        <v>1.1458046767537826</v>
      </c>
    </row>
    <row r="8179" spans="1:8" ht="15.75" thickBot="1" x14ac:dyDescent="0.3">
      <c r="A8179" s="42" t="s">
        <v>36</v>
      </c>
      <c r="B8179" s="19">
        <v>44233</v>
      </c>
      <c r="C8179" s="4">
        <v>12</v>
      </c>
      <c r="D8179" s="21">
        <f t="shared" si="646"/>
        <v>14280</v>
      </c>
      <c r="F8179" s="57">
        <f t="shared" si="651"/>
        <v>202</v>
      </c>
      <c r="G8179" s="251">
        <f>SUM(C8179,C8155,C8131,C8107,C8083,C8059,C8035,C8011,C7987,C7963,C7939,C7915,C7891,C7867)/POBLA!$B$18*100000</f>
        <v>95.236022769601789</v>
      </c>
      <c r="H8179" s="252">
        <f t="shared" si="652"/>
        <v>0.63211554800339842</v>
      </c>
    </row>
    <row r="8180" spans="1:8" ht="15.75" thickBot="1" x14ac:dyDescent="0.3">
      <c r="A8180" s="42" t="s">
        <v>37</v>
      </c>
      <c r="B8180" s="19">
        <v>44233</v>
      </c>
      <c r="C8180" s="4">
        <v>3</v>
      </c>
      <c r="D8180" s="21">
        <f t="shared" si="646"/>
        <v>19105</v>
      </c>
      <c r="E8180" s="4">
        <v>1</v>
      </c>
      <c r="F8180" s="57">
        <f t="shared" si="651"/>
        <v>338</v>
      </c>
      <c r="G8180" s="251">
        <f>SUM(C8180,C8156,C8132,C8108,C8084,C8060,C8036,C8012,C7988,C7964,C7940,C7916,C7892,C7868)/POBLA!$B$19*100000</f>
        <v>138.49325632268929</v>
      </c>
      <c r="H8180" s="252">
        <f t="shared" si="652"/>
        <v>0.3774798927613941</v>
      </c>
    </row>
    <row r="8181" spans="1:8" ht="15.75" thickBot="1" x14ac:dyDescent="0.3">
      <c r="A8181" s="42" t="s">
        <v>38</v>
      </c>
      <c r="B8181" s="19">
        <v>44233</v>
      </c>
      <c r="C8181" s="4">
        <v>122</v>
      </c>
      <c r="D8181" s="21">
        <f t="shared" si="646"/>
        <v>33745</v>
      </c>
      <c r="E8181" s="4">
        <v>1</v>
      </c>
      <c r="F8181" s="57">
        <f t="shared" si="651"/>
        <v>515</v>
      </c>
      <c r="G8181" s="251">
        <f>SUM(C8181,C8157,C8133,C8109,C8085,C8061,C8037,C8013,C7989,C7965,C7941,C7917,C7893,C7869)/POBLA!$B$20*100000</f>
        <v>655.73232558012342</v>
      </c>
      <c r="H8181" s="252">
        <f t="shared" si="652"/>
        <v>0.54401088929219599</v>
      </c>
    </row>
    <row r="8182" spans="1:8" ht="15.75" thickBot="1" x14ac:dyDescent="0.3">
      <c r="A8182" s="42" t="s">
        <v>23</v>
      </c>
      <c r="B8182" s="19">
        <v>44233</v>
      </c>
      <c r="C8182" s="4">
        <v>431</v>
      </c>
      <c r="D8182" s="21">
        <f t="shared" si="646"/>
        <v>209048</v>
      </c>
      <c r="E8182" s="4">
        <v>6</v>
      </c>
      <c r="F8182" s="57">
        <f t="shared" si="651"/>
        <v>3702</v>
      </c>
      <c r="G8182" s="251">
        <f>SUM(C8182,C8158,C8134,C8110,C8086,C8062,C8038,C8014,C7990,C7966,C7942,C7918,C7894,C7870)/POBLA!$B$21*100000</f>
        <v>222.28707126815891</v>
      </c>
      <c r="H8182" s="252">
        <f t="shared" si="652"/>
        <v>0.51389161273452311</v>
      </c>
    </row>
    <row r="8183" spans="1:8" ht="15.75" thickBot="1" x14ac:dyDescent="0.3">
      <c r="A8183" s="42" t="s">
        <v>39</v>
      </c>
      <c r="B8183" s="19">
        <v>44233</v>
      </c>
      <c r="C8183" s="4">
        <v>70</v>
      </c>
      <c r="D8183" s="21">
        <f t="shared" si="646"/>
        <v>21349</v>
      </c>
      <c r="F8183" s="57">
        <f t="shared" si="651"/>
        <v>247</v>
      </c>
      <c r="G8183" s="251">
        <f>SUM(C8183,C8159,C8135,C8111,C8087,C8063,C8039,C8015,C7991,C7967,C7943,C7919,C7895,C7871)/POBLA!$B$22*100000</f>
        <v>104.36332748312655</v>
      </c>
      <c r="H8183" s="252">
        <f t="shared" si="652"/>
        <v>0.57488738738738743</v>
      </c>
    </row>
    <row r="8184" spans="1:8" ht="15.75" thickBot="1" x14ac:dyDescent="0.3">
      <c r="A8184" s="42" t="s">
        <v>40</v>
      </c>
      <c r="B8184" s="19">
        <v>44233</v>
      </c>
      <c r="C8184" s="4">
        <v>17</v>
      </c>
      <c r="D8184" s="21">
        <f t="shared" si="646"/>
        <v>22062</v>
      </c>
      <c r="F8184" s="57">
        <f t="shared" si="651"/>
        <v>338</v>
      </c>
      <c r="G8184" s="251">
        <f>SUM(C8184,C8160,C8136,C8112,C8088,C8064,C8040,C8016,C7992,C7968,C7944,C7920,C7896,C7872)/POBLA!$B$23*100000</f>
        <v>406.03969914607251</v>
      </c>
      <c r="H8184" s="252">
        <f t="shared" si="652"/>
        <v>0.57578187650360868</v>
      </c>
    </row>
    <row r="8185" spans="1:8" ht="15.75" thickBot="1" x14ac:dyDescent="0.3">
      <c r="A8185" s="42" t="s">
        <v>41</v>
      </c>
      <c r="B8185" s="19">
        <v>44233</v>
      </c>
      <c r="C8185" s="4">
        <v>92</v>
      </c>
      <c r="D8185" s="98">
        <f t="shared" si="646"/>
        <v>77244</v>
      </c>
      <c r="F8185" s="255">
        <f t="shared" si="651"/>
        <v>1438</v>
      </c>
      <c r="G8185" s="251">
        <f>SUM(C8185,C8161,C8137,C8113,C8089,C8065,C8041,C8017,C7993,C7969,C7945,C7921,C7897,C7873)/POBLA!$B$24*100000</f>
        <v>117.90003398919899</v>
      </c>
      <c r="H8185" s="257">
        <f t="shared" si="652"/>
        <v>0.79160063391442159</v>
      </c>
    </row>
    <row r="8186" spans="1:8" ht="15.75" thickBot="1" x14ac:dyDescent="0.3">
      <c r="A8186" s="42" t="s">
        <v>17</v>
      </c>
      <c r="B8186" s="19">
        <v>44234</v>
      </c>
      <c r="C8186" s="4">
        <v>1498</v>
      </c>
      <c r="D8186" s="97">
        <f t="shared" si="646"/>
        <v>826481</v>
      </c>
      <c r="E8186" s="4">
        <v>14</v>
      </c>
      <c r="F8186" s="250">
        <f>E8186+F8162</f>
        <v>24997</v>
      </c>
      <c r="G8186" s="251">
        <f>SUM(C8186,C8162,C8138,C8114,C8090,C8066,C8042,C8018,C7994,C7970,C7946,C7922,C7898,C7874)/POBLA!$B$1*100000</f>
        <v>272.79867370087271</v>
      </c>
      <c r="H8186" s="230">
        <f t="shared" ref="H8186:H8192" si="653">SUM(C8186,C8162,C8138,C8114,C8090,C8066,C8042,C8018,C7994,C7970,C7946,C7922,C7898,C7874)/SUM(C7850,C7826,C7802,C7778,C7754,C7730,C7706,C7682,C7658,C7634,C7610,C7586,C7562,C7538)</f>
        <v>0.84432289369210412</v>
      </c>
    </row>
    <row r="8187" spans="1:8" ht="15.75" thickBot="1" x14ac:dyDescent="0.3">
      <c r="A8187" s="42" t="s">
        <v>44</v>
      </c>
      <c r="B8187" s="19">
        <v>44234</v>
      </c>
      <c r="C8187" s="4">
        <v>577</v>
      </c>
      <c r="D8187" s="21">
        <f t="shared" si="646"/>
        <v>217067</v>
      </c>
      <c r="E8187" s="4">
        <v>26</v>
      </c>
      <c r="F8187" s="57">
        <f t="shared" ref="F8187:F8209" si="654">E8187+F8163</f>
        <v>6170</v>
      </c>
      <c r="G8187" s="251">
        <f>SUM(C8187,C8163,C8139,C8115,C8091,C8067,C8043,C8019,C7995,C7971,C7947,C7923,C7899,C7875)/POBLA!$B$2*100000</f>
        <v>469.95005276940191</v>
      </c>
      <c r="H8187" s="252">
        <f t="shared" si="653"/>
        <v>0.87198359073359077</v>
      </c>
    </row>
    <row r="8188" spans="1:8" ht="15.75" thickBot="1" x14ac:dyDescent="0.3">
      <c r="A8188" s="42" t="s">
        <v>29</v>
      </c>
      <c r="B8188" s="19">
        <v>44234</v>
      </c>
      <c r="C8188" s="4">
        <v>63</v>
      </c>
      <c r="D8188" s="21">
        <f t="shared" si="646"/>
        <v>6191</v>
      </c>
      <c r="F8188" s="57">
        <f t="shared" si="654"/>
        <v>17</v>
      </c>
      <c r="G8188" s="251">
        <f>SUM(C8188,C8164,C8140,C8116,C8092,C8068,C8044,C8020,C7996,C7972,C7948,C7924,C7900,C7876)/POBLA!$B$3*100000</f>
        <v>351.43631540687176</v>
      </c>
      <c r="H8188" s="252">
        <f t="shared" si="653"/>
        <v>0.93709884467265725</v>
      </c>
    </row>
    <row r="8189" spans="1:8" ht="15.75" thickBot="1" x14ac:dyDescent="0.3">
      <c r="A8189" s="42" t="s">
        <v>16</v>
      </c>
      <c r="B8189" s="19">
        <v>44234</v>
      </c>
      <c r="C8189" s="4">
        <v>105</v>
      </c>
      <c r="D8189" s="21">
        <f t="shared" si="646"/>
        <v>31666</v>
      </c>
      <c r="F8189" s="57">
        <f t="shared" si="654"/>
        <v>809</v>
      </c>
      <c r="G8189" s="251">
        <f>SUM(C8189,C8165,C8141,C8117,C8093,C8069,C8045,C8021,C7997,C7973,C7949,C7925,C7901,C7877)/POBLA!$B$4*100000</f>
        <v>153.75151198672356</v>
      </c>
      <c r="H8189" s="252">
        <f t="shared" si="653"/>
        <v>0.64194107452339688</v>
      </c>
    </row>
    <row r="8190" spans="1:8" ht="15.75" thickBot="1" x14ac:dyDescent="0.3">
      <c r="A8190" s="42" t="s">
        <v>30</v>
      </c>
      <c r="B8190" s="19">
        <v>44234</v>
      </c>
      <c r="C8190" s="4">
        <v>62</v>
      </c>
      <c r="D8190" s="21">
        <f t="shared" si="646"/>
        <v>43912</v>
      </c>
      <c r="E8190" s="4">
        <v>1</v>
      </c>
      <c r="F8190" s="57">
        <f t="shared" si="654"/>
        <v>671</v>
      </c>
      <c r="G8190" s="251">
        <f>SUM(C8190,C8166,C8142,C8118,C8094,C8070,C8046,C8022,C7998,C7974,C7950,C7926,C7902,C7878)/POBLA!$B$5*100000</f>
        <v>590.63577352930724</v>
      </c>
      <c r="H8190" s="252">
        <f t="shared" si="653"/>
        <v>0.74068071312803885</v>
      </c>
    </row>
    <row r="8191" spans="1:8" ht="15.75" thickBot="1" x14ac:dyDescent="0.3">
      <c r="A8191" s="42" t="s">
        <v>31</v>
      </c>
      <c r="B8191" s="19">
        <v>44234</v>
      </c>
      <c r="C8191" s="4">
        <v>14</v>
      </c>
      <c r="D8191" s="21">
        <f t="shared" si="646"/>
        <v>18733</v>
      </c>
      <c r="F8191" s="57">
        <f t="shared" si="654"/>
        <v>206</v>
      </c>
      <c r="G8191" s="251">
        <f>SUM(C8191,C8167,C8143,C8119,C8095,C8071,C8047,C8023,C7999,C7975,C7951,C7927,C7903,C7879)/POBLA!$B$7*100000</f>
        <v>64.619925806751851</v>
      </c>
      <c r="H8191" s="252">
        <f t="shared" si="653"/>
        <v>0.48290937996820349</v>
      </c>
    </row>
    <row r="8192" spans="1:8" ht="15.75" thickBot="1" x14ac:dyDescent="0.3">
      <c r="A8192" s="42" t="s">
        <v>21</v>
      </c>
      <c r="B8192" s="19">
        <v>44234</v>
      </c>
      <c r="C8192" s="4">
        <v>225</v>
      </c>
      <c r="D8192" s="21">
        <f t="shared" si="646"/>
        <v>148271</v>
      </c>
      <c r="E8192" s="4">
        <v>3</v>
      </c>
      <c r="F8192" s="57">
        <f t="shared" si="654"/>
        <v>2736</v>
      </c>
      <c r="G8192" s="251">
        <f>SUM(C8192,C8168,C8144,C8120,C8096,C8072,C8048,C8024,C8000,C7976,C7952,C7928,C7904,C7880)/POBLA!$B$6*100000</f>
        <v>605.54906714037543</v>
      </c>
      <c r="H8192" s="252">
        <f t="shared" si="653"/>
        <v>1.2462357693720161</v>
      </c>
    </row>
    <row r="8193" spans="1:8" ht="15.75" thickBot="1" x14ac:dyDescent="0.3">
      <c r="A8193" s="42" t="s">
        <v>32</v>
      </c>
      <c r="B8193" s="19">
        <v>44234</v>
      </c>
      <c r="C8193" s="4">
        <v>105</v>
      </c>
      <c r="D8193" s="21">
        <f t="shared" si="646"/>
        <v>42522</v>
      </c>
      <c r="E8193" s="4">
        <v>1</v>
      </c>
      <c r="F8193" s="57">
        <f t="shared" si="654"/>
        <v>761</v>
      </c>
      <c r="G8193" s="251">
        <f>SUM(C8193,C8169,C8145,C8121,C8097,C8073,C8049,C8025,C8001,C7977,C7953,C7929,C7905,C7881)/POBLA!$B$8*100000</f>
        <v>248.8526011915198</v>
      </c>
      <c r="H8193" s="252">
        <f t="shared" ref="H8193:H8209" si="655">SUM(C8193,C8169,C8145,C8121,C8097,C8073,C8049,C8025,C8001,C7977,C7953,C7929,C7905,C7881)/SUM(C7857,C7833,C7809,C7785,C7761,C7737,C7713,C7689,C7665,C7641,C7617,C7593,C7569,C7545)</f>
        <v>0.62346348517715111</v>
      </c>
    </row>
    <row r="8194" spans="1:8" ht="15.75" thickBot="1" x14ac:dyDescent="0.3">
      <c r="A8194" s="42" t="s">
        <v>42</v>
      </c>
      <c r="B8194" s="19">
        <v>44234</v>
      </c>
      <c r="C8194" s="4">
        <v>10</v>
      </c>
      <c r="D8194" s="21">
        <f t="shared" si="646"/>
        <v>878</v>
      </c>
      <c r="F8194" s="57">
        <f t="shared" si="654"/>
        <v>9</v>
      </c>
      <c r="G8194" s="251">
        <f>SUM(C8194,C8170,C8146,C8122,C8098,C8074,C8050,C8026,C8002,C7978,C7954,C7930,C7906,C7882)/POBLA!$B$9*100000</f>
        <v>11.897031195007214</v>
      </c>
      <c r="H8194" s="252">
        <f t="shared" si="655"/>
        <v>0.13980582524271845</v>
      </c>
    </row>
    <row r="8195" spans="1:8" ht="15.75" thickBot="1" x14ac:dyDescent="0.3">
      <c r="A8195" s="42" t="s">
        <v>33</v>
      </c>
      <c r="B8195" s="19">
        <v>44234</v>
      </c>
      <c r="C8195" s="4">
        <v>17</v>
      </c>
      <c r="D8195" s="21">
        <f t="shared" ref="D8195:D8258" si="656">C8195+D8171</f>
        <v>19520</v>
      </c>
      <c r="E8195" s="4">
        <v>3</v>
      </c>
      <c r="F8195" s="57">
        <f t="shared" si="654"/>
        <v>885</v>
      </c>
      <c r="G8195" s="251">
        <f>SUM(C8195,C8171,C8147,C8123,C8099,C8075,C8051,C8027,C8003,C7979,C7955,C7931,C7907,C7883)/POBLA!$B$10*100000</f>
        <v>55.391169324448256</v>
      </c>
      <c r="H8195" s="252">
        <f t="shared" si="655"/>
        <v>1.0491400491400491</v>
      </c>
    </row>
    <row r="8196" spans="1:8" ht="15.75" thickBot="1" x14ac:dyDescent="0.3">
      <c r="A8196" s="42" t="s">
        <v>34</v>
      </c>
      <c r="B8196" s="19">
        <v>44234</v>
      </c>
      <c r="C8196" s="4">
        <v>58</v>
      </c>
      <c r="D8196" s="21">
        <f t="shared" si="656"/>
        <v>17088</v>
      </c>
      <c r="F8196" s="57">
        <f t="shared" si="654"/>
        <v>260</v>
      </c>
      <c r="G8196" s="251">
        <f>SUM(C8196,C8172,C8148,C8124,C8100,C8076,C8052,C8028,C8004,C7980,C7956,C7932,C7908,C7884)/POBLA!$B$11*100000</f>
        <v>361.29989844543394</v>
      </c>
      <c r="H8196" s="252">
        <f t="shared" si="655"/>
        <v>0.56476232010466643</v>
      </c>
    </row>
    <row r="8197" spans="1:8" ht="15.75" thickBot="1" x14ac:dyDescent="0.3">
      <c r="A8197" s="42" t="s">
        <v>22</v>
      </c>
      <c r="B8197" s="19">
        <v>44234</v>
      </c>
      <c r="C8197" s="4">
        <v>32</v>
      </c>
      <c r="D8197" s="21">
        <f t="shared" si="656"/>
        <v>9685</v>
      </c>
      <c r="F8197" s="57">
        <f t="shared" si="654"/>
        <v>414</v>
      </c>
      <c r="G8197" s="251">
        <f>SUM(C8197,C8173,C8149,C8125,C8101,C8077,C8053,C8029,C8005,C7981,C7957,C7933,C7909,C7885)/POBLA!$B$12*100000</f>
        <v>62.765068063252961</v>
      </c>
      <c r="H8197" s="252">
        <f t="shared" si="655"/>
        <v>1.1026785714285714</v>
      </c>
    </row>
    <row r="8198" spans="1:8" ht="15.75" thickBot="1" x14ac:dyDescent="0.3">
      <c r="A8198" s="42" t="s">
        <v>18</v>
      </c>
      <c r="B8198" s="19">
        <v>44234</v>
      </c>
      <c r="C8198" s="4">
        <v>38</v>
      </c>
      <c r="D8198" s="21">
        <f t="shared" si="656"/>
        <v>64728</v>
      </c>
      <c r="E8198" s="4">
        <v>3</v>
      </c>
      <c r="F8198" s="57">
        <f t="shared" si="654"/>
        <v>1398</v>
      </c>
      <c r="G8198" s="251">
        <f>SUM(C8198,C8174,C8150,C8126,C8102,C8078,C8054,C8030,C8006,C7982,C7958,C7934,C7910,C7886)/POBLA!$B$13*100000</f>
        <v>79.031802638546822</v>
      </c>
      <c r="H8198" s="252">
        <f t="shared" si="655"/>
        <v>0.84343163538874</v>
      </c>
    </row>
    <row r="8199" spans="1:8" ht="15.75" thickBot="1" x14ac:dyDescent="0.3">
      <c r="A8199" s="42" t="s">
        <v>24</v>
      </c>
      <c r="B8199" s="19">
        <v>44234</v>
      </c>
      <c r="C8199" s="4">
        <v>204</v>
      </c>
      <c r="D8199" s="21">
        <f t="shared" si="656"/>
        <v>6062</v>
      </c>
      <c r="E8199" s="4">
        <v>2</v>
      </c>
      <c r="F8199" s="57">
        <f t="shared" si="654"/>
        <v>105</v>
      </c>
      <c r="G8199" s="251">
        <f>SUM(C8199,C8175,C8151,C8127,C8103,C8079,C8055,C8031,C8007,C7983,C7959,C7935,C7911,C7887)/POBLA!$B$14*100000</f>
        <v>205.74108812061263</v>
      </c>
      <c r="H8199" s="252">
        <f t="shared" si="655"/>
        <v>1.2833827893175074</v>
      </c>
    </row>
    <row r="8200" spans="1:8" ht="15.75" thickBot="1" x14ac:dyDescent="0.3">
      <c r="A8200" s="42" t="s">
        <v>20</v>
      </c>
      <c r="B8200" s="19">
        <v>44234</v>
      </c>
      <c r="C8200" s="4">
        <v>162</v>
      </c>
      <c r="D8200" s="21">
        <f t="shared" si="656"/>
        <v>56655</v>
      </c>
      <c r="E8200" s="4">
        <v>1</v>
      </c>
      <c r="F8200" s="57">
        <f t="shared" si="654"/>
        <v>794</v>
      </c>
      <c r="G8200" s="251">
        <f>SUM(C8200,C8176,C8152,C8128,C8104,C8080,C8056,C8032,C8008,C7984,C7960,C7936,C7912,C7888)/POBLA!$B$15*100000</f>
        <v>853.84236594147796</v>
      </c>
      <c r="H8200" s="252">
        <f t="shared" si="655"/>
        <v>0.97172236503856046</v>
      </c>
    </row>
    <row r="8201" spans="1:8" ht="15.75" thickBot="1" x14ac:dyDescent="0.3">
      <c r="A8201" s="42" t="s">
        <v>19</v>
      </c>
      <c r="B8201" s="19">
        <v>44234</v>
      </c>
      <c r="C8201" s="4">
        <v>59</v>
      </c>
      <c r="D8201" s="21">
        <f t="shared" si="656"/>
        <v>49377</v>
      </c>
      <c r="F8201" s="57">
        <f t="shared" si="654"/>
        <v>1098</v>
      </c>
      <c r="G8201" s="251">
        <f>SUM(C8201,C8177,C8153,C8129,C8105,C8081,C8057,C8033,C8009,C7985,C7961,C7937,C7913,C7889)/POBLA!$B$16*100000</f>
        <v>454.64881422131862</v>
      </c>
      <c r="H8201" s="252">
        <f t="shared" si="655"/>
        <v>0.75634178905206939</v>
      </c>
    </row>
    <row r="8202" spans="1:8" ht="15.75" thickBot="1" x14ac:dyDescent="0.3">
      <c r="A8202" s="42" t="s">
        <v>35</v>
      </c>
      <c r="B8202" s="19">
        <v>44234</v>
      </c>
      <c r="C8202" s="4">
        <v>43</v>
      </c>
      <c r="D8202" s="21">
        <f t="shared" si="656"/>
        <v>24292</v>
      </c>
      <c r="E8202" s="4">
        <v>1</v>
      </c>
      <c r="F8202" s="57">
        <f t="shared" si="654"/>
        <v>1053</v>
      </c>
      <c r="G8202" s="251">
        <f>SUM(C8202,C8178,C8154,C8130,C8106,C8082,C8058,C8034,C8010,C7986,C7962,C7938,C7914,C7890)/POBLA!$B$17*100000</f>
        <v>59.674374489696341</v>
      </c>
      <c r="H8202" s="252">
        <f t="shared" si="655"/>
        <v>1.1612021857923498</v>
      </c>
    </row>
    <row r="8203" spans="1:8" ht="15.75" thickBot="1" x14ac:dyDescent="0.3">
      <c r="A8203" s="42" t="s">
        <v>36</v>
      </c>
      <c r="B8203" s="19">
        <v>44234</v>
      </c>
      <c r="C8203" s="4">
        <v>9</v>
      </c>
      <c r="D8203" s="21">
        <f t="shared" si="656"/>
        <v>14289</v>
      </c>
      <c r="F8203" s="57">
        <f t="shared" si="654"/>
        <v>202</v>
      </c>
      <c r="G8203" s="251">
        <f>SUM(C8203,C8179,C8155,C8131,C8107,C8083,C8059,C8035,C8011,C7987,C7963,C7939,C7915,C7891)/POBLA!$B$18*100000</f>
        <v>95.236022769601789</v>
      </c>
      <c r="H8203" s="252">
        <f t="shared" si="655"/>
        <v>0.63972484952708508</v>
      </c>
    </row>
    <row r="8204" spans="1:8" ht="15.75" thickBot="1" x14ac:dyDescent="0.3">
      <c r="A8204" s="42" t="s">
        <v>37</v>
      </c>
      <c r="B8204" s="19">
        <v>44234</v>
      </c>
      <c r="C8204" s="4">
        <v>1</v>
      </c>
      <c r="D8204" s="21">
        <f t="shared" si="656"/>
        <v>19106</v>
      </c>
      <c r="F8204" s="57">
        <f t="shared" si="654"/>
        <v>338</v>
      </c>
      <c r="G8204" s="251">
        <f>SUM(C8204,C8180,C8156,C8132,C8108,C8084,C8060,C8036,C8012,C7988,C7964,C7940,C7916,C7892)/POBLA!$B$19*100000</f>
        <v>128.46036417431264</v>
      </c>
      <c r="H8204" s="252">
        <f t="shared" si="655"/>
        <v>0.34206390780513357</v>
      </c>
    </row>
    <row r="8205" spans="1:8" ht="15.75" thickBot="1" x14ac:dyDescent="0.3">
      <c r="A8205" s="42" t="s">
        <v>38</v>
      </c>
      <c r="B8205" s="19">
        <v>44234</v>
      </c>
      <c r="C8205" s="4">
        <v>49</v>
      </c>
      <c r="D8205" s="21">
        <f t="shared" si="656"/>
        <v>33794</v>
      </c>
      <c r="E8205" s="4">
        <v>1</v>
      </c>
      <c r="F8205" s="57">
        <f t="shared" si="654"/>
        <v>516</v>
      </c>
      <c r="G8205" s="251">
        <f>SUM(C8205,C8181,C8157,C8133,C8109,C8085,C8061,C8037,C8013,C7989,C7965,C7941,C7917,C7893)/POBLA!$B$20*100000</f>
        <v>633.30945206153717</v>
      </c>
      <c r="H8205" s="252">
        <f t="shared" si="655"/>
        <v>0.54061624649859941</v>
      </c>
    </row>
    <row r="8206" spans="1:8" ht="15.75" thickBot="1" x14ac:dyDescent="0.3">
      <c r="A8206" s="42" t="s">
        <v>23</v>
      </c>
      <c r="B8206" s="19">
        <v>44234</v>
      </c>
      <c r="C8206" s="4">
        <v>157</v>
      </c>
      <c r="D8206" s="21">
        <f t="shared" si="656"/>
        <v>209205</v>
      </c>
      <c r="E8206" s="4">
        <v>3</v>
      </c>
      <c r="F8206" s="57">
        <f t="shared" si="654"/>
        <v>3705</v>
      </c>
      <c r="G8206" s="251">
        <f>SUM(C8206,C8182,C8158,C8134,C8110,C8086,C8062,C8038,C8014,C7990,C7966,C7942,C7918,C7894)/POBLA!$B$21*100000</f>
        <v>214.34117799423029</v>
      </c>
      <c r="H8206" s="252">
        <f t="shared" si="655"/>
        <v>0.49911108184631592</v>
      </c>
    </row>
    <row r="8207" spans="1:8" ht="15.75" thickBot="1" x14ac:dyDescent="0.3">
      <c r="A8207" s="42" t="s">
        <v>39</v>
      </c>
      <c r="B8207" s="19">
        <v>44234</v>
      </c>
      <c r="C8207" s="4">
        <v>84</v>
      </c>
      <c r="D8207" s="21">
        <f t="shared" si="656"/>
        <v>21433</v>
      </c>
      <c r="F8207" s="57">
        <f t="shared" si="654"/>
        <v>247</v>
      </c>
      <c r="G8207" s="251">
        <f>SUM(C8207,C8183,C8159,C8135,C8111,C8087,C8063,C8039,C8015,C7991,C7967,C7943,C7919,C7895)/POBLA!$B$22*100000</f>
        <v>106.81653008801887</v>
      </c>
      <c r="H8207" s="252">
        <f t="shared" si="655"/>
        <v>0.59006211180124224</v>
      </c>
    </row>
    <row r="8208" spans="1:8" ht="15.75" thickBot="1" x14ac:dyDescent="0.3">
      <c r="A8208" s="42" t="s">
        <v>40</v>
      </c>
      <c r="B8208" s="19">
        <v>44234</v>
      </c>
      <c r="C8208" s="4">
        <v>20</v>
      </c>
      <c r="D8208" s="21">
        <f t="shared" si="656"/>
        <v>22082</v>
      </c>
      <c r="E8208" s="4">
        <v>2</v>
      </c>
      <c r="F8208" s="57">
        <f t="shared" si="654"/>
        <v>340</v>
      </c>
      <c r="G8208" s="251">
        <f>SUM(C8208,C8184,C8160,C8136,C8112,C8088,C8064,C8040,C8016,C7992,C7968,C7944,C7920,C7896)/POBLA!$B$23*100000</f>
        <v>391.33631171181361</v>
      </c>
      <c r="H8208" s="252">
        <f t="shared" si="655"/>
        <v>0.5676784249384742</v>
      </c>
    </row>
    <row r="8209" spans="1:8" ht="15.75" thickBot="1" x14ac:dyDescent="0.3">
      <c r="A8209" s="42" t="s">
        <v>41</v>
      </c>
      <c r="B8209" s="19">
        <v>44234</v>
      </c>
      <c r="C8209" s="4">
        <v>66</v>
      </c>
      <c r="D8209" s="98">
        <f t="shared" si="656"/>
        <v>77310</v>
      </c>
      <c r="F8209" s="255">
        <f t="shared" si="654"/>
        <v>1438</v>
      </c>
      <c r="G8209" s="251">
        <f>SUM(C8209,C8185,C8161,C8137,C8113,C8089,C8065,C8041,C8017,C7993,C7969,C7945,C7921,C7897)/POBLA!$B$24*100000</f>
        <v>119.55228671777635</v>
      </c>
      <c r="H8209" s="257">
        <f t="shared" si="655"/>
        <v>0.8282910874897792</v>
      </c>
    </row>
    <row r="8210" spans="1:8" ht="15.75" thickBot="1" x14ac:dyDescent="0.3">
      <c r="A8210" s="42" t="s">
        <v>17</v>
      </c>
      <c r="B8210" s="19">
        <v>44235</v>
      </c>
      <c r="C8210" s="4">
        <v>2095</v>
      </c>
      <c r="D8210" s="97">
        <f t="shared" si="656"/>
        <v>828576</v>
      </c>
      <c r="E8210" s="4">
        <v>113</v>
      </c>
      <c r="F8210" s="250">
        <f>E8210+F8186</f>
        <v>25110</v>
      </c>
      <c r="G8210" s="251">
        <f>SUM(C8210,C8186,C8162,C8138,C8114,C8090,C8066,C8042,C8018,C7994,C7970,C7946,C7922,C7898)/POBLA!$B$1*100000</f>
        <v>269.07029594026983</v>
      </c>
      <c r="H8210" s="230">
        <f t="shared" ref="H8210:H8216" si="657">SUM(C8210,C8186,C8162,C8138,C8114,C8090,C8066,C8042,C8018,C7994,C7970,C7946,C7922,C7898)/SUM(C7874,C7850,C7826,C7802,C7778,C7754,C7730,C7706,C7682,C7658,C7634,C7610,C7586,C7562)</f>
        <v>0.83916506649598177</v>
      </c>
    </row>
    <row r="8211" spans="1:8" ht="15.75" thickBot="1" x14ac:dyDescent="0.3">
      <c r="A8211" s="42" t="s">
        <v>44</v>
      </c>
      <c r="B8211" s="19">
        <v>44235</v>
      </c>
      <c r="C8211" s="4">
        <v>699</v>
      </c>
      <c r="D8211" s="21">
        <f t="shared" si="656"/>
        <v>217766</v>
      </c>
      <c r="E8211" s="4">
        <v>29</v>
      </c>
      <c r="F8211" s="57">
        <f t="shared" ref="F8211:F8233" si="658">E8211+F8187</f>
        <v>6199</v>
      </c>
      <c r="G8211" s="251">
        <f>SUM(C8211,C8187,C8163,C8139,C8115,C8091,C8067,C8043,C8019,C7995,C7971,C7947,C7923,C7899)/POBLA!$B$2*100000</f>
        <v>457.10722235263745</v>
      </c>
      <c r="H8211" s="252">
        <f t="shared" si="657"/>
        <v>0.83909280811698006</v>
      </c>
    </row>
    <row r="8212" spans="1:8" ht="15.75" thickBot="1" x14ac:dyDescent="0.3">
      <c r="A8212" s="42" t="s">
        <v>29</v>
      </c>
      <c r="B8212" s="19">
        <v>44235</v>
      </c>
      <c r="C8212" s="4">
        <v>133</v>
      </c>
      <c r="D8212" s="21">
        <f t="shared" si="656"/>
        <v>6324</v>
      </c>
      <c r="F8212" s="57">
        <f t="shared" si="658"/>
        <v>17</v>
      </c>
      <c r="G8212" s="251">
        <f>SUM(C8212,C8188,C8164,C8140,C8116,C8092,C8068,C8044,C8020,C7996,C7972,C7948,C7924,C7900)/POBLA!$B$3*100000</f>
        <v>376.22942532941136</v>
      </c>
      <c r="H8212" s="252">
        <f t="shared" si="657"/>
        <v>1.0038535645472062</v>
      </c>
    </row>
    <row r="8213" spans="1:8" ht="15.75" thickBot="1" x14ac:dyDescent="0.3">
      <c r="A8213" s="42" t="s">
        <v>16</v>
      </c>
      <c r="B8213" s="19">
        <v>44235</v>
      </c>
      <c r="C8213" s="4">
        <v>64</v>
      </c>
      <c r="D8213" s="21">
        <f t="shared" si="656"/>
        <v>31730</v>
      </c>
      <c r="E8213" s="4">
        <v>12</v>
      </c>
      <c r="F8213" s="57">
        <f t="shared" si="658"/>
        <v>821</v>
      </c>
      <c r="G8213" s="251">
        <f>SUM(C8213,C8189,C8165,C8141,C8117,C8093,C8069,C8045,C8021,C7997,C7973,C7949,C7925,C7901)/POBLA!$B$4*100000</f>
        <v>152.75528188745756</v>
      </c>
      <c r="H8213" s="252">
        <f t="shared" si="657"/>
        <v>0.65550409690060563</v>
      </c>
    </row>
    <row r="8214" spans="1:8" ht="15.75" thickBot="1" x14ac:dyDescent="0.3">
      <c r="A8214" s="42" t="s">
        <v>30</v>
      </c>
      <c r="B8214" s="19">
        <v>44235</v>
      </c>
      <c r="C8214" s="4">
        <v>238</v>
      </c>
      <c r="D8214" s="21">
        <f t="shared" si="656"/>
        <v>44150</v>
      </c>
      <c r="E8214" s="4">
        <v>4</v>
      </c>
      <c r="F8214" s="57">
        <f t="shared" si="658"/>
        <v>675</v>
      </c>
      <c r="G8214" s="251">
        <f>SUM(C8214,C8190,C8166,C8142,C8118,C8094,C8070,C8046,C8022,C7998,C7974,C7950,C7926,C7902)/POBLA!$B$5*100000</f>
        <v>579.97331153452217</v>
      </c>
      <c r="H8214" s="252">
        <f t="shared" si="657"/>
        <v>0.7581837381203802</v>
      </c>
    </row>
    <row r="8215" spans="1:8" ht="15.75" thickBot="1" x14ac:dyDescent="0.3">
      <c r="A8215" s="42" t="s">
        <v>31</v>
      </c>
      <c r="B8215" s="19">
        <v>44235</v>
      </c>
      <c r="C8215" s="4">
        <v>82</v>
      </c>
      <c r="D8215" s="21">
        <f t="shared" si="656"/>
        <v>18815</v>
      </c>
      <c r="E8215" s="4">
        <v>2</v>
      </c>
      <c r="F8215" s="57">
        <f t="shared" si="658"/>
        <v>208</v>
      </c>
      <c r="G8215" s="251">
        <f>SUM(C8215,C8191,C8167,C8143,C8119,C8095,C8071,C8047,C8023,C7999,C7975,C7951,C7927,C7903)/POBLA!$B$7*100000</f>
        <v>62.545705966041297</v>
      </c>
      <c r="H8215" s="252">
        <f t="shared" si="657"/>
        <v>0.48049029622063327</v>
      </c>
    </row>
    <row r="8216" spans="1:8" ht="15.75" thickBot="1" x14ac:dyDescent="0.3">
      <c r="A8216" s="42" t="s">
        <v>21</v>
      </c>
      <c r="B8216" s="19">
        <v>44235</v>
      </c>
      <c r="C8216" s="4">
        <v>198</v>
      </c>
      <c r="D8216" s="21">
        <f t="shared" si="656"/>
        <v>148469</v>
      </c>
      <c r="E8216" s="4">
        <v>4</v>
      </c>
      <c r="F8216" s="57">
        <f t="shared" si="658"/>
        <v>2740</v>
      </c>
      <c r="G8216" s="251">
        <f>SUM(C8216,C8192,C8168,C8144,C8120,C8096,C8072,C8048,C8024,C8000,C7976,C7952,C7928,C7904)/POBLA!$B$6*100000</f>
        <v>592.87955667419999</v>
      </c>
      <c r="H8216" s="252">
        <f t="shared" si="657"/>
        <v>1.1830158447569876</v>
      </c>
    </row>
    <row r="8217" spans="1:8" ht="15.75" thickBot="1" x14ac:dyDescent="0.3">
      <c r="A8217" s="42" t="s">
        <v>32</v>
      </c>
      <c r="B8217" s="19">
        <v>44235</v>
      </c>
      <c r="C8217" s="4">
        <v>70</v>
      </c>
      <c r="D8217" s="21">
        <f t="shared" si="656"/>
        <v>42592</v>
      </c>
      <c r="E8217" s="4">
        <v>8</v>
      </c>
      <c r="F8217" s="57">
        <f t="shared" si="658"/>
        <v>769</v>
      </c>
      <c r="G8217" s="251">
        <f>SUM(C8217,C8193,C8169,C8145,C8121,C8097,C8073,C8049,C8025,C8001,C7977,C7953,C7929,C7905)/POBLA!$B$8*100000</f>
        <v>232.1133134337835</v>
      </c>
      <c r="H8217" s="252">
        <f t="shared" ref="H8217:H8233" si="659">SUM(C8217,C8193,C8169,C8145,C8121,C8097,C8073,C8049,C8025,C8001,C7977,C7953,C7929,C7905)/SUM(C7881,C7857,C7833,C7809,C7785,C7761,C7737,C7713,C7689,C7665,C7641,C7617,C7593,C7569)</f>
        <v>0.56887709991158264</v>
      </c>
    </row>
    <row r="8218" spans="1:8" ht="15.75" thickBot="1" x14ac:dyDescent="0.3">
      <c r="A8218" s="42" t="s">
        <v>42</v>
      </c>
      <c r="B8218" s="19">
        <v>44235</v>
      </c>
      <c r="C8218" s="4">
        <v>7</v>
      </c>
      <c r="D8218" s="21">
        <f t="shared" si="656"/>
        <v>885</v>
      </c>
      <c r="F8218" s="57">
        <f t="shared" si="658"/>
        <v>9</v>
      </c>
      <c r="G8218" s="251">
        <f>SUM(C8218,C8194,C8170,C8146,C8122,C8098,C8074,C8050,C8026,C8002,C7978,C7954,C7930,C7906)/POBLA!$B$9*100000</f>
        <v>12.888450461257813</v>
      </c>
      <c r="H8218" s="252">
        <f t="shared" si="659"/>
        <v>0.15757575757575756</v>
      </c>
    </row>
    <row r="8219" spans="1:8" ht="15.75" thickBot="1" x14ac:dyDescent="0.3">
      <c r="A8219" s="42" t="s">
        <v>33</v>
      </c>
      <c r="B8219" s="19">
        <v>44235</v>
      </c>
      <c r="C8219" s="4">
        <v>27</v>
      </c>
      <c r="D8219" s="21">
        <f t="shared" si="656"/>
        <v>19547</v>
      </c>
      <c r="F8219" s="57">
        <f t="shared" si="658"/>
        <v>885</v>
      </c>
      <c r="G8219" s="251">
        <f>SUM(C8219,C8195,C8171,C8147,C8123,C8099,C8075,C8051,C8027,C8003,C7979,C7955,C7931,C7907)/POBLA!$B$10*100000</f>
        <v>57.985603484843971</v>
      </c>
      <c r="H8219" s="252">
        <f t="shared" si="659"/>
        <v>1.1259445843828715</v>
      </c>
    </row>
    <row r="8220" spans="1:8" ht="15.75" thickBot="1" x14ac:dyDescent="0.3">
      <c r="A8220" s="42" t="s">
        <v>34</v>
      </c>
      <c r="B8220" s="19">
        <v>44235</v>
      </c>
      <c r="C8220" s="4">
        <v>103</v>
      </c>
      <c r="D8220" s="21">
        <f t="shared" si="656"/>
        <v>17191</v>
      </c>
      <c r="E8220" s="4">
        <v>5</v>
      </c>
      <c r="F8220" s="57">
        <f t="shared" si="658"/>
        <v>265</v>
      </c>
      <c r="G8220" s="251">
        <f>SUM(C8220,C8196,C8172,C8148,C8124,C8100,C8076,C8052,C8028,C8004,C7980,C7956,C7932,C7908)/POBLA!$B$11*100000</f>
        <v>361.85789056658518</v>
      </c>
      <c r="H8220" s="252">
        <f t="shared" si="659"/>
        <v>0.59196713829301684</v>
      </c>
    </row>
    <row r="8221" spans="1:8" ht="15.75" thickBot="1" x14ac:dyDescent="0.3">
      <c r="A8221" s="42" t="s">
        <v>22</v>
      </c>
      <c r="B8221" s="19">
        <v>44235</v>
      </c>
      <c r="C8221" s="4">
        <v>10</v>
      </c>
      <c r="D8221" s="21">
        <f t="shared" si="656"/>
        <v>9695</v>
      </c>
      <c r="E8221" s="4">
        <v>1</v>
      </c>
      <c r="F8221" s="57">
        <f t="shared" si="658"/>
        <v>415</v>
      </c>
      <c r="G8221" s="251">
        <f>SUM(C8221,C8197,C8173,C8149,C8125,C8101,C8077,C8053,C8029,C8005,C7981,C7957,C7933,C7909)/POBLA!$B$12*100000</f>
        <v>64.543835174357298</v>
      </c>
      <c r="H8221" s="252">
        <f t="shared" si="659"/>
        <v>1.1869158878504673</v>
      </c>
    </row>
    <row r="8222" spans="1:8" ht="15.75" thickBot="1" x14ac:dyDescent="0.3">
      <c r="A8222" s="42" t="s">
        <v>18</v>
      </c>
      <c r="B8222" s="19">
        <v>44235</v>
      </c>
      <c r="C8222" s="4">
        <v>118</v>
      </c>
      <c r="D8222" s="21">
        <f t="shared" si="656"/>
        <v>64846</v>
      </c>
      <c r="E8222" s="4">
        <v>3</v>
      </c>
      <c r="F8222" s="57">
        <f t="shared" si="658"/>
        <v>1401</v>
      </c>
      <c r="G8222" s="251">
        <f>SUM(C8222,C8198,C8174,C8150,C8126,C8102,C8078,C8054,C8030,C8006,C7982,C7958,C7934,C7910)/POBLA!$B$13*100000</f>
        <v>82.197094161896118</v>
      </c>
      <c r="H8222" s="252">
        <f t="shared" si="659"/>
        <v>0.90137741046831954</v>
      </c>
    </row>
    <row r="8223" spans="1:8" ht="15.75" thickBot="1" x14ac:dyDescent="0.3">
      <c r="A8223" s="42" t="s">
        <v>24</v>
      </c>
      <c r="B8223" s="19">
        <v>44235</v>
      </c>
      <c r="C8223" s="4">
        <v>56</v>
      </c>
      <c r="D8223" s="21">
        <f t="shared" si="656"/>
        <v>6118</v>
      </c>
      <c r="E8223" s="4">
        <v>2</v>
      </c>
      <c r="F8223" s="57">
        <f t="shared" si="658"/>
        <v>107</v>
      </c>
      <c r="G8223" s="251">
        <f>SUM(C8223,C8199,C8175,C8151,C8127,C8103,C8079,C8055,C8031,C8007,C7983,C7959,C7935,C7911)/POBLA!$B$14*100000</f>
        <v>198.68484270915425</v>
      </c>
      <c r="H8223" s="252">
        <f t="shared" si="659"/>
        <v>1.1699346405228759</v>
      </c>
    </row>
    <row r="8224" spans="1:8" ht="15.75" thickBot="1" x14ac:dyDescent="0.3">
      <c r="A8224" s="42" t="s">
        <v>20</v>
      </c>
      <c r="B8224" s="19">
        <v>44235</v>
      </c>
      <c r="C8224" s="4">
        <v>272</v>
      </c>
      <c r="D8224" s="21">
        <f t="shared" si="656"/>
        <v>56927</v>
      </c>
      <c r="E8224" s="4">
        <v>1</v>
      </c>
      <c r="F8224" s="57">
        <f t="shared" si="658"/>
        <v>795</v>
      </c>
      <c r="G8224" s="251">
        <f>SUM(C8224,C8200,C8176,C8152,C8128,C8104,C8080,C8056,C8032,C8008,C7984,C7960,C7936,C7912)/POBLA!$B$15*100000</f>
        <v>811.6773108332568</v>
      </c>
      <c r="H8224" s="252">
        <f t="shared" si="659"/>
        <v>0.90103644266131733</v>
      </c>
    </row>
    <row r="8225" spans="1:8" ht="15.75" thickBot="1" x14ac:dyDescent="0.3">
      <c r="A8225" s="42" t="s">
        <v>19</v>
      </c>
      <c r="B8225" s="19">
        <v>44235</v>
      </c>
      <c r="C8225" s="4">
        <v>213</v>
      </c>
      <c r="D8225" s="21">
        <f t="shared" si="656"/>
        <v>49590</v>
      </c>
      <c r="E8225" s="4">
        <v>4</v>
      </c>
      <c r="F8225" s="57">
        <f t="shared" si="658"/>
        <v>1102</v>
      </c>
      <c r="G8225" s="251">
        <f>SUM(C8225,C8201,C8177,C8153,C8129,C8105,C8081,C8057,C8033,C8009,C7985,C7961,C7937,C7913)/POBLA!$B$16*100000</f>
        <v>449.03091183906054</v>
      </c>
      <c r="H8225" s="252">
        <f t="shared" si="659"/>
        <v>0.76312798363264378</v>
      </c>
    </row>
    <row r="8226" spans="1:8" ht="15.75" thickBot="1" x14ac:dyDescent="0.3">
      <c r="A8226" s="42" t="s">
        <v>35</v>
      </c>
      <c r="B8226" s="19">
        <v>44235</v>
      </c>
      <c r="C8226" s="4">
        <v>26</v>
      </c>
      <c r="D8226" s="21">
        <f t="shared" si="656"/>
        <v>24318</v>
      </c>
      <c r="F8226" s="57">
        <f t="shared" si="658"/>
        <v>1053</v>
      </c>
      <c r="G8226" s="251">
        <f>SUM(C8226,C8202,C8178,C8154,C8130,C8106,C8082,C8058,C8034,C8010,C7986,C7962,C7938,C7914)/POBLA!$B$17*100000</f>
        <v>59.955195075530213</v>
      </c>
      <c r="H8226" s="252">
        <f t="shared" si="659"/>
        <v>1.2113475177304964</v>
      </c>
    </row>
    <row r="8227" spans="1:8" ht="15.75" thickBot="1" x14ac:dyDescent="0.3">
      <c r="A8227" s="42" t="s">
        <v>36</v>
      </c>
      <c r="B8227" s="19">
        <v>44235</v>
      </c>
      <c r="C8227" s="4">
        <v>48</v>
      </c>
      <c r="D8227" s="21">
        <f t="shared" si="656"/>
        <v>14337</v>
      </c>
      <c r="F8227" s="57">
        <f t="shared" si="658"/>
        <v>202</v>
      </c>
      <c r="G8227" s="251">
        <f>SUM(C8227,C8203,C8179,C8155,C8131,C8107,C8083,C8059,C8035,C8011,C7987,C7963,C7939,C7915)/POBLA!$B$18*100000</f>
        <v>91.139849747253322</v>
      </c>
      <c r="H8227" s="252">
        <f t="shared" si="659"/>
        <v>0.61538461538461542</v>
      </c>
    </row>
    <row r="8228" spans="1:8" ht="15.75" thickBot="1" x14ac:dyDescent="0.3">
      <c r="A8228" s="42" t="s">
        <v>37</v>
      </c>
      <c r="B8228" s="19">
        <v>44235</v>
      </c>
      <c r="C8228" s="4">
        <v>6</v>
      </c>
      <c r="D8228" s="21">
        <f t="shared" si="656"/>
        <v>19112</v>
      </c>
      <c r="F8228" s="57">
        <f t="shared" si="658"/>
        <v>338</v>
      </c>
      <c r="G8228" s="251">
        <f>SUM(C8228,C8204,C8180,C8156,C8132,C8108,C8084,C8060,C8036,C8012,C7988,C7964,C7940,C7916)/POBLA!$B$19*100000</f>
        <v>70.623691789553206</v>
      </c>
      <c r="H8228" s="252">
        <f t="shared" si="659"/>
        <v>0.16775700934579441</v>
      </c>
    </row>
    <row r="8229" spans="1:8" ht="15.75" thickBot="1" x14ac:dyDescent="0.3">
      <c r="A8229" s="42" t="s">
        <v>38</v>
      </c>
      <c r="B8229" s="19">
        <v>44235</v>
      </c>
      <c r="C8229" s="4">
        <v>133</v>
      </c>
      <c r="D8229" s="21">
        <f t="shared" si="656"/>
        <v>33927</v>
      </c>
      <c r="E8229" s="4">
        <v>1</v>
      </c>
      <c r="F8229" s="57">
        <f t="shared" si="658"/>
        <v>517</v>
      </c>
      <c r="G8229" s="251">
        <f>SUM(C8229,C8205,C8181,C8157,C8133,C8109,C8085,C8061,C8037,C8013,C7989,C7965,C7941,C7917)/POBLA!$B$20*100000</f>
        <v>624.0121630416354</v>
      </c>
      <c r="H8229" s="252">
        <f t="shared" si="659"/>
        <v>0.55536626916524701</v>
      </c>
    </row>
    <row r="8230" spans="1:8" ht="15.75" thickBot="1" x14ac:dyDescent="0.3">
      <c r="A8230" s="42" t="s">
        <v>23</v>
      </c>
      <c r="B8230" s="19">
        <v>44235</v>
      </c>
      <c r="C8230" s="4">
        <v>297</v>
      </c>
      <c r="D8230" s="21">
        <f t="shared" si="656"/>
        <v>209502</v>
      </c>
      <c r="E8230" s="4">
        <v>32</v>
      </c>
      <c r="F8230" s="57">
        <f t="shared" si="658"/>
        <v>3737</v>
      </c>
      <c r="G8230" s="251">
        <f>SUM(C8230,C8206,C8182,C8158,C8134,C8110,C8086,C8062,C8038,C8014,C7990,C7966,C7942,C7918)/POBLA!$B$21*100000</f>
        <v>209.10989594555849</v>
      </c>
      <c r="H8230" s="252">
        <f t="shared" si="659"/>
        <v>0.5066109474549565</v>
      </c>
    </row>
    <row r="8231" spans="1:8" ht="15.75" thickBot="1" x14ac:dyDescent="0.3">
      <c r="A8231" s="42" t="s">
        <v>39</v>
      </c>
      <c r="B8231" s="19">
        <v>44235</v>
      </c>
      <c r="C8231" s="4">
        <v>59</v>
      </c>
      <c r="D8231" s="21">
        <f t="shared" si="656"/>
        <v>21492</v>
      </c>
      <c r="E8231" s="4">
        <v>4</v>
      </c>
      <c r="F8231" s="57">
        <f t="shared" si="658"/>
        <v>251</v>
      </c>
      <c r="G8231" s="251">
        <f>SUM(C8231,C8207,C8183,C8159,C8135,C8111,C8087,C8063,C8039,C8015,C7991,C7967,C7943,C7919)/POBLA!$B$22*100000</f>
        <v>104.26111070792271</v>
      </c>
      <c r="H8231" s="252">
        <f t="shared" si="659"/>
        <v>0.60570071258907365</v>
      </c>
    </row>
    <row r="8232" spans="1:8" ht="15.75" thickBot="1" x14ac:dyDescent="0.3">
      <c r="A8232" s="42" t="s">
        <v>40</v>
      </c>
      <c r="B8232" s="19">
        <v>44235</v>
      </c>
      <c r="C8232" s="4">
        <v>93</v>
      </c>
      <c r="D8232" s="21">
        <f t="shared" si="656"/>
        <v>22175</v>
      </c>
      <c r="E8232" s="4">
        <v>2</v>
      </c>
      <c r="F8232" s="57">
        <f t="shared" si="658"/>
        <v>342</v>
      </c>
      <c r="G8232" s="251">
        <f>SUM(C8232,C8208,C8184,C8160,C8136,C8112,C8088,C8064,C8040,C8016,C7992,C7968,C7944,C7920)/POBLA!$B$23*100000</f>
        <v>370.41226036306057</v>
      </c>
      <c r="H8232" s="252">
        <f t="shared" si="659"/>
        <v>0.51819620253164556</v>
      </c>
    </row>
    <row r="8233" spans="1:8" ht="15.75" thickBot="1" x14ac:dyDescent="0.3">
      <c r="A8233" s="42" t="s">
        <v>41</v>
      </c>
      <c r="B8233" s="19">
        <v>44235</v>
      </c>
      <c r="C8233" s="4">
        <v>107</v>
      </c>
      <c r="D8233" s="98">
        <f t="shared" si="656"/>
        <v>77417</v>
      </c>
      <c r="F8233" s="255">
        <f t="shared" si="658"/>
        <v>1438</v>
      </c>
      <c r="G8233" s="251">
        <f>SUM(C8233,C8209,C8185,C8161,C8137,C8113,C8089,C8065,C8041,C8017,C7993,C7969,C7945,C7921)/POBLA!$B$24*100000</f>
        <v>117.6639978851165</v>
      </c>
      <c r="H8233" s="257">
        <f t="shared" si="659"/>
        <v>0.85800344234079173</v>
      </c>
    </row>
    <row r="8234" spans="1:8" ht="15.75" thickBot="1" x14ac:dyDescent="0.3">
      <c r="A8234" s="42" t="s">
        <v>17</v>
      </c>
      <c r="B8234" s="19">
        <v>44236</v>
      </c>
      <c r="C8234" s="4">
        <v>3363</v>
      </c>
      <c r="D8234" s="97">
        <f t="shared" si="656"/>
        <v>831939</v>
      </c>
      <c r="E8234" s="4">
        <v>97</v>
      </c>
      <c r="F8234" s="250">
        <f>E8234+F8210</f>
        <v>25207</v>
      </c>
      <c r="G8234" s="251">
        <f>SUM(C8234,C8210,C8186,C8162,C8138,C8114,C8090,C8066,C8042,C8018,C7994,C7970,C7946,C7922)/POBLA!$B$1*100000</f>
        <v>262.16652611138579</v>
      </c>
      <c r="H8234" s="230">
        <f t="shared" ref="H8234:H8240" si="660">SUM(C8234,C8210,C8186,C8162,C8138,C8114,C8090,C8066,C8042,C8018,C7994,C7970,C7946,C7922)/SUM(C7898,C7874,C7850,C7826,C7802,C7778,C7754,C7730,C7706,C7682,C7658,C7634,C7610,C7586)</f>
        <v>0.82995542240430253</v>
      </c>
    </row>
    <row r="8235" spans="1:8" ht="15.75" thickBot="1" x14ac:dyDescent="0.3">
      <c r="A8235" s="42" t="s">
        <v>44</v>
      </c>
      <c r="B8235" s="19">
        <v>44236</v>
      </c>
      <c r="C8235" s="4">
        <v>986</v>
      </c>
      <c r="D8235" s="21">
        <f t="shared" si="656"/>
        <v>218752</v>
      </c>
      <c r="E8235" s="4">
        <v>3</v>
      </c>
      <c r="F8235" s="57">
        <f t="shared" ref="F8235:F8257" si="661">E8235+F8211</f>
        <v>6202</v>
      </c>
      <c r="G8235" s="251">
        <f>SUM(C8235,C8211,C8187,C8163,C8139,C8115,C8091,C8067,C8043,C8019,C7995,C7971,C7947,C7923)/POBLA!$B$2*100000</f>
        <v>447.2231199559377</v>
      </c>
      <c r="H8235" s="252">
        <f t="shared" si="660"/>
        <v>0.83429368593437259</v>
      </c>
    </row>
    <row r="8236" spans="1:8" ht="15.75" thickBot="1" x14ac:dyDescent="0.3">
      <c r="A8236" s="42" t="s">
        <v>29</v>
      </c>
      <c r="B8236" s="19">
        <v>44236</v>
      </c>
      <c r="C8236" s="4">
        <v>83</v>
      </c>
      <c r="D8236" s="21">
        <f t="shared" si="656"/>
        <v>6407</v>
      </c>
      <c r="F8236" s="57">
        <f t="shared" si="661"/>
        <v>17</v>
      </c>
      <c r="G8236" s="251">
        <f>SUM(C8236,C8212,C8188,C8164,C8140,C8116,C8092,C8068,C8044,C8020,C7996,C7972,C7948,C7924)/POBLA!$B$3*100000</f>
        <v>377.67368415985061</v>
      </c>
      <c r="H8236" s="252">
        <f t="shared" si="660"/>
        <v>1.0109536082474226</v>
      </c>
    </row>
    <row r="8237" spans="1:8" ht="15.75" thickBot="1" x14ac:dyDescent="0.3">
      <c r="A8237" s="42" t="s">
        <v>16</v>
      </c>
      <c r="B8237" s="19">
        <v>44236</v>
      </c>
      <c r="C8237" s="4">
        <v>161</v>
      </c>
      <c r="D8237" s="21">
        <f t="shared" si="656"/>
        <v>31891</v>
      </c>
      <c r="E8237" s="4">
        <v>2</v>
      </c>
      <c r="F8237" s="57">
        <f t="shared" si="661"/>
        <v>823</v>
      </c>
      <c r="G8237" s="251">
        <f>SUM(C8237,C8213,C8189,C8165,C8141,C8117,C8093,C8069,C8045,C8021,C7997,C7973,C7949,C7925)/POBLA!$B$4*100000</f>
        <v>151.42697508843617</v>
      </c>
      <c r="H8237" s="252">
        <f t="shared" si="660"/>
        <v>0.67132867132867136</v>
      </c>
    </row>
    <row r="8238" spans="1:8" ht="15.75" thickBot="1" x14ac:dyDescent="0.3">
      <c r="A8238" s="42" t="s">
        <v>30</v>
      </c>
      <c r="B8238" s="19">
        <v>44236</v>
      </c>
      <c r="C8238" s="4">
        <v>251</v>
      </c>
      <c r="D8238" s="21">
        <f t="shared" si="656"/>
        <v>44401</v>
      </c>
      <c r="E8238" s="4">
        <v>2</v>
      </c>
      <c r="F8238" s="57">
        <f t="shared" si="661"/>
        <v>677</v>
      </c>
      <c r="G8238" s="251">
        <f>SUM(C8238,C8214,C8190,C8166,C8142,C8118,C8094,C8070,C8046,C8022,C7998,C7974,C7950,C7926)/POBLA!$B$5*100000</f>
        <v>568.82619217633771</v>
      </c>
      <c r="H8238" s="252">
        <f t="shared" si="660"/>
        <v>0.79070289692342244</v>
      </c>
    </row>
    <row r="8239" spans="1:8" ht="15.75" thickBot="1" x14ac:dyDescent="0.3">
      <c r="A8239" s="42" t="s">
        <v>31</v>
      </c>
      <c r="B8239" s="19">
        <v>44236</v>
      </c>
      <c r="C8239" s="4">
        <v>159</v>
      </c>
      <c r="D8239" s="21">
        <f t="shared" si="656"/>
        <v>18974</v>
      </c>
      <c r="F8239" s="57">
        <f t="shared" si="661"/>
        <v>208</v>
      </c>
      <c r="G8239" s="251">
        <f>SUM(C8239,C8215,C8191,C8167,C8143,C8119,C8095,C8071,C8047,C8023,C7999,C7975,C7951,C7927)/POBLA!$B$7*100000</f>
        <v>62.332965469558168</v>
      </c>
      <c r="H8239" s="252">
        <f t="shared" si="660"/>
        <v>0.54868913857677903</v>
      </c>
    </row>
    <row r="8240" spans="1:8" ht="15.75" thickBot="1" x14ac:dyDescent="0.3">
      <c r="A8240" s="42" t="s">
        <v>21</v>
      </c>
      <c r="B8240" s="19">
        <v>44236</v>
      </c>
      <c r="C8240" s="4">
        <v>680</v>
      </c>
      <c r="D8240" s="21">
        <f t="shared" si="656"/>
        <v>149149</v>
      </c>
      <c r="E8240" s="4">
        <v>5</v>
      </c>
      <c r="F8240" s="57">
        <f t="shared" si="661"/>
        <v>2745</v>
      </c>
      <c r="G8240" s="251">
        <f>SUM(C8240,C8216,C8192,C8168,C8144,C8120,C8096,C8072,C8048,C8024,C8000,C7976,C7952,C7928)/POBLA!$B$6*100000</f>
        <v>594.48555095864469</v>
      </c>
      <c r="H8240" s="252">
        <f t="shared" si="660"/>
        <v>1.1047919084728901</v>
      </c>
    </row>
    <row r="8241" spans="1:8" ht="15.75" thickBot="1" x14ac:dyDescent="0.3">
      <c r="A8241" s="42" t="s">
        <v>32</v>
      </c>
      <c r="B8241" s="19">
        <v>44236</v>
      </c>
      <c r="C8241" s="4">
        <v>200</v>
      </c>
      <c r="D8241" s="21">
        <f t="shared" si="656"/>
        <v>42792</v>
      </c>
      <c r="E8241" s="4">
        <v>3</v>
      </c>
      <c r="F8241" s="57">
        <f t="shared" si="661"/>
        <v>772</v>
      </c>
      <c r="G8241" s="251">
        <f>SUM(C8241,C8217,C8193,C8169,C8145,C8121,C8097,C8073,C8049,C8025,C8001,C7977,C7953,C7929)/POBLA!$B$8*100000</f>
        <v>222.58923591645072</v>
      </c>
      <c r="H8241" s="252">
        <f t="shared" ref="H8241:H8257" si="662">SUM(C8241,C8217,C8193,C8169,C8145,C8121,C8097,C8073,C8049,C8025,C8001,C7977,C7953,C7929)/SUM(C7905,C7881,C7857,C7833,C7809,C7785,C7761,C7737,C7713,C7689,C7665,C7641,C7617,C7593)</f>
        <v>0.56070519810977826</v>
      </c>
    </row>
    <row r="8242" spans="1:8" ht="15.75" thickBot="1" x14ac:dyDescent="0.3">
      <c r="A8242" s="42" t="s">
        <v>42</v>
      </c>
      <c r="B8242" s="19">
        <v>44236</v>
      </c>
      <c r="C8242" s="4">
        <v>3</v>
      </c>
      <c r="D8242" s="21">
        <f t="shared" si="656"/>
        <v>888</v>
      </c>
      <c r="F8242" s="57">
        <f t="shared" si="661"/>
        <v>9</v>
      </c>
      <c r="G8242" s="251">
        <f>SUM(C8242,C8218,C8194,C8170,C8146,C8122,C8098,C8074,C8050,C8026,C8002,C7978,C7954,C7930)/POBLA!$B$9*100000</f>
        <v>12.227504283757412</v>
      </c>
      <c r="H8242" s="252">
        <f t="shared" si="662"/>
        <v>0.1670428893905192</v>
      </c>
    </row>
    <row r="8243" spans="1:8" ht="15.75" thickBot="1" x14ac:dyDescent="0.3">
      <c r="A8243" s="42" t="s">
        <v>33</v>
      </c>
      <c r="B8243" s="19">
        <v>44236</v>
      </c>
      <c r="C8243" s="4">
        <v>45</v>
      </c>
      <c r="D8243" s="21">
        <f t="shared" si="656"/>
        <v>19592</v>
      </c>
      <c r="E8243" s="4">
        <v>2</v>
      </c>
      <c r="F8243" s="57">
        <f t="shared" si="661"/>
        <v>887</v>
      </c>
      <c r="G8243" s="251">
        <f>SUM(C8243,C8219,C8195,C8171,C8147,C8123,C8099,C8075,C8051,C8027,C8003,C7979,C7955,C7931)/POBLA!$B$10*100000</f>
        <v>56.428942988606536</v>
      </c>
      <c r="H8243" s="252">
        <f t="shared" si="662"/>
        <v>0.99315068493150682</v>
      </c>
    </row>
    <row r="8244" spans="1:8" ht="15.75" thickBot="1" x14ac:dyDescent="0.3">
      <c r="A8244" s="42" t="s">
        <v>34</v>
      </c>
      <c r="B8244" s="19">
        <v>44236</v>
      </c>
      <c r="C8244" s="4">
        <v>99</v>
      </c>
      <c r="D8244" s="21">
        <f t="shared" si="656"/>
        <v>17290</v>
      </c>
      <c r="F8244" s="57">
        <f t="shared" si="661"/>
        <v>265</v>
      </c>
      <c r="G8244" s="251">
        <f>SUM(C8244,C8220,C8196,C8172,C8148,C8124,C8100,C8076,C8052,C8028,C8004,C7980,C7956,C7932)/POBLA!$B$11*100000</f>
        <v>362.69487874831208</v>
      </c>
      <c r="H8244" s="252">
        <f t="shared" si="662"/>
        <v>0.67183462532299743</v>
      </c>
    </row>
    <row r="8245" spans="1:8" ht="15.75" thickBot="1" x14ac:dyDescent="0.3">
      <c r="A8245" s="42" t="s">
        <v>22</v>
      </c>
      <c r="B8245" s="19">
        <v>44236</v>
      </c>
      <c r="C8245" s="4">
        <v>9</v>
      </c>
      <c r="D8245" s="21">
        <f t="shared" si="656"/>
        <v>9704</v>
      </c>
      <c r="F8245" s="57">
        <f t="shared" si="661"/>
        <v>415</v>
      </c>
      <c r="G8245" s="251">
        <f>SUM(C8245,C8221,C8197,C8173,C8149,C8125,C8101,C8077,C8053,C8029,C8005,C7981,C7957,C7933)/POBLA!$B$12*100000</f>
        <v>64.035615999756061</v>
      </c>
      <c r="H8245" s="252">
        <f t="shared" si="662"/>
        <v>1.1666666666666667</v>
      </c>
    </row>
    <row r="8246" spans="1:8" ht="15.75" thickBot="1" x14ac:dyDescent="0.3">
      <c r="A8246" s="42" t="s">
        <v>18</v>
      </c>
      <c r="B8246" s="19">
        <v>44236</v>
      </c>
      <c r="C8246" s="4">
        <v>194</v>
      </c>
      <c r="D8246" s="21">
        <f t="shared" si="656"/>
        <v>65040</v>
      </c>
      <c r="E8246" s="4">
        <v>3</v>
      </c>
      <c r="F8246" s="57">
        <f t="shared" si="661"/>
        <v>1404</v>
      </c>
      <c r="G8246" s="251">
        <f>SUM(C8246,C8222,C8198,C8174,C8150,C8126,C8102,C8078,C8054,C8030,C8006,C7982,C7958,C7934)/POBLA!$B$13*100000</f>
        <v>86.316997414509501</v>
      </c>
      <c r="H8246" s="252">
        <f t="shared" si="662"/>
        <v>0.9924898902368573</v>
      </c>
    </row>
    <row r="8247" spans="1:8" ht="15.75" thickBot="1" x14ac:dyDescent="0.3">
      <c r="A8247" s="42" t="s">
        <v>24</v>
      </c>
      <c r="B8247" s="19">
        <v>44236</v>
      </c>
      <c r="C8247" s="4">
        <v>97</v>
      </c>
      <c r="D8247" s="21">
        <f t="shared" si="656"/>
        <v>6215</v>
      </c>
      <c r="E8247" s="4">
        <v>2</v>
      </c>
      <c r="F8247" s="57">
        <f t="shared" si="661"/>
        <v>109</v>
      </c>
      <c r="G8247" s="251">
        <f>SUM(C8247,C8223,C8199,C8175,C8151,C8127,C8103,C8079,C8055,C8031,C8007,C7983,C7959,C7935)/POBLA!$B$14*100000</f>
        <v>192.97641945494073</v>
      </c>
      <c r="H8247" s="252">
        <f t="shared" si="662"/>
        <v>1.076514816452897</v>
      </c>
    </row>
    <row r="8248" spans="1:8" ht="15.75" thickBot="1" x14ac:dyDescent="0.3">
      <c r="A8248" s="42" t="s">
        <v>20</v>
      </c>
      <c r="B8248" s="19">
        <v>44236</v>
      </c>
      <c r="C8248" s="4">
        <v>309</v>
      </c>
      <c r="D8248" s="21">
        <f t="shared" si="656"/>
        <v>57236</v>
      </c>
      <c r="E8248" s="4">
        <v>7</v>
      </c>
      <c r="F8248" s="57">
        <f t="shared" si="661"/>
        <v>802</v>
      </c>
      <c r="G8248" s="251">
        <f>SUM(C8248,C8224,C8200,C8176,C8152,C8128,C8104,C8080,C8056,C8032,C8008,C7984,C7960,C7936)/POBLA!$B$15*100000</f>
        <v>782.01118277497255</v>
      </c>
      <c r="H8248" s="252">
        <f t="shared" si="662"/>
        <v>0.88906009244992301</v>
      </c>
    </row>
    <row r="8249" spans="1:8" ht="15.75" thickBot="1" x14ac:dyDescent="0.3">
      <c r="A8249" s="42" t="s">
        <v>19</v>
      </c>
      <c r="B8249" s="19">
        <v>44236</v>
      </c>
      <c r="C8249" s="4">
        <v>206</v>
      </c>
      <c r="D8249" s="21">
        <f t="shared" si="656"/>
        <v>49796</v>
      </c>
      <c r="E8249" s="4">
        <v>3</v>
      </c>
      <c r="F8249" s="57">
        <f t="shared" si="661"/>
        <v>1105</v>
      </c>
      <c r="G8249" s="251">
        <f>SUM(C8249,C8225,C8201,C8177,C8153,C8129,C8105,C8081,C8057,C8033,C8009,C7985,C7961,C7937)/POBLA!$B$16*100000</f>
        <v>424.01787027995886</v>
      </c>
      <c r="H8249" s="252">
        <f t="shared" si="662"/>
        <v>0.72390956839461063</v>
      </c>
    </row>
    <row r="8250" spans="1:8" ht="15.75" thickBot="1" x14ac:dyDescent="0.3">
      <c r="A8250" s="42" t="s">
        <v>35</v>
      </c>
      <c r="B8250" s="19">
        <v>44236</v>
      </c>
      <c r="C8250" s="4">
        <v>95</v>
      </c>
      <c r="D8250" s="21">
        <f t="shared" si="656"/>
        <v>24413</v>
      </c>
      <c r="F8250" s="57">
        <f t="shared" si="661"/>
        <v>1053</v>
      </c>
      <c r="G8250" s="251">
        <f>SUM(C8250,C8226,C8202,C8178,C8154,C8130,C8106,C8082,C8058,C8034,C8010,C7986,C7962,C7938)/POBLA!$B$17*100000</f>
        <v>61.991144322825726</v>
      </c>
      <c r="H8250" s="252">
        <f t="shared" si="662"/>
        <v>1.2029972752043596</v>
      </c>
    </row>
    <row r="8251" spans="1:8" ht="15.75" thickBot="1" x14ac:dyDescent="0.3">
      <c r="A8251" s="42" t="s">
        <v>36</v>
      </c>
      <c r="B8251" s="19">
        <v>44236</v>
      </c>
      <c r="C8251" s="4">
        <v>68</v>
      </c>
      <c r="D8251" s="21">
        <f t="shared" si="656"/>
        <v>14405</v>
      </c>
      <c r="E8251" s="4">
        <v>1</v>
      </c>
      <c r="F8251" s="57">
        <f t="shared" si="661"/>
        <v>203</v>
      </c>
      <c r="G8251" s="251">
        <f>SUM(C8251,C8227,C8203,C8179,C8155,C8131,C8107,C8083,C8059,C8035,C8011,C7987,C7963,C7939)/POBLA!$B$18*100000</f>
        <v>89.859795677769426</v>
      </c>
      <c r="H8251" s="252">
        <f t="shared" si="662"/>
        <v>0.68354430379746833</v>
      </c>
    </row>
    <row r="8252" spans="1:8" ht="15.75" thickBot="1" x14ac:dyDescent="0.3">
      <c r="A8252" s="42" t="s">
        <v>37</v>
      </c>
      <c r="B8252" s="19">
        <v>44236</v>
      </c>
      <c r="C8252" s="4">
        <v>7</v>
      </c>
      <c r="D8252" s="21">
        <f t="shared" si="656"/>
        <v>19119</v>
      </c>
      <c r="F8252" s="57">
        <f t="shared" si="661"/>
        <v>338</v>
      </c>
      <c r="G8252" s="251">
        <f>SUM(C8252,C8228,C8204,C8180,C8156,C8132,C8108,C8084,C8060,C8036,C8012,C7988,C7964,C7940)/POBLA!$B$19*100000</f>
        <v>63.148203522135312</v>
      </c>
      <c r="H8252" s="252">
        <f t="shared" si="662"/>
        <v>0.15042174320524837</v>
      </c>
    </row>
    <row r="8253" spans="1:8" ht="15.75" thickBot="1" x14ac:dyDescent="0.3">
      <c r="A8253" s="42" t="s">
        <v>38</v>
      </c>
      <c r="B8253" s="19">
        <v>44236</v>
      </c>
      <c r="C8253" s="4">
        <v>123</v>
      </c>
      <c r="D8253" s="21">
        <f t="shared" si="656"/>
        <v>34050</v>
      </c>
      <c r="E8253" s="4">
        <v>3</v>
      </c>
      <c r="F8253" s="57">
        <f t="shared" si="661"/>
        <v>520</v>
      </c>
      <c r="G8253" s="251">
        <f>SUM(C8253,C8229,C8205,C8181,C8157,C8133,C8109,C8085,C8061,C8037,C8013,C7989,C7965,C7941)/POBLA!$B$20*100000</f>
        <v>608.15208177239151</v>
      </c>
      <c r="H8253" s="252">
        <f t="shared" si="662"/>
        <v>0.57069540672312036</v>
      </c>
    </row>
    <row r="8254" spans="1:8" ht="15.75" thickBot="1" x14ac:dyDescent="0.3">
      <c r="A8254" s="42" t="s">
        <v>23</v>
      </c>
      <c r="B8254" s="19">
        <v>44236</v>
      </c>
      <c r="C8254" s="4">
        <v>479</v>
      </c>
      <c r="D8254" s="21">
        <f t="shared" si="656"/>
        <v>209981</v>
      </c>
      <c r="E8254" s="4">
        <v>22</v>
      </c>
      <c r="F8254" s="57">
        <f t="shared" si="661"/>
        <v>3759</v>
      </c>
      <c r="G8254" s="251">
        <f>SUM(C8254,C8230,C8206,C8182,C8158,C8134,C8110,C8086,C8062,C8038,C8014,C7990,C7966,C7942)/POBLA!$B$21*100000</f>
        <v>200.881230668999</v>
      </c>
      <c r="H8254" s="252">
        <f t="shared" si="662"/>
        <v>0.50986865714490781</v>
      </c>
    </row>
    <row r="8255" spans="1:8" ht="15.75" thickBot="1" x14ac:dyDescent="0.3">
      <c r="A8255" s="42" t="s">
        <v>39</v>
      </c>
      <c r="B8255" s="19">
        <v>44236</v>
      </c>
      <c r="C8255" s="4">
        <v>50</v>
      </c>
      <c r="D8255" s="21">
        <f t="shared" si="656"/>
        <v>21542</v>
      </c>
      <c r="E8255" s="4">
        <v>2</v>
      </c>
      <c r="F8255" s="57">
        <f t="shared" si="661"/>
        <v>253</v>
      </c>
      <c r="G8255" s="251">
        <f>SUM(C8255,C8231,C8207,C8183,C8159,C8135,C8111,C8087,C8063,C8039,C8015,C7991,C7967,C7943)/POBLA!$B$22*100000</f>
        <v>101.29682422701119</v>
      </c>
      <c r="H8255" s="252">
        <f t="shared" si="662"/>
        <v>0.59555288461538458</v>
      </c>
    </row>
    <row r="8256" spans="1:8" ht="15.75" thickBot="1" x14ac:dyDescent="0.3">
      <c r="A8256" s="42" t="s">
        <v>40</v>
      </c>
      <c r="B8256" s="19">
        <v>44236</v>
      </c>
      <c r="C8256" s="4">
        <v>33</v>
      </c>
      <c r="D8256" s="21">
        <f t="shared" si="656"/>
        <v>22208</v>
      </c>
      <c r="F8256" s="57">
        <f t="shared" si="661"/>
        <v>342</v>
      </c>
      <c r="G8256" s="251">
        <f>SUM(C8256,C8232,C8208,C8184,C8160,C8136,C8112,C8088,C8064,C8040,C8016,C7992,C7968,C7944)/POBLA!$B$23*100000</f>
        <v>359.66747723802524</v>
      </c>
      <c r="H8256" s="252">
        <f t="shared" si="662"/>
        <v>0.5412765957446809</v>
      </c>
    </row>
    <row r="8257" spans="1:8" ht="15.75" thickBot="1" x14ac:dyDescent="0.3">
      <c r="A8257" s="42" t="s">
        <v>41</v>
      </c>
      <c r="B8257" s="19">
        <v>44236</v>
      </c>
      <c r="C8257" s="4">
        <v>94</v>
      </c>
      <c r="D8257" s="98">
        <f t="shared" si="656"/>
        <v>77511</v>
      </c>
      <c r="E8257" s="4">
        <v>11</v>
      </c>
      <c r="F8257" s="255">
        <f t="shared" si="661"/>
        <v>1449</v>
      </c>
      <c r="G8257" s="251">
        <f>SUM(C8257,C8233,C8209,C8185,C8161,C8137,C8113,C8089,C8065,C8041,C8017,C7993,C7969,C7945)/POBLA!$B$24*100000</f>
        <v>112.11714943917821</v>
      </c>
      <c r="H8257" s="257">
        <f t="shared" si="662"/>
        <v>0.8351648351648352</v>
      </c>
    </row>
    <row r="8258" spans="1:8" ht="15.75" thickBot="1" x14ac:dyDescent="0.3">
      <c r="A8258" s="42" t="s">
        <v>17</v>
      </c>
      <c r="B8258" s="19">
        <v>44237</v>
      </c>
      <c r="C8258" s="4">
        <v>3265</v>
      </c>
      <c r="D8258" s="97">
        <f t="shared" si="656"/>
        <v>835204</v>
      </c>
      <c r="E8258" s="4">
        <v>26</v>
      </c>
      <c r="F8258" s="250">
        <f>E8258+F8234</f>
        <v>25233</v>
      </c>
      <c r="G8258" s="251">
        <f>SUM(C8258,C8234,C8210,C8186,C8162,C8138,C8114,C8090,C8066,C8042,C8018,C7994,C7970,C7946)/POBLA!$B$1*100000</f>
        <v>255.43948366870774</v>
      </c>
      <c r="H8258" s="230">
        <f t="shared" ref="H8258:H8264" si="663">SUM(C8258,C8234,C8210,C8186,C8162,C8138,C8114,C8090,C8066,C8042,C8018,C7994,C7970,C7946)/SUM(C7922,C7898,C7874,C7850,C7826,C7802,C7778,C7754,C7730,C7706,C7682,C7658,C7634,C7610)</f>
        <v>0.8147467951631967</v>
      </c>
    </row>
    <row r="8259" spans="1:8" ht="15.75" thickBot="1" x14ac:dyDescent="0.3">
      <c r="A8259" s="42" t="s">
        <v>44</v>
      </c>
      <c r="B8259" s="19">
        <v>44237</v>
      </c>
      <c r="C8259" s="4">
        <v>915</v>
      </c>
      <c r="D8259" s="21">
        <f t="shared" ref="D8259:D8322" si="664">C8259+D8235</f>
        <v>219667</v>
      </c>
      <c r="E8259" s="4">
        <v>30</v>
      </c>
      <c r="F8259" s="57">
        <f t="shared" ref="F8259:F8281" si="665">E8259+F8235</f>
        <v>6232</v>
      </c>
      <c r="G8259" s="251">
        <f>SUM(C8259,C8235,C8211,C8187,C8163,C8139,C8115,C8091,C8067,C8043,C8019,C7995,C7971,C7947)/POBLA!$B$2*100000</f>
        <v>436.42863970691036</v>
      </c>
      <c r="H8259" s="252">
        <f t="shared" si="663"/>
        <v>0.81203871748336354</v>
      </c>
    </row>
    <row r="8260" spans="1:8" ht="15.75" thickBot="1" x14ac:dyDescent="0.3">
      <c r="A8260" s="42" t="s">
        <v>29</v>
      </c>
      <c r="B8260" s="19">
        <v>44237</v>
      </c>
      <c r="C8260" s="4">
        <v>54</v>
      </c>
      <c r="D8260" s="21">
        <f t="shared" si="664"/>
        <v>6461</v>
      </c>
      <c r="F8260" s="57">
        <f t="shared" si="665"/>
        <v>17</v>
      </c>
      <c r="G8260" s="251">
        <f>SUM(C8260,C8236,C8212,C8188,C8164,C8140,C8116,C8092,C8068,C8044,C8020,C7996,C7972,C7948)/POBLA!$B$3*100000</f>
        <v>362.74967624531217</v>
      </c>
      <c r="H8260" s="252">
        <f t="shared" si="663"/>
        <v>0.94305381727158943</v>
      </c>
    </row>
    <row r="8261" spans="1:8" ht="15.75" thickBot="1" x14ac:dyDescent="0.3">
      <c r="A8261" s="42" t="s">
        <v>16</v>
      </c>
      <c r="B8261" s="19">
        <v>44237</v>
      </c>
      <c r="C8261" s="4">
        <v>143</v>
      </c>
      <c r="D8261" s="21">
        <f t="shared" si="664"/>
        <v>32034</v>
      </c>
      <c r="E8261" s="4">
        <v>4</v>
      </c>
      <c r="F8261" s="57">
        <f t="shared" si="665"/>
        <v>827</v>
      </c>
      <c r="G8261" s="251">
        <f>SUM(C8261,C8237,C8213,C8189,C8165,C8141,C8117,C8093,C8069,C8045,C8021,C7997,C7973,C7949)/POBLA!$B$4*100000</f>
        <v>151.17791756361967</v>
      </c>
      <c r="H8261" s="252">
        <f t="shared" si="663"/>
        <v>0.70718446601941742</v>
      </c>
    </row>
    <row r="8262" spans="1:8" ht="15.75" thickBot="1" x14ac:dyDescent="0.3">
      <c r="A8262" s="42" t="s">
        <v>30</v>
      </c>
      <c r="B8262" s="19">
        <v>44237</v>
      </c>
      <c r="C8262" s="4">
        <v>164</v>
      </c>
      <c r="D8262" s="21">
        <f t="shared" si="664"/>
        <v>44565</v>
      </c>
      <c r="E8262" s="4">
        <v>2</v>
      </c>
      <c r="F8262" s="57">
        <f t="shared" si="665"/>
        <v>679</v>
      </c>
      <c r="G8262" s="251">
        <f>SUM(C8262,C8238,C8214,C8190,C8166,C8142,C8118,C8094,C8070,C8046,C8022,C7998,C7974,C7950)/POBLA!$B$5*100000</f>
        <v>531.50757519459</v>
      </c>
      <c r="H8262" s="252">
        <f t="shared" si="663"/>
        <v>0.76157407407407407</v>
      </c>
    </row>
    <row r="8263" spans="1:8" ht="15.75" thickBot="1" x14ac:dyDescent="0.3">
      <c r="A8263" s="42" t="s">
        <v>31</v>
      </c>
      <c r="B8263" s="19">
        <v>44237</v>
      </c>
      <c r="C8263" s="4">
        <v>109</v>
      </c>
      <c r="D8263" s="21">
        <f t="shared" si="664"/>
        <v>19083</v>
      </c>
      <c r="E8263" s="4">
        <v>3</v>
      </c>
      <c r="F8263" s="57">
        <f t="shared" si="665"/>
        <v>211</v>
      </c>
      <c r="G8263" s="251">
        <f>SUM(C8263,C8239,C8215,C8191,C8167,C8143,C8119,C8095,C8071,C8047,C8023,C7999,C7975,C7951)/POBLA!$B$7*100000</f>
        <v>59.274820832613123</v>
      </c>
      <c r="H8263" s="252">
        <f t="shared" si="663"/>
        <v>0.60603588907014683</v>
      </c>
    </row>
    <row r="8264" spans="1:8" ht="15.75" thickBot="1" x14ac:dyDescent="0.3">
      <c r="A8264" s="42" t="s">
        <v>21</v>
      </c>
      <c r="B8264" s="19">
        <v>44237</v>
      </c>
      <c r="C8264" s="4">
        <v>759</v>
      </c>
      <c r="D8264" s="21">
        <f t="shared" si="664"/>
        <v>149908</v>
      </c>
      <c r="E8264" s="4">
        <v>12</v>
      </c>
      <c r="F8264" s="57">
        <f t="shared" si="665"/>
        <v>2757</v>
      </c>
      <c r="G8264" s="251">
        <f>SUM(C8264,C8240,C8216,C8192,C8168,C8144,C8120,C8096,C8072,C8048,C8024,C8000,C7976,C7952)/POBLA!$B$6*100000</f>
        <v>600.90952809642386</v>
      </c>
      <c r="H8264" s="252">
        <f t="shared" si="663"/>
        <v>1.0651589435394591</v>
      </c>
    </row>
    <row r="8265" spans="1:8" ht="15.75" thickBot="1" x14ac:dyDescent="0.3">
      <c r="A8265" s="42" t="s">
        <v>32</v>
      </c>
      <c r="B8265" s="19">
        <v>44237</v>
      </c>
      <c r="C8265" s="4">
        <v>195</v>
      </c>
      <c r="D8265" s="21">
        <f t="shared" si="664"/>
        <v>42987</v>
      </c>
      <c r="E8265" s="4">
        <v>6</v>
      </c>
      <c r="F8265" s="57">
        <f t="shared" si="665"/>
        <v>778</v>
      </c>
      <c r="G8265" s="251">
        <f>SUM(C8265,C8241,C8217,C8193,C8169,C8145,C8121,C8097,C8073,C8049,C8025,C8001,C7977,C7953)/POBLA!$B$8*100000</f>
        <v>215.51832988085522</v>
      </c>
      <c r="H8265" s="252">
        <f t="shared" ref="H8265:H8281" si="666">SUM(C8265,C8241,C8217,C8193,C8169,C8145,C8121,C8097,C8073,C8049,C8025,C8001,C7977,C7953)/SUM(C7929,C7905,C7881,C7857,C7833,C7809,C7785,C7761,C7737,C7713,C7689,C7665,C7641,C7617)</f>
        <v>0.57288070579209815</v>
      </c>
    </row>
    <row r="8266" spans="1:8" ht="15.75" thickBot="1" x14ac:dyDescent="0.3">
      <c r="A8266" s="42" t="s">
        <v>42</v>
      </c>
      <c r="B8266" s="19">
        <v>44237</v>
      </c>
      <c r="C8266" s="4">
        <v>5</v>
      </c>
      <c r="D8266" s="21">
        <f t="shared" si="664"/>
        <v>893</v>
      </c>
      <c r="F8266" s="57">
        <f t="shared" si="665"/>
        <v>9</v>
      </c>
      <c r="G8266" s="251">
        <f>SUM(C8266,C8242,C8218,C8194,C8170,C8146,C8122,C8098,C8074,C8050,C8026,C8002,C7978,C7954)/POBLA!$B$9*100000</f>
        <v>10.740375384381512</v>
      </c>
      <c r="H8266" s="252">
        <f t="shared" si="666"/>
        <v>0.16129032258064516</v>
      </c>
    </row>
    <row r="8267" spans="1:8" ht="15.75" thickBot="1" x14ac:dyDescent="0.3">
      <c r="A8267" s="42" t="s">
        <v>33</v>
      </c>
      <c r="B8267" s="19">
        <v>44237</v>
      </c>
      <c r="C8267" s="4">
        <v>41</v>
      </c>
      <c r="D8267" s="21">
        <f t="shared" si="664"/>
        <v>19633</v>
      </c>
      <c r="F8267" s="57">
        <f t="shared" si="665"/>
        <v>887</v>
      </c>
      <c r="G8267" s="251">
        <f>SUM(C8267,C8243,C8219,C8195,C8171,C8147,C8123,C8099,C8075,C8051,C8027,C8003,C7979,C7955)/POBLA!$B$10*100000</f>
        <v>55.391169324448256</v>
      </c>
      <c r="H8267" s="252">
        <f t="shared" si="666"/>
        <v>0.90851063829787237</v>
      </c>
    </row>
    <row r="8268" spans="1:8" ht="15.75" thickBot="1" x14ac:dyDescent="0.3">
      <c r="A8268" s="42" t="s">
        <v>34</v>
      </c>
      <c r="B8268" s="19">
        <v>44237</v>
      </c>
      <c r="C8268" s="4">
        <v>63</v>
      </c>
      <c r="D8268" s="21">
        <f t="shared" si="664"/>
        <v>17353</v>
      </c>
      <c r="F8268" s="57">
        <f t="shared" si="665"/>
        <v>265</v>
      </c>
      <c r="G8268" s="251">
        <f>SUM(C8268,C8244,C8220,C8196,C8172,C8148,C8124,C8100,C8076,C8052,C8028,C8004,C7980,C7956)/POBLA!$B$11*100000</f>
        <v>344.00214268974526</v>
      </c>
      <c r="H8268" s="252">
        <f t="shared" si="666"/>
        <v>0.67156862745098034</v>
      </c>
    </row>
    <row r="8269" spans="1:8" ht="15.75" thickBot="1" x14ac:dyDescent="0.3">
      <c r="A8269" s="42" t="s">
        <v>22</v>
      </c>
      <c r="B8269" s="19">
        <v>44237</v>
      </c>
      <c r="C8269" s="4">
        <v>28</v>
      </c>
      <c r="D8269" s="21">
        <f t="shared" si="664"/>
        <v>9732</v>
      </c>
      <c r="F8269" s="57">
        <f t="shared" si="665"/>
        <v>415</v>
      </c>
      <c r="G8269" s="251">
        <f>SUM(C8269,C8245,C8221,C8197,C8173,C8149,C8125,C8101,C8077,C8053,C8029,C8005,C7981,C7957)/POBLA!$B$12*100000</f>
        <v>62.002739301351106</v>
      </c>
      <c r="H8269" s="252">
        <f t="shared" si="666"/>
        <v>1.0124481327800829</v>
      </c>
    </row>
    <row r="8270" spans="1:8" ht="15.75" thickBot="1" x14ac:dyDescent="0.3">
      <c r="A8270" s="42" t="s">
        <v>18</v>
      </c>
      <c r="B8270" s="19">
        <v>44237</v>
      </c>
      <c r="C8270" s="4">
        <v>187</v>
      </c>
      <c r="D8270" s="21">
        <f t="shared" si="664"/>
        <v>65227</v>
      </c>
      <c r="E8270" s="4">
        <v>4</v>
      </c>
      <c r="F8270" s="57">
        <f t="shared" si="665"/>
        <v>1408</v>
      </c>
      <c r="G8270" s="251">
        <f>SUM(C8270,C8246,C8222,C8198,C8174,C8150,C8126,C8102,C8078,C8054,C8030,C8006,C7982,C7958)/POBLA!$B$13*100000</f>
        <v>88.226220873037647</v>
      </c>
      <c r="H8270" s="252">
        <f t="shared" si="666"/>
        <v>1.0150289017341041</v>
      </c>
    </row>
    <row r="8271" spans="1:8" ht="15.75" thickBot="1" x14ac:dyDescent="0.3">
      <c r="A8271" s="42" t="s">
        <v>24</v>
      </c>
      <c r="B8271" s="19">
        <v>44237</v>
      </c>
      <c r="C8271" s="4">
        <v>78</v>
      </c>
      <c r="D8271" s="21">
        <f t="shared" si="664"/>
        <v>6293</v>
      </c>
      <c r="E8271" s="4">
        <v>3</v>
      </c>
      <c r="F8271" s="57">
        <f t="shared" si="665"/>
        <v>112</v>
      </c>
      <c r="G8271" s="251">
        <f>SUM(C8271,C8247,C8223,C8199,C8175,C8151,C8127,C8103,C8079,C8055,C8031,C8007,C7983,C7959)/POBLA!$B$14*100000</f>
        <v>180.05318347665175</v>
      </c>
      <c r="H8271" s="252">
        <f t="shared" si="666"/>
        <v>0.9175757575757576</v>
      </c>
    </row>
    <row r="8272" spans="1:8" ht="15.75" thickBot="1" x14ac:dyDescent="0.3">
      <c r="A8272" s="42" t="s">
        <v>20</v>
      </c>
      <c r="B8272" s="19">
        <v>44237</v>
      </c>
      <c r="C8272" s="4">
        <v>386</v>
      </c>
      <c r="D8272" s="21">
        <f t="shared" si="664"/>
        <v>57622</v>
      </c>
      <c r="E8272" s="4">
        <v>4</v>
      </c>
      <c r="F8272" s="57">
        <f t="shared" si="665"/>
        <v>806</v>
      </c>
      <c r="G8272" s="251">
        <f>SUM(C8272,C8248,C8224,C8200,C8176,C8152,C8128,C8104,C8080,C8056,C8032,C8008,C7984,C7960)/POBLA!$B$15*100000</f>
        <v>759.12158143050976</v>
      </c>
      <c r="H8272" s="252">
        <f t="shared" si="666"/>
        <v>0.85209601081812036</v>
      </c>
    </row>
    <row r="8273" spans="1:8" ht="15.75" thickBot="1" x14ac:dyDescent="0.3">
      <c r="A8273" s="42" t="s">
        <v>19</v>
      </c>
      <c r="B8273" s="19">
        <v>44237</v>
      </c>
      <c r="C8273" s="4">
        <v>221</v>
      </c>
      <c r="D8273" s="21">
        <f t="shared" si="664"/>
        <v>50017</v>
      </c>
      <c r="E8273" s="4">
        <v>3</v>
      </c>
      <c r="F8273" s="57">
        <f t="shared" si="665"/>
        <v>1108</v>
      </c>
      <c r="G8273" s="251">
        <f>SUM(C8273,C8249,C8225,C8201,C8177,C8153,C8129,C8105,C8081,C8057,C8033,C8009,C7985,C7961)/POBLA!$B$16*100000</f>
        <v>404.75649068364521</v>
      </c>
      <c r="H8273" s="252">
        <f t="shared" si="666"/>
        <v>0.6954723052171915</v>
      </c>
    </row>
    <row r="8274" spans="1:8" ht="15.75" thickBot="1" x14ac:dyDescent="0.3">
      <c r="A8274" s="42" t="s">
        <v>35</v>
      </c>
      <c r="B8274" s="19">
        <v>44237</v>
      </c>
      <c r="C8274" s="4">
        <v>100</v>
      </c>
      <c r="D8274" s="21">
        <f t="shared" si="664"/>
        <v>24513</v>
      </c>
      <c r="E8274" s="4">
        <v>2</v>
      </c>
      <c r="F8274" s="57">
        <f t="shared" si="665"/>
        <v>1055</v>
      </c>
      <c r="G8274" s="251">
        <f>SUM(C8274,C8250,C8226,C8202,C8178,C8154,C8130,C8106,C8082,C8058,C8034,C8010,C7986,C7962)/POBLA!$B$17*100000</f>
        <v>64.448324448872043</v>
      </c>
      <c r="H8274" s="252">
        <f t="shared" si="666"/>
        <v>1.2540983606557377</v>
      </c>
    </row>
    <row r="8275" spans="1:8" ht="15.75" thickBot="1" x14ac:dyDescent="0.3">
      <c r="A8275" s="42" t="s">
        <v>36</v>
      </c>
      <c r="B8275" s="19">
        <v>44237</v>
      </c>
      <c r="C8275" s="4">
        <v>52</v>
      </c>
      <c r="D8275" s="21">
        <f t="shared" si="664"/>
        <v>14457</v>
      </c>
      <c r="F8275" s="57">
        <f t="shared" si="665"/>
        <v>203</v>
      </c>
      <c r="G8275" s="251">
        <f>SUM(C8275,C8251,C8227,C8203,C8179,C8155,C8131,C8107,C8083,C8059,C8035,C8011,C7987,C7963)/POBLA!$B$18*100000</f>
        <v>89.091763236079089</v>
      </c>
      <c r="H8275" s="252">
        <f t="shared" si="666"/>
        <v>0.75488069414316705</v>
      </c>
    </row>
    <row r="8276" spans="1:8" ht="15.75" thickBot="1" x14ac:dyDescent="0.3">
      <c r="A8276" s="42" t="s">
        <v>37</v>
      </c>
      <c r="B8276" s="19">
        <v>44237</v>
      </c>
      <c r="C8276" s="4">
        <v>5</v>
      </c>
      <c r="D8276" s="21">
        <f t="shared" si="664"/>
        <v>19124</v>
      </c>
      <c r="F8276" s="57">
        <f t="shared" si="665"/>
        <v>338</v>
      </c>
      <c r="G8276" s="251">
        <f>SUM(C8276,C8252,C8228,C8204,C8180,C8156,C8132,C8108,C8084,C8060,C8036,C8012,C7988,C7964)/POBLA!$B$19*100000</f>
        <v>48.197226987299537</v>
      </c>
      <c r="H8276" s="252">
        <f t="shared" si="666"/>
        <v>0.11254019292604502</v>
      </c>
    </row>
    <row r="8277" spans="1:8" ht="15.75" thickBot="1" x14ac:dyDescent="0.3">
      <c r="A8277" s="42" t="s">
        <v>38</v>
      </c>
      <c r="B8277" s="19">
        <v>44237</v>
      </c>
      <c r="C8277" s="4">
        <v>127</v>
      </c>
      <c r="D8277" s="21">
        <f t="shared" si="664"/>
        <v>34177</v>
      </c>
      <c r="E8277" s="4">
        <v>3</v>
      </c>
      <c r="F8277" s="57">
        <f t="shared" si="665"/>
        <v>523</v>
      </c>
      <c r="G8277" s="251">
        <f>SUM(C8277,C8253,C8229,C8205,C8181,C8157,C8133,C8109,C8085,C8061,C8037,C8013,C7989,C7965)/POBLA!$B$20*100000</f>
        <v>597.21409469015418</v>
      </c>
      <c r="H8277" s="252">
        <f t="shared" si="666"/>
        <v>0.58380112269446671</v>
      </c>
    </row>
    <row r="8278" spans="1:8" ht="15.75" thickBot="1" x14ac:dyDescent="0.3">
      <c r="A8278" s="42" t="s">
        <v>23</v>
      </c>
      <c r="B8278" s="19">
        <v>44237</v>
      </c>
      <c r="C8278" s="4">
        <v>533</v>
      </c>
      <c r="D8278" s="21">
        <f t="shared" si="664"/>
        <v>210514</v>
      </c>
      <c r="E8278" s="4">
        <v>3</v>
      </c>
      <c r="F8278" s="57">
        <f t="shared" si="665"/>
        <v>3762</v>
      </c>
      <c r="G8278" s="251">
        <f>SUM(C8278,C8254,C8230,C8206,C8182,C8158,C8134,C8110,C8086,C8062,C8038,C8014,C7990,C7966)/POBLA!$B$21*100000</f>
        <v>189.82484536613035</v>
      </c>
      <c r="H8278" s="252">
        <f t="shared" si="666"/>
        <v>0.50265818045675781</v>
      </c>
    </row>
    <row r="8279" spans="1:8" ht="15.75" thickBot="1" x14ac:dyDescent="0.3">
      <c r="A8279" s="42" t="s">
        <v>39</v>
      </c>
      <c r="B8279" s="19">
        <v>44237</v>
      </c>
      <c r="C8279" s="4">
        <v>91</v>
      </c>
      <c r="D8279" s="21">
        <f t="shared" si="664"/>
        <v>21633</v>
      </c>
      <c r="E8279" s="4">
        <v>2</v>
      </c>
      <c r="F8279" s="57">
        <f t="shared" si="665"/>
        <v>255</v>
      </c>
      <c r="G8279" s="251">
        <f>SUM(C8279,C8255,C8231,C8207,C8183,C8159,C8135,C8111,C8087,C8063,C8039,C8015,C7991,C7967)/POBLA!$B$22*100000</f>
        <v>100.27465647497273</v>
      </c>
      <c r="H8279" s="252">
        <f t="shared" si="666"/>
        <v>0.61312500000000003</v>
      </c>
    </row>
    <row r="8280" spans="1:8" ht="15.75" thickBot="1" x14ac:dyDescent="0.3">
      <c r="A8280" s="42" t="s">
        <v>40</v>
      </c>
      <c r="B8280" s="19">
        <v>44237</v>
      </c>
      <c r="C8280" s="4">
        <v>110</v>
      </c>
      <c r="D8280" s="21">
        <f t="shared" si="664"/>
        <v>22318</v>
      </c>
      <c r="F8280" s="57">
        <f t="shared" si="665"/>
        <v>342</v>
      </c>
      <c r="G8280" s="251">
        <f>SUM(C8280,C8256,C8232,C8208,C8184,C8160,C8136,C8112,C8088,C8064,C8040,C8016,C7992,C7968)/POBLA!$B$23*100000</f>
        <v>373.80534977096647</v>
      </c>
      <c r="H8280" s="252">
        <f t="shared" si="666"/>
        <v>0.5703192407247627</v>
      </c>
    </row>
    <row r="8281" spans="1:8" ht="15.75" thickBot="1" x14ac:dyDescent="0.3">
      <c r="A8281" s="42" t="s">
        <v>41</v>
      </c>
      <c r="B8281" s="19">
        <v>44237</v>
      </c>
      <c r="C8281" s="4">
        <v>108</v>
      </c>
      <c r="D8281" s="98">
        <f t="shared" si="664"/>
        <v>77619</v>
      </c>
      <c r="E8281" s="4">
        <v>2</v>
      </c>
      <c r="F8281" s="255">
        <f t="shared" si="665"/>
        <v>1451</v>
      </c>
      <c r="G8281" s="251">
        <f>SUM(C8281,C8257,C8233,C8209,C8185,C8161,C8137,C8113,C8089,C8065,C8041,C8017,C7993,C7969)/POBLA!$B$24*100000</f>
        <v>101.55453378148721</v>
      </c>
      <c r="H8281" s="257">
        <f t="shared" si="666"/>
        <v>0.75383267630310991</v>
      </c>
    </row>
    <row r="8282" spans="1:8" ht="15.75" thickBot="1" x14ac:dyDescent="0.3">
      <c r="A8282" s="42" t="s">
        <v>17</v>
      </c>
      <c r="B8282" s="19">
        <v>44238</v>
      </c>
      <c r="C8282" s="4">
        <v>3150</v>
      </c>
      <c r="D8282" s="97">
        <f t="shared" si="664"/>
        <v>838354</v>
      </c>
      <c r="E8282" s="4">
        <v>100</v>
      </c>
      <c r="F8282" s="250">
        <f>E8282+F8258</f>
        <v>25333</v>
      </c>
      <c r="G8282" s="251">
        <f>SUM(C8282,C8258,C8234,C8210,C8186,C8162,C8138,C8114,C8090,C8066,C8042,C8018,C7994,C7970)/POBLA!$B$1*100000</f>
        <v>249.59607815705945</v>
      </c>
      <c r="H8282" s="230">
        <f t="shared" ref="H8282:H8288" si="667">SUM(C8282,C8258,C8234,C8210,C8186,C8162,C8138,C8114,C8090,C8066,C8042,C8018,C7994,C7970)/SUM(C7946,C7922,C7898,C7874,C7850,C7826,C7802,C7778,C7754,C7730,C7706,C7682,C7658,C7634)</f>
        <v>0.81100305640455683</v>
      </c>
    </row>
    <row r="8283" spans="1:8" ht="15.75" thickBot="1" x14ac:dyDescent="0.3">
      <c r="A8283" s="42" t="s">
        <v>44</v>
      </c>
      <c r="B8283" s="19">
        <v>44238</v>
      </c>
      <c r="C8283" s="4">
        <v>766</v>
      </c>
      <c r="D8283" s="21">
        <f t="shared" si="664"/>
        <v>220433</v>
      </c>
      <c r="E8283" s="4">
        <v>8</v>
      </c>
      <c r="F8283" s="57">
        <f t="shared" ref="F8283:F8305" si="668">E8283+F8259</f>
        <v>6240</v>
      </c>
      <c r="G8283" s="251">
        <f>SUM(C8283,C8259,C8235,C8211,C8187,C8163,C8139,C8115,C8091,C8067,C8043,C8019,C7995,C7971)/POBLA!$B$2*100000</f>
        <v>425.53661897370506</v>
      </c>
      <c r="H8283" s="252">
        <f t="shared" si="667"/>
        <v>0.80472208558780123</v>
      </c>
    </row>
    <row r="8284" spans="1:8" ht="15.75" thickBot="1" x14ac:dyDescent="0.3">
      <c r="A8284" s="42" t="s">
        <v>29</v>
      </c>
      <c r="B8284" s="19">
        <v>44238</v>
      </c>
      <c r="C8284" s="4">
        <v>100</v>
      </c>
      <c r="D8284" s="21">
        <f t="shared" si="664"/>
        <v>6561</v>
      </c>
      <c r="F8284" s="57">
        <f t="shared" si="668"/>
        <v>17</v>
      </c>
      <c r="G8284" s="251">
        <f>SUM(C8284,C8260,C8236,C8212,C8188,C8164,C8140,C8116,C8092,C8068,C8044,C8020,C7996,C7972)/POBLA!$B$3*100000</f>
        <v>366.11961351633698</v>
      </c>
      <c r="H8284" s="252">
        <f t="shared" si="667"/>
        <v>0.94707347447073476</v>
      </c>
    </row>
    <row r="8285" spans="1:8" ht="15.75" thickBot="1" x14ac:dyDescent="0.3">
      <c r="A8285" s="42" t="s">
        <v>16</v>
      </c>
      <c r="B8285" s="19">
        <v>44238</v>
      </c>
      <c r="C8285" s="4">
        <v>138</v>
      </c>
      <c r="D8285" s="21">
        <f t="shared" si="664"/>
        <v>32172</v>
      </c>
      <c r="E8285" s="4">
        <v>3</v>
      </c>
      <c r="F8285" s="57">
        <f t="shared" si="668"/>
        <v>830</v>
      </c>
      <c r="G8285" s="251">
        <f>SUM(C8285,C8261,C8237,C8213,C8189,C8165,C8141,C8117,C8093,C8069,C8045,C8021,C7997,C7973)/POBLA!$B$4*100000</f>
        <v>151.26093673855851</v>
      </c>
      <c r="H8285" s="252">
        <f t="shared" si="667"/>
        <v>0.75664451827242529</v>
      </c>
    </row>
    <row r="8286" spans="1:8" ht="15.75" thickBot="1" x14ac:dyDescent="0.3">
      <c r="A8286" s="42" t="s">
        <v>30</v>
      </c>
      <c r="B8286" s="19">
        <v>44238</v>
      </c>
      <c r="C8286" s="4">
        <v>240</v>
      </c>
      <c r="D8286" s="21">
        <f t="shared" si="664"/>
        <v>44805</v>
      </c>
      <c r="E8286" s="4">
        <v>5</v>
      </c>
      <c r="F8286" s="57">
        <f t="shared" si="668"/>
        <v>684</v>
      </c>
      <c r="G8286" s="251">
        <f>SUM(C8286,C8262,C8238,C8214,C8190,C8166,C8142,C8118,C8094,C8070,C8046,C8022,C7998,C7974)/POBLA!$B$5*100000</f>
        <v>519.22958865514045</v>
      </c>
      <c r="H8286" s="252">
        <f t="shared" si="667"/>
        <v>0.78524309797214753</v>
      </c>
    </row>
    <row r="8287" spans="1:8" ht="15.75" thickBot="1" x14ac:dyDescent="0.3">
      <c r="A8287" s="42" t="s">
        <v>31</v>
      </c>
      <c r="B8287" s="19">
        <v>44238</v>
      </c>
      <c r="C8287" s="4">
        <v>69</v>
      </c>
      <c r="D8287" s="21">
        <f t="shared" si="664"/>
        <v>19152</v>
      </c>
      <c r="E8287" s="4">
        <v>7</v>
      </c>
      <c r="F8287" s="57">
        <f t="shared" si="668"/>
        <v>218</v>
      </c>
      <c r="G8287" s="251">
        <f>SUM(C8287,C8263,C8239,C8215,C8191,C8167,C8143,C8119,C8095,C8071,C8047,C8023,C7999,C7975)/POBLA!$B$7*100000</f>
        <v>58.237710912257839</v>
      </c>
      <c r="H8287" s="252">
        <f t="shared" si="667"/>
        <v>0.72612732095490717</v>
      </c>
    </row>
    <row r="8288" spans="1:8" ht="15.75" thickBot="1" x14ac:dyDescent="0.3">
      <c r="A8288" s="42" t="s">
        <v>21</v>
      </c>
      <c r="B8288" s="19">
        <v>44238</v>
      </c>
      <c r="C8288" s="4">
        <v>656</v>
      </c>
      <c r="D8288" s="21">
        <f t="shared" si="664"/>
        <v>150564</v>
      </c>
      <c r="E8288" s="4">
        <v>8</v>
      </c>
      <c r="F8288" s="57">
        <f t="shared" si="668"/>
        <v>2765</v>
      </c>
      <c r="G8288" s="251">
        <f>SUM(C8288,C8264,C8240,C8216,C8192,C8168,C8144,C8120,C8096,C8072,C8048,C8024,C8000,C7976)/POBLA!$B$6*100000</f>
        <v>598.94664619321361</v>
      </c>
      <c r="H8288" s="252">
        <f t="shared" si="667"/>
        <v>1.0192833282720923</v>
      </c>
    </row>
    <row r="8289" spans="1:8" ht="15.75" thickBot="1" x14ac:dyDescent="0.3">
      <c r="A8289" s="42" t="s">
        <v>32</v>
      </c>
      <c r="B8289" s="19">
        <v>44238</v>
      </c>
      <c r="C8289" s="4">
        <v>165</v>
      </c>
      <c r="D8289" s="21">
        <f t="shared" si="664"/>
        <v>43152</v>
      </c>
      <c r="E8289" s="4">
        <v>6</v>
      </c>
      <c r="F8289" s="57">
        <f t="shared" si="668"/>
        <v>784</v>
      </c>
      <c r="G8289" s="251">
        <f>SUM(C8289,C8265,C8241,C8217,C8193,C8169,C8145,C8121,C8097,C8073,C8049,C8025,C8001,C7977)/POBLA!$B$8*100000</f>
        <v>204.62336241784581</v>
      </c>
      <c r="H8289" s="252">
        <f t="shared" ref="H8289:H8305" si="669">SUM(C8289,C8265,C8241,C8217,C8193,C8169,C8145,C8121,C8097,C8073,C8049,C8025,C8001,C7977)/SUM(C7953,C7929,C7905,C7881,C7857,C7833,C7809,C7785,C7761,C7737,C7713,C7689,C7665,C7641)</f>
        <v>0.56822280104187539</v>
      </c>
    </row>
    <row r="8290" spans="1:8" ht="15.75" thickBot="1" x14ac:dyDescent="0.3">
      <c r="A8290" s="42" t="s">
        <v>42</v>
      </c>
      <c r="B8290" s="19">
        <v>44238</v>
      </c>
      <c r="C8290" s="4">
        <v>19</v>
      </c>
      <c r="D8290" s="21">
        <f t="shared" si="664"/>
        <v>912</v>
      </c>
      <c r="F8290" s="57">
        <f t="shared" si="668"/>
        <v>9</v>
      </c>
      <c r="G8290" s="251">
        <f>SUM(C8290,C8266,C8242,C8218,C8194,C8170,C8146,C8122,C8098,C8074,C8050,C8026,C8002,C7978)/POBLA!$B$9*100000</f>
        <v>13.053687005632915</v>
      </c>
      <c r="H8290" s="252">
        <f t="shared" si="669"/>
        <v>0.23723723723723725</v>
      </c>
    </row>
    <row r="8291" spans="1:8" ht="15.75" thickBot="1" x14ac:dyDescent="0.3">
      <c r="A8291" s="42" t="s">
        <v>33</v>
      </c>
      <c r="B8291" s="19">
        <v>44238</v>
      </c>
      <c r="C8291" s="4">
        <v>27</v>
      </c>
      <c r="D8291" s="21">
        <f t="shared" si="664"/>
        <v>19660</v>
      </c>
      <c r="E8291" s="4">
        <v>1</v>
      </c>
      <c r="F8291" s="57">
        <f t="shared" si="668"/>
        <v>888</v>
      </c>
      <c r="G8291" s="251">
        <f>SUM(C8291,C8267,C8243,C8219,C8195,C8171,C8147,C8123,C8099,C8075,C8051,C8027,C8003,C7979)/POBLA!$B$10*100000</f>
        <v>53.704787120191057</v>
      </c>
      <c r="H8291" s="252">
        <f t="shared" si="669"/>
        <v>0.85010266940451751</v>
      </c>
    </row>
    <row r="8292" spans="1:8" ht="15.75" thickBot="1" x14ac:dyDescent="0.3">
      <c r="A8292" s="42" t="s">
        <v>34</v>
      </c>
      <c r="B8292" s="19">
        <v>44238</v>
      </c>
      <c r="C8292" s="4">
        <v>122</v>
      </c>
      <c r="D8292" s="21">
        <f t="shared" si="664"/>
        <v>17475</v>
      </c>
      <c r="E8292" s="4">
        <v>3</v>
      </c>
      <c r="F8292" s="57">
        <f t="shared" si="668"/>
        <v>268</v>
      </c>
      <c r="G8292" s="251">
        <f>SUM(C8292,C8268,C8244,C8220,C8196,C8172,C8148,C8124,C8100,C8076,C8052,C8028,C8004,C7980)/POBLA!$B$11*100000</f>
        <v>345.11812693204774</v>
      </c>
      <c r="H8292" s="252">
        <f t="shared" si="669"/>
        <v>0.72807533843437311</v>
      </c>
    </row>
    <row r="8293" spans="1:8" ht="15.75" thickBot="1" x14ac:dyDescent="0.3">
      <c r="A8293" s="42" t="s">
        <v>22</v>
      </c>
      <c r="B8293" s="19">
        <v>44238</v>
      </c>
      <c r="C8293" s="4">
        <v>23</v>
      </c>
      <c r="D8293" s="21">
        <f t="shared" si="664"/>
        <v>9755</v>
      </c>
      <c r="F8293" s="57">
        <f t="shared" si="668"/>
        <v>415</v>
      </c>
      <c r="G8293" s="251">
        <f>SUM(C8293,C8269,C8245,C8221,C8197,C8173,C8149,C8125,C8101,C8077,C8053,C8029,C8005,C7981)/POBLA!$B$12*100000</f>
        <v>65.306163936259154</v>
      </c>
      <c r="H8293" s="252">
        <f t="shared" si="669"/>
        <v>1.0753138075313808</v>
      </c>
    </row>
    <row r="8294" spans="1:8" ht="15.75" thickBot="1" x14ac:dyDescent="0.3">
      <c r="A8294" s="42" t="s">
        <v>18</v>
      </c>
      <c r="B8294" s="19">
        <v>44238</v>
      </c>
      <c r="C8294" s="4">
        <v>148</v>
      </c>
      <c r="D8294" s="21">
        <f t="shared" si="664"/>
        <v>65375</v>
      </c>
      <c r="E8294" s="4">
        <v>3</v>
      </c>
      <c r="F8294" s="57">
        <f t="shared" si="668"/>
        <v>1411</v>
      </c>
      <c r="G8294" s="251">
        <f>SUM(C8294,C8270,C8246,C8222,C8198,C8174,C8150,C8126,C8102,C8078,C8054,C8030,C8006,C7982)/POBLA!$B$13*100000</f>
        <v>90.587628834901409</v>
      </c>
      <c r="H8294" s="252">
        <f t="shared" si="669"/>
        <v>1.0802875973636907</v>
      </c>
    </row>
    <row r="8295" spans="1:8" ht="15.75" thickBot="1" x14ac:dyDescent="0.3">
      <c r="A8295" s="42" t="s">
        <v>24</v>
      </c>
      <c r="B8295" s="19">
        <v>44238</v>
      </c>
      <c r="C8295" s="4">
        <v>122</v>
      </c>
      <c r="D8295" s="21">
        <f t="shared" si="664"/>
        <v>6415</v>
      </c>
      <c r="E8295" s="4">
        <v>3</v>
      </c>
      <c r="F8295" s="57">
        <f t="shared" si="668"/>
        <v>115</v>
      </c>
      <c r="G8295" s="251">
        <f>SUM(C8295,C8271,C8247,C8223,C8199,C8175,C8151,C8127,C8103,C8079,C8055,C8031,C8007,C7983)/POBLA!$B$14*100000</f>
        <v>179.41891422618357</v>
      </c>
      <c r="H8295" s="252">
        <f t="shared" si="669"/>
        <v>0.94686192468619246</v>
      </c>
    </row>
    <row r="8296" spans="1:8" ht="15.75" thickBot="1" x14ac:dyDescent="0.3">
      <c r="A8296" s="42" t="s">
        <v>20</v>
      </c>
      <c r="B8296" s="19">
        <v>44238</v>
      </c>
      <c r="C8296" s="4">
        <v>316</v>
      </c>
      <c r="D8296" s="21">
        <f t="shared" si="664"/>
        <v>57938</v>
      </c>
      <c r="E8296" s="4">
        <v>10</v>
      </c>
      <c r="F8296" s="57">
        <f t="shared" si="668"/>
        <v>816</v>
      </c>
      <c r="G8296" s="251">
        <f>SUM(C8296,C8272,C8248,C8224,C8200,C8176,C8152,C8128,C8104,C8080,C8056,C8032,C8008,C7984)/POBLA!$B$15*100000</f>
        <v>736.98492749869365</v>
      </c>
      <c r="H8296" s="252">
        <f t="shared" si="669"/>
        <v>0.83701043270053022</v>
      </c>
    </row>
    <row r="8297" spans="1:8" ht="15.75" thickBot="1" x14ac:dyDescent="0.3">
      <c r="A8297" s="42" t="s">
        <v>19</v>
      </c>
      <c r="B8297" s="19">
        <v>44238</v>
      </c>
      <c r="C8297" s="4">
        <v>223</v>
      </c>
      <c r="D8297" s="21">
        <f t="shared" si="664"/>
        <v>50240</v>
      </c>
      <c r="E8297" s="4">
        <v>3</v>
      </c>
      <c r="F8297" s="57">
        <f t="shared" si="668"/>
        <v>1111</v>
      </c>
      <c r="G8297" s="251">
        <f>SUM(C8297,C8273,C8249,C8225,C8201,C8177,C8153,C8129,C8105,C8081,C8057,C8033,C8009,C7985)/POBLA!$B$16*100000</f>
        <v>392.98564759700912</v>
      </c>
      <c r="H8297" s="252">
        <f t="shared" si="669"/>
        <v>0.69538461538461538</v>
      </c>
    </row>
    <row r="8298" spans="1:8" ht="15.75" thickBot="1" x14ac:dyDescent="0.3">
      <c r="A8298" s="42" t="s">
        <v>35</v>
      </c>
      <c r="B8298" s="19">
        <v>44238</v>
      </c>
      <c r="C8298" s="4">
        <v>96</v>
      </c>
      <c r="D8298" s="21">
        <f t="shared" si="664"/>
        <v>24609</v>
      </c>
      <c r="E8298" s="4">
        <v>4</v>
      </c>
      <c r="F8298" s="57">
        <f t="shared" si="668"/>
        <v>1059</v>
      </c>
      <c r="G8298" s="251">
        <f>SUM(C8298,C8274,C8250,C8226,C8202,C8178,C8154,C8130,C8106,C8082,C8058,C8034,C8010,C7986)/POBLA!$B$17*100000</f>
        <v>65.220581059915176</v>
      </c>
      <c r="H8298" s="252">
        <f t="shared" si="669"/>
        <v>1.2223684210526315</v>
      </c>
    </row>
    <row r="8299" spans="1:8" ht="15.75" thickBot="1" x14ac:dyDescent="0.3">
      <c r="A8299" s="42" t="s">
        <v>36</v>
      </c>
      <c r="B8299" s="19">
        <v>44238</v>
      </c>
      <c r="C8299" s="4">
        <v>80</v>
      </c>
      <c r="D8299" s="21">
        <f t="shared" si="664"/>
        <v>14537</v>
      </c>
      <c r="F8299" s="57">
        <f t="shared" si="668"/>
        <v>203</v>
      </c>
      <c r="G8299" s="251">
        <f>SUM(C8299,C8275,C8251,C8227,C8203,C8179,C8155,C8131,C8107,C8083,C8059,C8035,C8011,C7987)/POBLA!$B$18*100000</f>
        <v>89.859795677769426</v>
      </c>
      <c r="H8299" s="252">
        <f t="shared" si="669"/>
        <v>0.76470588235294112</v>
      </c>
    </row>
    <row r="8300" spans="1:8" ht="15.75" thickBot="1" x14ac:dyDescent="0.3">
      <c r="A8300" s="42" t="s">
        <v>37</v>
      </c>
      <c r="B8300" s="19">
        <v>44238</v>
      </c>
      <c r="C8300" s="4">
        <v>21</v>
      </c>
      <c r="D8300" s="21">
        <f t="shared" si="664"/>
        <v>19145</v>
      </c>
      <c r="E8300" s="4">
        <v>6</v>
      </c>
      <c r="F8300" s="57">
        <f t="shared" si="668"/>
        <v>344</v>
      </c>
      <c r="G8300" s="251">
        <f>SUM(C8300,C8276,C8252,C8228,C8204,C8180,C8156,C8132,C8108,C8084,C8060,C8036,C8012,C7988)/POBLA!$B$19*100000</f>
        <v>38.951228340756366</v>
      </c>
      <c r="H8300" s="252">
        <f t="shared" si="669"/>
        <v>9.0534979423868317E-2</v>
      </c>
    </row>
    <row r="8301" spans="1:8" ht="15.75" thickBot="1" x14ac:dyDescent="0.3">
      <c r="A8301" s="42" t="s">
        <v>38</v>
      </c>
      <c r="B8301" s="19">
        <v>44238</v>
      </c>
      <c r="C8301" s="4">
        <v>114</v>
      </c>
      <c r="D8301" s="21">
        <f t="shared" si="664"/>
        <v>34291</v>
      </c>
      <c r="E8301" s="4">
        <v>3</v>
      </c>
      <c r="F8301" s="57">
        <f t="shared" si="668"/>
        <v>526</v>
      </c>
      <c r="G8301" s="251">
        <f>SUM(C8301,C8277,C8253,C8229,C8205,C8181,C8157,C8133,C8109,C8085,C8061,C8037,C8013,C7989)/POBLA!$B$20*100000</f>
        <v>588.19025534730849</v>
      </c>
      <c r="H8301" s="252">
        <f t="shared" si="669"/>
        <v>0.59700249791840132</v>
      </c>
    </row>
    <row r="8302" spans="1:8" ht="15.75" thickBot="1" x14ac:dyDescent="0.3">
      <c r="A8302" s="42" t="s">
        <v>23</v>
      </c>
      <c r="B8302" s="19">
        <v>44238</v>
      </c>
      <c r="C8302" s="4">
        <v>456</v>
      </c>
      <c r="D8302" s="21">
        <f t="shared" si="664"/>
        <v>210970</v>
      </c>
      <c r="E8302" s="4">
        <v>21</v>
      </c>
      <c r="F8302" s="57">
        <f t="shared" si="668"/>
        <v>3783</v>
      </c>
      <c r="G8302" s="251">
        <f>SUM(C8302,C8278,C8254,C8230,C8206,C8182,C8158,C8134,C8110,C8086,C8062,C8038,C8014,C7990)/POBLA!$B$21*100000</f>
        <v>183.99974211193359</v>
      </c>
      <c r="H8302" s="252">
        <f t="shared" si="669"/>
        <v>0.51552844240215501</v>
      </c>
    </row>
    <row r="8303" spans="1:8" ht="15.75" thickBot="1" x14ac:dyDescent="0.3">
      <c r="A8303" s="42" t="s">
        <v>39</v>
      </c>
      <c r="B8303" s="19">
        <v>44238</v>
      </c>
      <c r="C8303" s="4">
        <v>89</v>
      </c>
      <c r="D8303" s="21">
        <f t="shared" si="664"/>
        <v>21722</v>
      </c>
      <c r="E8303" s="4">
        <v>1</v>
      </c>
      <c r="F8303" s="57">
        <f t="shared" si="668"/>
        <v>256</v>
      </c>
      <c r="G8303" s="251">
        <f>SUM(C8303,C8279,C8255,C8231,C8207,C8183,C8159,C8135,C8111,C8087,C8063,C8039,C8015,C7991)/POBLA!$B$22*100000</f>
        <v>102.11455842864196</v>
      </c>
      <c r="H8303" s="252">
        <f t="shared" si="669"/>
        <v>0.67820773930753564</v>
      </c>
    </row>
    <row r="8304" spans="1:8" ht="15.75" thickBot="1" x14ac:dyDescent="0.3">
      <c r="A8304" s="42" t="s">
        <v>40</v>
      </c>
      <c r="B8304" s="19">
        <v>44238</v>
      </c>
      <c r="C8304" s="4">
        <v>48</v>
      </c>
      <c r="D8304" s="21">
        <f t="shared" si="664"/>
        <v>22366</v>
      </c>
      <c r="E8304" s="4">
        <v>1</v>
      </c>
      <c r="F8304" s="57">
        <f t="shared" si="668"/>
        <v>343</v>
      </c>
      <c r="G8304" s="251">
        <f>SUM(C8304,C8280,C8256,C8232,C8208,C8184,C8160,C8136,C8112,C8088,C8064,C8040,C8016,C7992)/POBLA!$B$23*100000</f>
        <v>380.02601368546061</v>
      </c>
      <c r="H8304" s="252">
        <f t="shared" si="669"/>
        <v>0.59786476868327398</v>
      </c>
    </row>
    <row r="8305" spans="1:8" ht="15.75" thickBot="1" x14ac:dyDescent="0.3">
      <c r="A8305" s="42" t="s">
        <v>41</v>
      </c>
      <c r="B8305" s="19">
        <v>44238</v>
      </c>
      <c r="C8305" s="4">
        <v>123</v>
      </c>
      <c r="D8305" s="98">
        <f t="shared" si="664"/>
        <v>77742</v>
      </c>
      <c r="E8305" s="4">
        <v>1</v>
      </c>
      <c r="F8305" s="255">
        <f t="shared" si="668"/>
        <v>1452</v>
      </c>
      <c r="G8305" s="251">
        <f>SUM(C8305,C8281,C8257,C8233,C8209,C8185,C8161,C8137,C8113,C8089,C8065,C8041,C8017,C7993)/POBLA!$B$24*100000</f>
        <v>95.122549945239626</v>
      </c>
      <c r="H8305" s="257">
        <f t="shared" si="669"/>
        <v>0.70577933450087571</v>
      </c>
    </row>
    <row r="8306" spans="1:8" ht="15.75" thickBot="1" x14ac:dyDescent="0.3">
      <c r="A8306" s="42" t="s">
        <v>17</v>
      </c>
      <c r="B8306" s="19">
        <v>44239</v>
      </c>
      <c r="C8306" s="4">
        <v>3207</v>
      </c>
      <c r="D8306" s="97">
        <f t="shared" si="664"/>
        <v>841561</v>
      </c>
      <c r="E8306" s="4">
        <v>82</v>
      </c>
      <c r="F8306" s="250">
        <f>E8306+F8282</f>
        <v>25415</v>
      </c>
      <c r="G8306" s="251">
        <f>SUM(C8306,C8282,C8258,C8234,C8210,C8186,C8162,C8138,C8114,C8090,C8066,C8042,C8018,C7994)/POBLA!$B$1*100000</f>
        <v>242.32175090548557</v>
      </c>
      <c r="H8306" s="230">
        <f t="shared" ref="H8306:H8312" si="670">SUM(C8306,C8282,C8258,C8234,C8210,C8186,C8162,C8138,C8114,C8090,C8066,C8042,C8018,C7994)/SUM(C7970,C7946,C7922,C7898,C7874,C7850,C7826,C7802,C7778,C7754,C7730,C7706,C7682,C7658)</f>
        <v>0.79116256561069132</v>
      </c>
    </row>
    <row r="8307" spans="1:8" ht="15.75" thickBot="1" x14ac:dyDescent="0.3">
      <c r="A8307" s="42" t="s">
        <v>44</v>
      </c>
      <c r="B8307" s="19">
        <v>44239</v>
      </c>
      <c r="C8307" s="4">
        <v>812</v>
      </c>
      <c r="D8307" s="21">
        <f t="shared" si="664"/>
        <v>221245</v>
      </c>
      <c r="E8307" s="4">
        <v>12</v>
      </c>
      <c r="F8307" s="57">
        <f t="shared" ref="F8307:F8329" si="671">E8307+F8283</f>
        <v>6252</v>
      </c>
      <c r="G8307" s="251">
        <f>SUM(C8307,C8283,C8259,C8235,C8211,C8187,C8163,C8139,C8115,C8091,C8067,C8043,C8019,C7995)/POBLA!$B$2*100000</f>
        <v>413.08395049365237</v>
      </c>
      <c r="H8307" s="252">
        <f t="shared" si="670"/>
        <v>0.78654119977713122</v>
      </c>
    </row>
    <row r="8308" spans="1:8" ht="15.75" thickBot="1" x14ac:dyDescent="0.3">
      <c r="A8308" s="42" t="s">
        <v>29</v>
      </c>
      <c r="B8308" s="19">
        <v>44239</v>
      </c>
      <c r="C8308" s="4">
        <v>122</v>
      </c>
      <c r="D8308" s="21">
        <f t="shared" si="664"/>
        <v>6683</v>
      </c>
      <c r="F8308" s="57">
        <f t="shared" si="671"/>
        <v>17</v>
      </c>
      <c r="G8308" s="251">
        <f>SUM(C8308,C8284,C8260,C8236,C8212,C8188,C8164,C8140,C8116,C8092,C8068,C8044,C8020,C7996)/POBLA!$B$3*100000</f>
        <v>367.80458215184939</v>
      </c>
      <c r="H8308" s="252">
        <f t="shared" si="670"/>
        <v>1.1523378582202111</v>
      </c>
    </row>
    <row r="8309" spans="1:8" ht="15.75" thickBot="1" x14ac:dyDescent="0.3">
      <c r="A8309" s="42" t="s">
        <v>16</v>
      </c>
      <c r="B8309" s="19">
        <v>44239</v>
      </c>
      <c r="C8309" s="4">
        <v>119</v>
      </c>
      <c r="D8309" s="21">
        <f t="shared" si="664"/>
        <v>32291</v>
      </c>
      <c r="E8309" s="4">
        <v>1</v>
      </c>
      <c r="F8309" s="57">
        <f t="shared" si="671"/>
        <v>831</v>
      </c>
      <c r="G8309" s="251">
        <f>SUM(C8309,C8285,C8261,C8237,C8213,C8189,C8165,C8141,C8117,C8093,C8069,C8045,C8021,C7997)/POBLA!$B$4*100000</f>
        <v>144.37034521863515</v>
      </c>
      <c r="H8309" s="252">
        <f t="shared" si="670"/>
        <v>0.72944630872483218</v>
      </c>
    </row>
    <row r="8310" spans="1:8" ht="15.75" thickBot="1" x14ac:dyDescent="0.3">
      <c r="A8310" s="42" t="s">
        <v>30</v>
      </c>
      <c r="B8310" s="19">
        <v>44239</v>
      </c>
      <c r="C8310" s="4">
        <v>232</v>
      </c>
      <c r="D8310" s="21">
        <f t="shared" si="664"/>
        <v>45037</v>
      </c>
      <c r="F8310" s="57">
        <f t="shared" si="671"/>
        <v>684</v>
      </c>
      <c r="G8310" s="251">
        <f>SUM(C8310,C8286,C8262,C8238,C8214,C8190,C8166,C8142,C8118,C8094,C8070,C8046,C8022,C7998)/POBLA!$B$5*100000</f>
        <v>493.38119594050994</v>
      </c>
      <c r="H8310" s="252">
        <f t="shared" si="670"/>
        <v>0.74908020603384839</v>
      </c>
    </row>
    <row r="8311" spans="1:8" ht="15.75" thickBot="1" x14ac:dyDescent="0.3">
      <c r="A8311" s="42" t="s">
        <v>31</v>
      </c>
      <c r="B8311" s="19">
        <v>44239</v>
      </c>
      <c r="C8311" s="4">
        <v>56</v>
      </c>
      <c r="D8311" s="21">
        <f t="shared" si="664"/>
        <v>19208</v>
      </c>
      <c r="E8311" s="4">
        <v>2</v>
      </c>
      <c r="F8311" s="57">
        <f t="shared" si="671"/>
        <v>220</v>
      </c>
      <c r="G8311" s="251">
        <f>SUM(C8311,C8287,C8263,C8239,C8215,C8191,C8167,C8143,C8119,C8095,C8071,C8047,C8023,C7999)/POBLA!$B$7*100000</f>
        <v>54.993418340890052</v>
      </c>
      <c r="H8311" s="252">
        <f t="shared" si="670"/>
        <v>0.81257367387033397</v>
      </c>
    </row>
    <row r="8312" spans="1:8" ht="15.75" thickBot="1" x14ac:dyDescent="0.3">
      <c r="A8312" s="42" t="s">
        <v>21</v>
      </c>
      <c r="B8312" s="19">
        <v>44239</v>
      </c>
      <c r="C8312" s="4">
        <v>649</v>
      </c>
      <c r="D8312" s="21">
        <f t="shared" si="664"/>
        <v>151213</v>
      </c>
      <c r="E8312" s="4">
        <v>5</v>
      </c>
      <c r="F8312" s="57">
        <f t="shared" si="671"/>
        <v>2770</v>
      </c>
      <c r="G8312" s="251">
        <f>SUM(C8312,C8288,C8264,C8240,C8216,C8192,C8168,C8144,C8120,C8096,C8072,C8048,C8024,C8000)/POBLA!$B$6*100000</f>
        <v>602.78318809494283</v>
      </c>
      <c r="H8312" s="252">
        <f t="shared" si="670"/>
        <v>0.97110823630875376</v>
      </c>
    </row>
    <row r="8313" spans="1:8" ht="15.75" thickBot="1" x14ac:dyDescent="0.3">
      <c r="A8313" s="42" t="s">
        <v>32</v>
      </c>
      <c r="B8313" s="19">
        <v>44239</v>
      </c>
      <c r="C8313" s="4">
        <v>169</v>
      </c>
      <c r="D8313" s="21">
        <f t="shared" si="664"/>
        <v>43321</v>
      </c>
      <c r="E8313" s="4">
        <v>5</v>
      </c>
      <c r="F8313" s="57">
        <f t="shared" si="671"/>
        <v>789</v>
      </c>
      <c r="G8313" s="251">
        <f>SUM(C8313,C8289,C8265,C8241,C8217,C8193,C8169,C8145,C8121,C8097,C8073,C8049,C8025,C8001)/POBLA!$B$8*100000</f>
        <v>194.73852438849289</v>
      </c>
      <c r="H8313" s="252">
        <f t="shared" ref="H8313:H8329" si="672">SUM(C8313,C8289,C8265,C8241,C8217,C8193,C8169,C8145,C8121,C8097,C8073,C8049,C8025,C8001)/SUM(C7977,C7953,C7929,C7905,C7881,C7857,C7833,C7809,C7785,C7761,C7737,C7713,C7689,C7665)</f>
        <v>0.56701680672268906</v>
      </c>
    </row>
    <row r="8314" spans="1:8" ht="15.75" thickBot="1" x14ac:dyDescent="0.3">
      <c r="A8314" s="42" t="s">
        <v>42</v>
      </c>
      <c r="B8314" s="19">
        <v>44239</v>
      </c>
      <c r="C8314" s="4">
        <v>25</v>
      </c>
      <c r="D8314" s="21">
        <f t="shared" si="664"/>
        <v>937</v>
      </c>
      <c r="F8314" s="57">
        <f t="shared" si="671"/>
        <v>9</v>
      </c>
      <c r="G8314" s="251">
        <f>SUM(C8314,C8290,C8266,C8242,C8218,C8194,C8170,C8146,C8122,C8098,C8074,C8050,C8026,C8002)/POBLA!$B$9*100000</f>
        <v>15.862708260009617</v>
      </c>
      <c r="H8314" s="252">
        <f t="shared" si="672"/>
        <v>0.33922261484098942</v>
      </c>
    </row>
    <row r="8315" spans="1:8" ht="15.75" thickBot="1" x14ac:dyDescent="0.3">
      <c r="A8315" s="42" t="s">
        <v>33</v>
      </c>
      <c r="B8315" s="19">
        <v>44239</v>
      </c>
      <c r="C8315" s="4">
        <v>35</v>
      </c>
      <c r="D8315" s="21">
        <f t="shared" si="664"/>
        <v>19695</v>
      </c>
      <c r="E8315" s="4">
        <v>1</v>
      </c>
      <c r="F8315" s="57">
        <f t="shared" si="671"/>
        <v>889</v>
      </c>
      <c r="G8315" s="251">
        <f>SUM(C8315,C8291,C8267,C8243,C8219,C8195,C8171,C8147,C8123,C8099,C8075,C8051,C8027,C8003)/POBLA!$B$10*100000</f>
        <v>54.48311736830977</v>
      </c>
      <c r="H8315" s="252">
        <f t="shared" si="672"/>
        <v>0.84848484848484851</v>
      </c>
    </row>
    <row r="8316" spans="1:8" ht="15.75" thickBot="1" x14ac:dyDescent="0.3">
      <c r="A8316" s="42" t="s">
        <v>34</v>
      </c>
      <c r="B8316" s="19">
        <v>44239</v>
      </c>
      <c r="C8316" s="4">
        <v>71</v>
      </c>
      <c r="D8316" s="21">
        <f t="shared" si="664"/>
        <v>17546</v>
      </c>
      <c r="F8316" s="57">
        <f t="shared" si="671"/>
        <v>268</v>
      </c>
      <c r="G8316" s="251">
        <f>SUM(C8316,C8292,C8268,C8244,C8220,C8196,C8172,C8148,C8124,C8100,C8076,C8052,C8028,C8004)/POBLA!$B$11*100000</f>
        <v>342.04917026571587</v>
      </c>
      <c r="H8316" s="252">
        <f t="shared" si="672"/>
        <v>0.77301387137452715</v>
      </c>
    </row>
    <row r="8317" spans="1:8" ht="15.75" thickBot="1" x14ac:dyDescent="0.3">
      <c r="A8317" s="42" t="s">
        <v>22</v>
      </c>
      <c r="B8317" s="19">
        <v>44239</v>
      </c>
      <c r="C8317" s="4">
        <v>29</v>
      </c>
      <c r="D8317" s="21">
        <f t="shared" si="664"/>
        <v>9784</v>
      </c>
      <c r="F8317" s="57">
        <f t="shared" si="671"/>
        <v>415</v>
      </c>
      <c r="G8317" s="251">
        <f>SUM(C8317,C8293,C8269,C8245,C8221,C8197,C8173,C8149,C8125,C8101,C8077,C8053,C8029,C8005)/POBLA!$B$12*100000</f>
        <v>68.355478983866576</v>
      </c>
      <c r="H8317" s="252">
        <f t="shared" si="672"/>
        <v>1.1069958847736625</v>
      </c>
    </row>
    <row r="8318" spans="1:8" ht="15.75" thickBot="1" x14ac:dyDescent="0.3">
      <c r="A8318" s="42" t="s">
        <v>18</v>
      </c>
      <c r="B8318" s="19">
        <v>44239</v>
      </c>
      <c r="C8318" s="4">
        <v>144</v>
      </c>
      <c r="D8318" s="21">
        <f t="shared" si="664"/>
        <v>65519</v>
      </c>
      <c r="E8318" s="4">
        <v>2</v>
      </c>
      <c r="F8318" s="57">
        <f t="shared" si="671"/>
        <v>1413</v>
      </c>
      <c r="G8318" s="251">
        <f>SUM(C8318,C8294,C8270,C8246,C8222,C8198,C8174,C8150,C8126,C8102,C8078,C8054,C8030,C8006)/POBLA!$B$13*100000</f>
        <v>91.893939622315401</v>
      </c>
      <c r="H8318" s="252">
        <f t="shared" si="672"/>
        <v>1.1071428571428572</v>
      </c>
    </row>
    <row r="8319" spans="1:8" ht="15.75" thickBot="1" x14ac:dyDescent="0.3">
      <c r="A8319" s="42" t="s">
        <v>24</v>
      </c>
      <c r="B8319" s="19">
        <v>44239</v>
      </c>
      <c r="C8319" s="4">
        <v>105</v>
      </c>
      <c r="D8319" s="21">
        <f t="shared" si="664"/>
        <v>6520</v>
      </c>
      <c r="E8319" s="4">
        <v>2</v>
      </c>
      <c r="F8319" s="57">
        <f t="shared" si="671"/>
        <v>117</v>
      </c>
      <c r="G8319" s="251">
        <f>SUM(C8319,C8295,C8271,C8247,C8223,C8199,C8175,C8151,C8127,C8103,C8079,C8055,C8031,C8007)/POBLA!$B$14*100000</f>
        <v>170.53914471962921</v>
      </c>
      <c r="H8319" s="252">
        <f t="shared" si="672"/>
        <v>0.85936875749101083</v>
      </c>
    </row>
    <row r="8320" spans="1:8" ht="15.75" thickBot="1" x14ac:dyDescent="0.3">
      <c r="A8320" s="42" t="s">
        <v>20</v>
      </c>
      <c r="B8320" s="19">
        <v>44239</v>
      </c>
      <c r="C8320" s="4">
        <v>310</v>
      </c>
      <c r="D8320" s="21">
        <f t="shared" si="664"/>
        <v>58248</v>
      </c>
      <c r="E8320" s="4">
        <v>8</v>
      </c>
      <c r="F8320" s="57">
        <f t="shared" si="671"/>
        <v>824</v>
      </c>
      <c r="G8320" s="251">
        <f>SUM(C8320,C8296,C8272,C8248,C8224,C8200,C8176,C8152,C8128,C8104,C8080,C8056,C8032,C8008)/POBLA!$B$15*100000</f>
        <v>710.63176805605542</v>
      </c>
      <c r="H8320" s="252">
        <f t="shared" si="672"/>
        <v>0.81124290871583293</v>
      </c>
    </row>
    <row r="8321" spans="1:8" ht="15.75" thickBot="1" x14ac:dyDescent="0.3">
      <c r="A8321" s="42" t="s">
        <v>19</v>
      </c>
      <c r="B8321" s="19">
        <v>44239</v>
      </c>
      <c r="C8321" s="4">
        <v>155</v>
      </c>
      <c r="D8321" s="21">
        <f t="shared" si="664"/>
        <v>50395</v>
      </c>
      <c r="E8321" s="4">
        <v>2</v>
      </c>
      <c r="F8321" s="57">
        <f t="shared" si="671"/>
        <v>1113</v>
      </c>
      <c r="G8321" s="251">
        <f>SUM(C8321,C8297,C8273,C8249,C8225,C8201,C8177,C8153,C8129,C8105,C8081,C8057,C8033,C8009)/POBLA!$B$16*100000</f>
        <v>369.57772100426695</v>
      </c>
      <c r="H8321" s="252">
        <f t="shared" si="672"/>
        <v>0.65458422174840081</v>
      </c>
    </row>
    <row r="8322" spans="1:8" ht="15.75" thickBot="1" x14ac:dyDescent="0.3">
      <c r="A8322" s="42" t="s">
        <v>35</v>
      </c>
      <c r="B8322" s="19">
        <v>44239</v>
      </c>
      <c r="C8322" s="4">
        <v>91</v>
      </c>
      <c r="D8322" s="21">
        <f t="shared" si="664"/>
        <v>24700</v>
      </c>
      <c r="F8322" s="57">
        <f t="shared" si="671"/>
        <v>1059</v>
      </c>
      <c r="G8322" s="251">
        <f>SUM(C8322,C8298,C8274,C8250,C8226,C8202,C8178,C8154,C8130,C8106,C8082,C8058,C8034,C8010)/POBLA!$B$17*100000</f>
        <v>68.520222943463096</v>
      </c>
      <c r="H8322" s="252">
        <f t="shared" si="672"/>
        <v>1.3100671140939597</v>
      </c>
    </row>
    <row r="8323" spans="1:8" ht="15.75" thickBot="1" x14ac:dyDescent="0.3">
      <c r="A8323" s="42" t="s">
        <v>36</v>
      </c>
      <c r="B8323" s="19">
        <v>44239</v>
      </c>
      <c r="C8323" s="4">
        <v>61</v>
      </c>
      <c r="D8323" s="21">
        <f t="shared" ref="D8323:D8353" si="673">C8323+D8299</f>
        <v>14598</v>
      </c>
      <c r="F8323" s="57">
        <f t="shared" si="671"/>
        <v>203</v>
      </c>
      <c r="G8323" s="251">
        <f>SUM(C8323,C8299,C8275,C8251,C8227,C8203,C8179,C8155,C8131,C8107,C8083,C8059,C8035,C8011)/POBLA!$B$18*100000</f>
        <v>88.579741608285531</v>
      </c>
      <c r="H8323" s="252">
        <f t="shared" si="672"/>
        <v>0.78815489749430523</v>
      </c>
    </row>
    <row r="8324" spans="1:8" ht="15.75" thickBot="1" x14ac:dyDescent="0.3">
      <c r="A8324" s="42" t="s">
        <v>37</v>
      </c>
      <c r="B8324" s="19">
        <v>44239</v>
      </c>
      <c r="C8324" s="4">
        <v>10</v>
      </c>
      <c r="D8324" s="21">
        <f t="shared" si="673"/>
        <v>19155</v>
      </c>
      <c r="E8324" s="4">
        <v>1</v>
      </c>
      <c r="F8324" s="57">
        <f t="shared" si="671"/>
        <v>345</v>
      </c>
      <c r="G8324" s="251">
        <f>SUM(C8324,C8300,C8276,C8252,C8228,C8204,C8180,C8156,C8132,C8108,C8084,C8060,C8036,C8012)/POBLA!$B$19*100000</f>
        <v>38.164334838922898</v>
      </c>
      <c r="H8324" s="252">
        <f t="shared" si="672"/>
        <v>8.9483394833948335E-2</v>
      </c>
    </row>
    <row r="8325" spans="1:8" ht="15.75" thickBot="1" x14ac:dyDescent="0.3">
      <c r="A8325" s="42" t="s">
        <v>38</v>
      </c>
      <c r="B8325" s="19">
        <v>44239</v>
      </c>
      <c r="C8325" s="4">
        <v>121</v>
      </c>
      <c r="D8325" s="21">
        <f t="shared" si="673"/>
        <v>34412</v>
      </c>
      <c r="E8325" s="4">
        <v>9</v>
      </c>
      <c r="F8325" s="57">
        <f t="shared" si="671"/>
        <v>535</v>
      </c>
      <c r="G8325" s="251">
        <f>SUM(C8325,C8301,C8277,C8253,C8229,C8205,C8181,C8157,C8133,C8109,C8085,C8061,C8037,C8013)/POBLA!$B$20*100000</f>
        <v>576.43191923390339</v>
      </c>
      <c r="H8325" s="252">
        <f t="shared" si="672"/>
        <v>0.61368267831149925</v>
      </c>
    </row>
    <row r="8326" spans="1:8" ht="15.75" thickBot="1" x14ac:dyDescent="0.3">
      <c r="A8326" s="42" t="s">
        <v>23</v>
      </c>
      <c r="B8326" s="19">
        <v>44239</v>
      </c>
      <c r="C8326" s="4">
        <v>330</v>
      </c>
      <c r="D8326" s="21">
        <f t="shared" si="673"/>
        <v>211300</v>
      </c>
      <c r="E8326" s="4">
        <v>23</v>
      </c>
      <c r="F8326" s="57">
        <f t="shared" si="671"/>
        <v>3806</v>
      </c>
      <c r="G8326" s="251">
        <f>SUM(C8326,C8302,C8278,C8254,C8230,C8206,C8182,C8158,C8134,C8110,C8086,C8062,C8038,C8014)/POBLA!$B$21*100000</f>
        <v>175.48830483274318</v>
      </c>
      <c r="H8326" s="252">
        <f t="shared" si="672"/>
        <v>0.5274968125796855</v>
      </c>
    </row>
    <row r="8327" spans="1:8" ht="15.75" thickBot="1" x14ac:dyDescent="0.3">
      <c r="A8327" s="42" t="s">
        <v>39</v>
      </c>
      <c r="B8327" s="19">
        <v>44239</v>
      </c>
      <c r="C8327" s="4">
        <v>52</v>
      </c>
      <c r="D8327" s="21">
        <f t="shared" si="673"/>
        <v>21774</v>
      </c>
      <c r="E8327" s="4">
        <v>1</v>
      </c>
      <c r="F8327" s="57">
        <f t="shared" si="671"/>
        <v>257</v>
      </c>
      <c r="G8327" s="251">
        <f>SUM(C8327,C8303,C8279,C8255,C8231,C8207,C8183,C8159,C8135,C8111,C8087,C8063,C8039,C8015)/POBLA!$B$22*100000</f>
        <v>112.84731982504577</v>
      </c>
      <c r="H8327" s="252">
        <f t="shared" si="672"/>
        <v>0.83132530120481929</v>
      </c>
    </row>
    <row r="8328" spans="1:8" ht="15.75" thickBot="1" x14ac:dyDescent="0.3">
      <c r="A8328" s="42" t="s">
        <v>40</v>
      </c>
      <c r="B8328" s="19">
        <v>44239</v>
      </c>
      <c r="C8328" s="4">
        <v>47</v>
      </c>
      <c r="D8328" s="21">
        <f t="shared" si="673"/>
        <v>22413</v>
      </c>
      <c r="E8328" s="4">
        <v>1</v>
      </c>
      <c r="F8328" s="57">
        <f t="shared" si="671"/>
        <v>344</v>
      </c>
      <c r="G8328" s="251">
        <f>SUM(C8328,C8304,C8280,C8256,C8232,C8208,C8184,C8160,C8136,C8112,C8088,C8064,C8040,C8016)/POBLA!$B$23*100000</f>
        <v>369.28123056042529</v>
      </c>
      <c r="H8328" s="252">
        <f t="shared" si="672"/>
        <v>0.59417652411282984</v>
      </c>
    </row>
    <row r="8329" spans="1:8" ht="15.75" thickBot="1" x14ac:dyDescent="0.3">
      <c r="A8329" s="42" t="s">
        <v>41</v>
      </c>
      <c r="B8329" s="19">
        <v>44239</v>
      </c>
      <c r="C8329" s="4">
        <v>199</v>
      </c>
      <c r="D8329" s="98">
        <f t="shared" si="673"/>
        <v>77941</v>
      </c>
      <c r="E8329" s="4">
        <v>1</v>
      </c>
      <c r="F8329" s="255">
        <f t="shared" si="671"/>
        <v>1453</v>
      </c>
      <c r="G8329" s="251">
        <f>SUM(C8329,C8305,C8281,C8257,C8233,C8209,C8185,C8161,C8137,C8113,C8089,C8065,C8041,C8017)/POBLA!$B$24*100000</f>
        <v>98.72210053249745</v>
      </c>
      <c r="H8329" s="257">
        <f t="shared" si="672"/>
        <v>0.77132319041032738</v>
      </c>
    </row>
    <row r="8330" spans="1:8" ht="15.75" thickBot="1" x14ac:dyDescent="0.3">
      <c r="A8330" s="42" t="s">
        <v>17</v>
      </c>
      <c r="B8330" s="19">
        <v>44240</v>
      </c>
      <c r="C8330" s="4">
        <v>2448</v>
      </c>
      <c r="D8330" s="97">
        <f t="shared" si="673"/>
        <v>844009</v>
      </c>
      <c r="E8330" s="4">
        <v>54</v>
      </c>
      <c r="F8330" s="250">
        <f>E8330+F8306</f>
        <v>25469</v>
      </c>
      <c r="G8330" s="251">
        <f>SUM(C8330,C8306,C8282,C8258,C8234,C8210,C8186,C8162,C8138,C8114,C8090,C8066,C8042,C8018)/POBLA!$B$1*100000</f>
        <v>238.79860494821861</v>
      </c>
      <c r="H8330" s="230">
        <f t="shared" ref="H8330:H8336" si="674">SUM(C8330,C8306,C8282,C8258,C8234,C8210,C8186,C8162,C8138,C8114,C8090,C8066,C8042,C8018)/SUM(C7994,C7970,C7946,C7922,C7898,C7874,C7850,C7826,C7802,C7778,C7754,C7730,C7706,C7682)</f>
        <v>0.7864666453878072</v>
      </c>
    </row>
    <row r="8331" spans="1:8" ht="15.75" thickBot="1" x14ac:dyDescent="0.3">
      <c r="A8331" s="42" t="s">
        <v>44</v>
      </c>
      <c r="B8331" s="19">
        <v>44240</v>
      </c>
      <c r="C8331" s="4">
        <v>541</v>
      </c>
      <c r="D8331" s="21">
        <f t="shared" si="673"/>
        <v>221786</v>
      </c>
      <c r="E8331" s="4">
        <v>35</v>
      </c>
      <c r="F8331" s="57">
        <f t="shared" ref="F8331:F8353" si="675">E8331+F8307</f>
        <v>6287</v>
      </c>
      <c r="G8331" s="251">
        <f>SUM(C8331,C8307,C8283,C8259,C8235,C8211,C8187,C8163,C8139,C8115,C8091,C8067,C8043,C8019)/POBLA!$B$2*100000</f>
        <v>399.75341765599813</v>
      </c>
      <c r="H8331" s="252">
        <f t="shared" si="674"/>
        <v>0.77036340852130325</v>
      </c>
    </row>
    <row r="8332" spans="1:8" ht="15.75" thickBot="1" x14ac:dyDescent="0.3">
      <c r="A8332" s="42" t="s">
        <v>29</v>
      </c>
      <c r="B8332" s="19">
        <v>44240</v>
      </c>
      <c r="C8332" s="4">
        <v>78</v>
      </c>
      <c r="D8332" s="21">
        <f t="shared" si="673"/>
        <v>6761</v>
      </c>
      <c r="F8332" s="57">
        <f t="shared" si="675"/>
        <v>17</v>
      </c>
      <c r="G8332" s="251">
        <f>SUM(C8332,C8308,C8284,C8260,C8236,C8212,C8188,C8164,C8140,C8116,C8092,C8068,C8044,C8020)/POBLA!$B$3*100000</f>
        <v>365.87890371126377</v>
      </c>
      <c r="H8332" s="252">
        <f t="shared" si="674"/>
        <v>1.2914188615123194</v>
      </c>
    </row>
    <row r="8333" spans="1:8" ht="15.75" thickBot="1" x14ac:dyDescent="0.3">
      <c r="A8333" s="42" t="s">
        <v>16</v>
      </c>
      <c r="B8333" s="19">
        <v>44240</v>
      </c>
      <c r="C8333" s="4">
        <v>75</v>
      </c>
      <c r="D8333" s="21">
        <f t="shared" si="673"/>
        <v>32366</v>
      </c>
      <c r="E8333" s="4">
        <v>1</v>
      </c>
      <c r="F8333" s="57">
        <f t="shared" si="675"/>
        <v>832</v>
      </c>
      <c r="G8333" s="251">
        <f>SUM(C8333,C8309,C8285,C8261,C8237,C8213,C8189,C8165,C8141,C8117,C8093,C8069,C8045,C8021)/POBLA!$B$4*100000</f>
        <v>140.96655904614289</v>
      </c>
      <c r="H8333" s="252">
        <f t="shared" si="674"/>
        <v>0.72875536480686698</v>
      </c>
    </row>
    <row r="8334" spans="1:8" ht="15.75" thickBot="1" x14ac:dyDescent="0.3">
      <c r="A8334" s="42" t="s">
        <v>30</v>
      </c>
      <c r="B8334" s="19">
        <v>44240</v>
      </c>
      <c r="C8334" s="4">
        <v>112</v>
      </c>
      <c r="D8334" s="21">
        <f t="shared" si="673"/>
        <v>45149</v>
      </c>
      <c r="E8334" s="4">
        <v>3</v>
      </c>
      <c r="F8334" s="57">
        <f t="shared" si="675"/>
        <v>687</v>
      </c>
      <c r="G8334" s="251">
        <f>SUM(C8334,C8310,C8286,C8262,C8238,C8214,C8190,C8166,C8142,C8118,C8094,C8070,C8046,C8022)/POBLA!$B$5*100000</f>
        <v>473.83334895007062</v>
      </c>
      <c r="H8334" s="252">
        <f t="shared" si="674"/>
        <v>0.71034148704286748</v>
      </c>
    </row>
    <row r="8335" spans="1:8" ht="15.75" thickBot="1" x14ac:dyDescent="0.3">
      <c r="A8335" s="42" t="s">
        <v>31</v>
      </c>
      <c r="B8335" s="19">
        <v>44240</v>
      </c>
      <c r="C8335" s="4">
        <v>53</v>
      </c>
      <c r="D8335" s="21">
        <f t="shared" si="673"/>
        <v>19261</v>
      </c>
      <c r="E8335" s="4">
        <v>36</v>
      </c>
      <c r="F8335" s="57">
        <f t="shared" si="675"/>
        <v>256</v>
      </c>
      <c r="G8335" s="251">
        <f>SUM(C8335,C8311,C8287,C8263,C8239,C8215,C8191,C8167,C8143,C8119,C8095,C8071,C8047,C8023)/POBLA!$B$7*100000</f>
        <v>51.297052214495601</v>
      </c>
      <c r="H8335" s="252">
        <f t="shared" si="674"/>
        <v>0.8764198091776465</v>
      </c>
    </row>
    <row r="8336" spans="1:8" ht="15.75" thickBot="1" x14ac:dyDescent="0.3">
      <c r="A8336" s="42" t="s">
        <v>21</v>
      </c>
      <c r="B8336" s="19">
        <v>44240</v>
      </c>
      <c r="C8336" s="4">
        <v>554</v>
      </c>
      <c r="D8336" s="21">
        <f t="shared" si="673"/>
        <v>151767</v>
      </c>
      <c r="E8336" s="4">
        <v>2</v>
      </c>
      <c r="F8336" s="57">
        <f t="shared" si="675"/>
        <v>2772</v>
      </c>
      <c r="G8336" s="251">
        <f>SUM(C8336,C8312,C8288,C8264,C8240,C8216,C8192,C8168,C8144,C8120,C8096,C8072,C8048,C8024)/POBLA!$B$6*100000</f>
        <v>630.88808807272653</v>
      </c>
      <c r="H8336" s="252">
        <f t="shared" si="674"/>
        <v>0.99339702163529087</v>
      </c>
    </row>
    <row r="8337" spans="1:8" ht="15.75" thickBot="1" x14ac:dyDescent="0.3">
      <c r="A8337" s="42" t="s">
        <v>32</v>
      </c>
      <c r="B8337" s="19">
        <v>44240</v>
      </c>
      <c r="C8337" s="4">
        <v>110</v>
      </c>
      <c r="D8337" s="21">
        <f t="shared" si="673"/>
        <v>43431</v>
      </c>
      <c r="E8337" s="4">
        <v>2</v>
      </c>
      <c r="F8337" s="57">
        <f t="shared" si="675"/>
        <v>791</v>
      </c>
      <c r="G8337" s="251">
        <f>SUM(C8337,C8313,C8289,C8265,C8241,C8217,C8193,C8169,C8145,C8121,C8097,C8073,C8049,C8025)/POBLA!$B$8*100000</f>
        <v>185.35875107596823</v>
      </c>
      <c r="H8337" s="252">
        <f t="shared" ref="H8337:H8353" si="676">SUM(C8337,C8313,C8289,C8265,C8241,C8217,C8193,C8169,C8145,C8121,C8097,C8073,C8049,C8025)/SUM(C8001,C7977,C7953,C7929,C7905,C7881,C7857,C7833,C7809,C7785,C7761,C7737,C7713,C7689)</f>
        <v>0.54822876653862573</v>
      </c>
    </row>
    <row r="8338" spans="1:8" ht="15.75" thickBot="1" x14ac:dyDescent="0.3">
      <c r="A8338" s="42" t="s">
        <v>42</v>
      </c>
      <c r="B8338" s="19">
        <v>44240</v>
      </c>
      <c r="C8338" s="4">
        <v>21</v>
      </c>
      <c r="D8338" s="21">
        <f t="shared" si="673"/>
        <v>958</v>
      </c>
      <c r="F8338" s="57">
        <f t="shared" si="675"/>
        <v>9</v>
      </c>
      <c r="G8338" s="251">
        <f>SUM(C8338,C8314,C8290,C8266,C8242,C8218,C8194,C8170,C8146,C8122,C8098,C8074,C8050,C8026)/POBLA!$B$9*100000</f>
        <v>19.002202603136521</v>
      </c>
      <c r="H8338" s="252">
        <f t="shared" si="676"/>
        <v>0.44921875</v>
      </c>
    </row>
    <row r="8339" spans="1:8" ht="15.75" thickBot="1" x14ac:dyDescent="0.3">
      <c r="A8339" s="42" t="s">
        <v>33</v>
      </c>
      <c r="B8339" s="19">
        <v>44240</v>
      </c>
      <c r="C8339" s="4">
        <v>25</v>
      </c>
      <c r="D8339" s="21">
        <f t="shared" si="673"/>
        <v>19720</v>
      </c>
      <c r="E8339" s="4">
        <v>1</v>
      </c>
      <c r="F8339" s="57">
        <f t="shared" si="675"/>
        <v>890</v>
      </c>
      <c r="G8339" s="251">
        <f>SUM(C8339,C8315,C8291,C8267,C8243,C8219,C8195,C8171,C8147,C8123,C8099,C8075,C8051,C8027)/POBLA!$B$10*100000</f>
        <v>55.52089103246805</v>
      </c>
      <c r="H8339" s="252">
        <f t="shared" si="676"/>
        <v>0.8716904276985743</v>
      </c>
    </row>
    <row r="8340" spans="1:8" ht="15.75" thickBot="1" x14ac:dyDescent="0.3">
      <c r="A8340" s="42" t="s">
        <v>34</v>
      </c>
      <c r="B8340" s="19">
        <v>44240</v>
      </c>
      <c r="C8340" s="4">
        <v>122</v>
      </c>
      <c r="D8340" s="21">
        <f t="shared" si="673"/>
        <v>17668</v>
      </c>
      <c r="F8340" s="57">
        <f t="shared" si="675"/>
        <v>268</v>
      </c>
      <c r="G8340" s="251">
        <f>SUM(C8340,C8316,C8292,C8268,C8244,C8220,C8196,C8172,C8148,C8124,C8100,C8076,C8052,C8028)/POBLA!$B$11*100000</f>
        <v>356.55696541564834</v>
      </c>
      <c r="H8340" s="252">
        <f t="shared" si="676"/>
        <v>0.82664941785252266</v>
      </c>
    </row>
    <row r="8341" spans="1:8" ht="15.75" thickBot="1" x14ac:dyDescent="0.3">
      <c r="A8341" s="42" t="s">
        <v>22</v>
      </c>
      <c r="B8341" s="19">
        <v>44240</v>
      </c>
      <c r="C8341" s="4">
        <v>32</v>
      </c>
      <c r="D8341" s="21">
        <f t="shared" si="673"/>
        <v>9816</v>
      </c>
      <c r="F8341" s="57">
        <f t="shared" si="675"/>
        <v>415</v>
      </c>
      <c r="G8341" s="251">
        <f>SUM(C8341,C8317,C8293,C8269,C8245,C8221,C8197,C8173,C8149,C8125,C8101,C8077,C8053,C8029)/POBLA!$B$12*100000</f>
        <v>72.167122793375867</v>
      </c>
      <c r="H8341" s="252">
        <f t="shared" si="676"/>
        <v>1.1451612903225807</v>
      </c>
    </row>
    <row r="8342" spans="1:8" ht="15.75" thickBot="1" x14ac:dyDescent="0.3">
      <c r="A8342" s="42" t="s">
        <v>18</v>
      </c>
      <c r="B8342" s="19">
        <v>44240</v>
      </c>
      <c r="C8342" s="4">
        <v>101</v>
      </c>
      <c r="D8342" s="21">
        <f t="shared" si="673"/>
        <v>65620</v>
      </c>
      <c r="F8342" s="57">
        <f t="shared" si="675"/>
        <v>1413</v>
      </c>
      <c r="G8342" s="251">
        <f>SUM(C8342,C8318,C8294,C8270,C8246,C8222,C8198,C8174,C8150,C8126,C8102,C8078,C8054,C8030)/POBLA!$B$13*100000</f>
        <v>93.049522241950868</v>
      </c>
      <c r="H8342" s="252">
        <f t="shared" si="676"/>
        <v>1.161128526645768</v>
      </c>
    </row>
    <row r="8343" spans="1:8" ht="15.75" thickBot="1" x14ac:dyDescent="0.3">
      <c r="A8343" s="42" t="s">
        <v>24</v>
      </c>
      <c r="B8343" s="19">
        <v>44240</v>
      </c>
      <c r="C8343" s="4">
        <v>99</v>
      </c>
      <c r="D8343" s="21">
        <f t="shared" si="673"/>
        <v>6619</v>
      </c>
      <c r="E8343" s="4">
        <v>2</v>
      </c>
      <c r="F8343" s="57">
        <f t="shared" si="675"/>
        <v>119</v>
      </c>
      <c r="G8343" s="251">
        <f>SUM(C8343,C8319,C8295,C8271,C8247,C8223,C8199,C8175,C8151,C8127,C8103,C8079,C8055,C8031)/POBLA!$B$14*100000</f>
        <v>161.8972261820004</v>
      </c>
      <c r="H8343" s="252">
        <f t="shared" si="676"/>
        <v>0.79548110634982472</v>
      </c>
    </row>
    <row r="8344" spans="1:8" ht="15.75" thickBot="1" x14ac:dyDescent="0.3">
      <c r="A8344" s="42" t="s">
        <v>20</v>
      </c>
      <c r="B8344" s="19">
        <v>44240</v>
      </c>
      <c r="C8344" s="4">
        <v>183</v>
      </c>
      <c r="D8344" s="21">
        <f t="shared" si="673"/>
        <v>58431</v>
      </c>
      <c r="E8344" s="4">
        <v>17</v>
      </c>
      <c r="F8344" s="57">
        <f t="shared" si="675"/>
        <v>841</v>
      </c>
      <c r="G8344" s="251">
        <f>SUM(C8344,C8320,C8296,C8272,C8248,C8224,C8200,C8176,C8152,C8128,C8104,C8080,C8056,C8032)/POBLA!$B$15*100000</f>
        <v>696.77753566335423</v>
      </c>
      <c r="H8344" s="252">
        <f t="shared" si="676"/>
        <v>0.79611149346180321</v>
      </c>
    </row>
    <row r="8345" spans="1:8" ht="15.75" thickBot="1" x14ac:dyDescent="0.3">
      <c r="A8345" s="42" t="s">
        <v>19</v>
      </c>
      <c r="B8345" s="19">
        <v>44240</v>
      </c>
      <c r="C8345" s="4">
        <v>115</v>
      </c>
      <c r="D8345" s="21">
        <f t="shared" si="673"/>
        <v>50510</v>
      </c>
      <c r="E8345" s="4">
        <v>2</v>
      </c>
      <c r="F8345" s="57">
        <f t="shared" si="675"/>
        <v>1115</v>
      </c>
      <c r="G8345" s="251">
        <f>SUM(C8345,C8321,C8297,C8273,C8249,C8225,C8201,C8177,C8153,C8129,C8105,C8081,C8057,C8033)/POBLA!$B$16*100000</f>
        <v>360.61582910875995</v>
      </c>
      <c r="H8345" s="252">
        <f t="shared" si="676"/>
        <v>0.65644022400779156</v>
      </c>
    </row>
    <row r="8346" spans="1:8" ht="15.75" thickBot="1" x14ac:dyDescent="0.3">
      <c r="A8346" s="42" t="s">
        <v>35</v>
      </c>
      <c r="B8346" s="19">
        <v>44240</v>
      </c>
      <c r="C8346" s="4">
        <v>103</v>
      </c>
      <c r="D8346" s="21">
        <f t="shared" si="673"/>
        <v>24803</v>
      </c>
      <c r="E8346" s="4">
        <v>2</v>
      </c>
      <c r="F8346" s="57">
        <f t="shared" si="675"/>
        <v>1061</v>
      </c>
      <c r="G8346" s="251">
        <f>SUM(C8346,C8322,C8298,C8274,C8250,C8226,C8202,C8178,C8154,C8130,C8106,C8082,C8058,C8034)/POBLA!$B$17*100000</f>
        <v>71.960275119927942</v>
      </c>
      <c r="H8346" s="252">
        <f t="shared" si="676"/>
        <v>1.3945578231292517</v>
      </c>
    </row>
    <row r="8347" spans="1:8" ht="15.75" thickBot="1" x14ac:dyDescent="0.3">
      <c r="A8347" s="42" t="s">
        <v>36</v>
      </c>
      <c r="B8347" s="19">
        <v>44240</v>
      </c>
      <c r="C8347" s="4">
        <v>6</v>
      </c>
      <c r="D8347" s="21">
        <f t="shared" si="673"/>
        <v>14604</v>
      </c>
      <c r="F8347" s="57">
        <f t="shared" si="675"/>
        <v>203</v>
      </c>
      <c r="G8347" s="251">
        <f>SUM(C8347,C8323,C8299,C8275,C8251,C8227,C8203,C8179,C8155,C8131,C8107,C8083,C8059,C8035)/POBLA!$B$18*100000</f>
        <v>85.123595620679012</v>
      </c>
      <c r="H8347" s="252">
        <f t="shared" si="676"/>
        <v>0.78143360752056401</v>
      </c>
    </row>
    <row r="8348" spans="1:8" ht="15.75" thickBot="1" x14ac:dyDescent="0.3">
      <c r="A8348" s="42" t="s">
        <v>37</v>
      </c>
      <c r="B8348" s="19">
        <v>44240</v>
      </c>
      <c r="C8348" s="4">
        <v>627</v>
      </c>
      <c r="D8348" s="21">
        <f t="shared" si="673"/>
        <v>19782</v>
      </c>
      <c r="F8348" s="57">
        <f t="shared" si="675"/>
        <v>345</v>
      </c>
      <c r="G8348" s="251">
        <f>SUM(C8348,C8324,C8300,C8276,C8252,C8228,C8204,C8180,C8156,C8132,C8108,C8084,C8060,C8036)/POBLA!$B$19*100000</f>
        <v>156.19836011394219</v>
      </c>
      <c r="H8348" s="252">
        <f t="shared" si="676"/>
        <v>0.3657300783049286</v>
      </c>
    </row>
    <row r="8349" spans="1:8" ht="15.75" thickBot="1" x14ac:dyDescent="0.3">
      <c r="A8349" s="42" t="s">
        <v>38</v>
      </c>
      <c r="B8349" s="19">
        <v>44240</v>
      </c>
      <c r="C8349" s="4">
        <v>65</v>
      </c>
      <c r="D8349" s="21">
        <f t="shared" si="673"/>
        <v>34477</v>
      </c>
      <c r="E8349" s="4">
        <v>1</v>
      </c>
      <c r="F8349" s="57">
        <f t="shared" si="675"/>
        <v>536</v>
      </c>
      <c r="G8349" s="251">
        <f>SUM(C8349,C8325,C8301,C8277,C8253,C8229,C8205,C8181,C8157,C8133,C8109,C8085,C8061,C8037)/POBLA!$B$20*100000</f>
        <v>556.74354248587633</v>
      </c>
      <c r="H8349" s="252">
        <f t="shared" si="676"/>
        <v>0.61177884615384615</v>
      </c>
    </row>
    <row r="8350" spans="1:8" ht="15.75" thickBot="1" x14ac:dyDescent="0.3">
      <c r="A8350" s="42" t="s">
        <v>23</v>
      </c>
      <c r="B8350" s="19">
        <v>44240</v>
      </c>
      <c r="C8350" s="4">
        <v>424</v>
      </c>
      <c r="D8350" s="21">
        <f t="shared" si="673"/>
        <v>211724</v>
      </c>
      <c r="E8350" s="4">
        <v>1</v>
      </c>
      <c r="F8350" s="57">
        <f t="shared" si="675"/>
        <v>3807</v>
      </c>
      <c r="G8350" s="251">
        <f>SUM(C8350,C8326,C8302,C8278,C8254,C8230,C8206,C8182,C8158,C8134,C8110,C8086,C8062,C8038)/POBLA!$B$21*100000</f>
        <v>172.9150796088019</v>
      </c>
      <c r="H8350" s="252">
        <f t="shared" si="676"/>
        <v>0.54588466345295483</v>
      </c>
    </row>
    <row r="8351" spans="1:8" ht="15.75" thickBot="1" x14ac:dyDescent="0.3">
      <c r="A8351" s="42" t="s">
        <v>39</v>
      </c>
      <c r="B8351" s="19">
        <v>44240</v>
      </c>
      <c r="C8351" s="4">
        <v>59</v>
      </c>
      <c r="D8351" s="21">
        <f t="shared" si="673"/>
        <v>21833</v>
      </c>
      <c r="F8351" s="57">
        <f t="shared" si="675"/>
        <v>257</v>
      </c>
      <c r="G8351" s="251">
        <f>SUM(C8351,C8327,C8303,C8279,C8255,C8231,C8207,C8183,C8159,C8135,C8111,C8087,C8063,C8039)/POBLA!$B$22*100000</f>
        <v>109.47416624331886</v>
      </c>
      <c r="H8351" s="252">
        <f t="shared" si="676"/>
        <v>0.81943381790359604</v>
      </c>
    </row>
    <row r="8352" spans="1:8" ht="15.75" thickBot="1" x14ac:dyDescent="0.3">
      <c r="A8352" s="42" t="s">
        <v>40</v>
      </c>
      <c r="B8352" s="19">
        <v>44240</v>
      </c>
      <c r="C8352" s="4">
        <v>14</v>
      </c>
      <c r="D8352" s="21">
        <f t="shared" si="673"/>
        <v>22427</v>
      </c>
      <c r="F8352" s="57">
        <f t="shared" si="675"/>
        <v>344</v>
      </c>
      <c r="G8352" s="251">
        <f>SUM(C8352,C8328,C8304,C8280,C8256,C8232,C8208,C8184,C8160,C8136,C8112,C8088,C8064,C8040)/POBLA!$B$23*100000</f>
        <v>368.71571565910762</v>
      </c>
      <c r="H8352" s="252">
        <f t="shared" si="676"/>
        <v>0.60651162790697677</v>
      </c>
    </row>
    <row r="8353" spans="1:8" ht="15.75" thickBot="1" x14ac:dyDescent="0.3">
      <c r="A8353" s="42" t="s">
        <v>41</v>
      </c>
      <c r="B8353" s="19">
        <v>44240</v>
      </c>
      <c r="C8353" s="4">
        <v>90</v>
      </c>
      <c r="D8353" s="98">
        <f t="shared" si="673"/>
        <v>78031</v>
      </c>
      <c r="F8353" s="255">
        <f t="shared" si="675"/>
        <v>1453</v>
      </c>
      <c r="G8353" s="251">
        <f>SUM(C8353,C8329,C8305,C8281,C8257,C8233,C8209,C8185,C8161,C8137,C8113,C8089,C8065,C8041)/POBLA!$B$24*100000</f>
        <v>100.66939839117792</v>
      </c>
      <c r="H8353" s="257">
        <f t="shared" si="676"/>
        <v>0.80018761726078802</v>
      </c>
    </row>
    <row r="8354" spans="1:8" ht="15.75" thickBot="1" x14ac:dyDescent="0.3">
      <c r="A8354" s="42" t="s">
        <v>17</v>
      </c>
      <c r="B8354" s="19">
        <v>44241</v>
      </c>
      <c r="C8354" s="4">
        <v>1590</v>
      </c>
      <c r="D8354" s="97">
        <f t="shared" ref="D8354:D8417" si="677">C8354+D8330</f>
        <v>845599</v>
      </c>
      <c r="E8354" s="4">
        <v>3</v>
      </c>
      <c r="F8354" s="250">
        <f>E8354+F8330</f>
        <v>25472</v>
      </c>
      <c r="G8354" s="251">
        <f>SUM(C8354,C8330,C8306,C8282,C8258,C8234,C8210,C8186,C8162,C8138,C8114,C8090,C8066,C8042)/POBLA!$B$1*100000</f>
        <v>235.16714220585766</v>
      </c>
      <c r="H8354" s="230">
        <f t="shared" ref="H8354:H8360" si="678">SUM(C8354,C8330,C8306,C8282,C8258,C8234,C8210,C8186,C8162,C8138,C8114,C8090,C8066,C8042)/SUM(C8018,C7994,C7970,C7946,C7922,C7898,C7874,C7850,C7826,C7802,C7778,C7754,C7730,C7706)</f>
        <v>0.77993949706938925</v>
      </c>
    </row>
    <row r="8355" spans="1:8" ht="15.75" thickBot="1" x14ac:dyDescent="0.3">
      <c r="A8355" s="42" t="s">
        <v>44</v>
      </c>
      <c r="B8355" s="19">
        <v>44241</v>
      </c>
      <c r="C8355" s="4">
        <v>657</v>
      </c>
      <c r="D8355" s="21">
        <f t="shared" si="677"/>
        <v>222443</v>
      </c>
      <c r="E8355" s="4">
        <v>7</v>
      </c>
      <c r="F8355" s="57">
        <f t="shared" ref="F8355:F8377" si="679">E8355+F8331</f>
        <v>6294</v>
      </c>
      <c r="G8355" s="251">
        <f>SUM(C8355,C8331,C8307,C8283,C8259,C8235,C8211,C8187,C8163,C8139,C8115,C8091,C8067,C8043)/POBLA!$B$2*100000</f>
        <v>396.5020681833995</v>
      </c>
      <c r="H8355" s="252">
        <f t="shared" si="678"/>
        <v>0.78374035989717228</v>
      </c>
    </row>
    <row r="8356" spans="1:8" ht="15.75" thickBot="1" x14ac:dyDescent="0.3">
      <c r="A8356" s="42" t="s">
        <v>29</v>
      </c>
      <c r="B8356" s="19">
        <v>44241</v>
      </c>
      <c r="C8356" s="4">
        <v>32</v>
      </c>
      <c r="D8356" s="21">
        <f t="shared" si="677"/>
        <v>6793</v>
      </c>
      <c r="F8356" s="57">
        <f t="shared" si="679"/>
        <v>17</v>
      </c>
      <c r="G8356" s="251">
        <f>SUM(C8356,C8332,C8308,C8284,C8260,C8236,C8212,C8188,C8164,C8140,C8116,C8092,C8068,C8044)/POBLA!$B$3*100000</f>
        <v>339.40082515321183</v>
      </c>
      <c r="H8356" s="252">
        <f t="shared" si="678"/>
        <v>1.1730449251247921</v>
      </c>
    </row>
    <row r="8357" spans="1:8" ht="15.75" thickBot="1" x14ac:dyDescent="0.3">
      <c r="A8357" s="42" t="s">
        <v>16</v>
      </c>
      <c r="B8357" s="19">
        <v>44241</v>
      </c>
      <c r="C8357" s="4">
        <v>80</v>
      </c>
      <c r="D8357" s="21">
        <f t="shared" si="677"/>
        <v>32446</v>
      </c>
      <c r="E8357" s="4">
        <v>1</v>
      </c>
      <c r="F8357" s="57">
        <f t="shared" si="679"/>
        <v>833</v>
      </c>
      <c r="G8357" s="251">
        <f>SUM(C8357,C8333,C8309,C8285,C8261,C8237,C8213,C8189,C8165,C8141,C8117,C8093,C8069,C8045)/POBLA!$B$4*100000</f>
        <v>140.46844399650988</v>
      </c>
      <c r="H8357" s="252">
        <f t="shared" si="678"/>
        <v>0.75434685688809633</v>
      </c>
    </row>
    <row r="8358" spans="1:8" ht="15.75" thickBot="1" x14ac:dyDescent="0.3">
      <c r="A8358" s="42" t="s">
        <v>30</v>
      </c>
      <c r="B8358" s="19">
        <v>44241</v>
      </c>
      <c r="C8358" s="4">
        <v>82</v>
      </c>
      <c r="D8358" s="21">
        <f t="shared" si="677"/>
        <v>45231</v>
      </c>
      <c r="E8358" s="4">
        <v>0</v>
      </c>
      <c r="F8358" s="57">
        <f>E8358+F8334</f>
        <v>687</v>
      </c>
      <c r="G8358" s="251">
        <f>SUM(C8358,C8334,C8310,C8286,C8262,C8238,C8214,C8190,C8166,C8142,C8118,C8094,C8070,C8046)/POBLA!$B$5*100000</f>
        <v>472.54092931433905</v>
      </c>
      <c r="H8358" s="252">
        <f t="shared" si="678"/>
        <v>0.71902654867256632</v>
      </c>
    </row>
    <row r="8359" spans="1:8" ht="15.75" thickBot="1" x14ac:dyDescent="0.3">
      <c r="A8359" s="42" t="s">
        <v>31</v>
      </c>
      <c r="B8359" s="19">
        <v>44241</v>
      </c>
      <c r="C8359" s="4">
        <v>88</v>
      </c>
      <c r="D8359" s="21">
        <f t="shared" si="677"/>
        <v>19349</v>
      </c>
      <c r="E8359" s="4">
        <v>29</v>
      </c>
      <c r="F8359" s="57">
        <f>E8359+F8335</f>
        <v>285</v>
      </c>
      <c r="G8359" s="251">
        <f>SUM(C8359,C8335,C8311,C8287,C8263,C8239,C8215,C8191,C8167,C8143,C8119,C8095,C8071,C8047)/POBLA!$B$7*100000</f>
        <v>52.546902631334014</v>
      </c>
      <c r="H8359" s="252">
        <f t="shared" si="678"/>
        <v>1.036726128016789</v>
      </c>
    </row>
    <row r="8360" spans="1:8" ht="15.75" thickBot="1" x14ac:dyDescent="0.3">
      <c r="A8360" s="42" t="s">
        <v>21</v>
      </c>
      <c r="B8360" s="19">
        <v>44241</v>
      </c>
      <c r="C8360" s="4">
        <v>278</v>
      </c>
      <c r="D8360" s="21">
        <f t="shared" si="677"/>
        <v>152045</v>
      </c>
      <c r="E8360" s="4">
        <v>2</v>
      </c>
      <c r="F8360" s="57">
        <f>E8360+F8336</f>
        <v>2774</v>
      </c>
      <c r="G8360" s="251">
        <f>SUM(C8360,C8336,C8312,C8288,C8264,C8240,C8216,C8192,C8168,C8144,C8120,C8096,C8072,C8048)/POBLA!$B$6*100000</f>
        <v>624.99944236309568</v>
      </c>
      <c r="H8360" s="252">
        <f t="shared" si="678"/>
        <v>0.95958904109589038</v>
      </c>
    </row>
    <row r="8361" spans="1:8" ht="15.75" thickBot="1" x14ac:dyDescent="0.3">
      <c r="A8361" s="42" t="s">
        <v>32</v>
      </c>
      <c r="B8361" s="19">
        <v>44241</v>
      </c>
      <c r="C8361" s="4">
        <v>115</v>
      </c>
      <c r="D8361" s="21">
        <f t="shared" si="677"/>
        <v>43546</v>
      </c>
      <c r="E8361" s="4">
        <v>1</v>
      </c>
      <c r="F8361" s="57">
        <f t="shared" si="679"/>
        <v>792</v>
      </c>
      <c r="G8361" s="251">
        <f>SUM(C8361,C8337,C8313,C8289,C8265,C8241,C8217,C8193,C8169,C8145,C8121,C8097,C8073,C8049)/POBLA!$B$8*100000</f>
        <v>184.49292584711981</v>
      </c>
      <c r="H8361" s="252">
        <f t="shared" ref="H8361:H8377" si="680">SUM(C8361,C8337,C8313,C8289,C8265,C8241,C8217,C8193,C8169,C8145,C8121,C8097,C8073,C8049)/SUM(C8025,C8001,C7977,C7953,C7929,C7905,C7881,C7857,C7833,C7809,C7785,C7761,C7737,C7713)</f>
        <v>0.56847487772343264</v>
      </c>
    </row>
    <row r="8362" spans="1:8" ht="15.75" thickBot="1" x14ac:dyDescent="0.3">
      <c r="A8362" s="42" t="s">
        <v>42</v>
      </c>
      <c r="B8362" s="19">
        <v>44241</v>
      </c>
      <c r="C8362" s="4">
        <v>10</v>
      </c>
      <c r="D8362" s="21">
        <f t="shared" si="677"/>
        <v>968</v>
      </c>
      <c r="F8362" s="57">
        <f t="shared" si="679"/>
        <v>9</v>
      </c>
      <c r="G8362" s="251">
        <f>SUM(C8362,C8338,C8314,C8290,C8266,C8242,C8218,C8194,C8170,C8146,C8122,C8098,C8074,C8050)/POBLA!$B$9*100000</f>
        <v>20.654568046887523</v>
      </c>
      <c r="H8362" s="252">
        <f t="shared" si="680"/>
        <v>0.69444444444444442</v>
      </c>
    </row>
    <row r="8363" spans="1:8" ht="15.75" thickBot="1" x14ac:dyDescent="0.3">
      <c r="A8363" s="42" t="s">
        <v>33</v>
      </c>
      <c r="B8363" s="19">
        <v>44241</v>
      </c>
      <c r="C8363" s="4">
        <v>49</v>
      </c>
      <c r="D8363" s="21">
        <f t="shared" si="677"/>
        <v>19769</v>
      </c>
      <c r="E8363" s="4">
        <v>1</v>
      </c>
      <c r="F8363" s="57">
        <f t="shared" si="679"/>
        <v>891</v>
      </c>
      <c r="G8363" s="251">
        <f>SUM(C8363,C8339,C8315,C8291,C8267,C8243,C8219,C8195,C8171,C8147,C8123,C8099,C8075,C8051)/POBLA!$B$10*100000</f>
        <v>59.67198568910117</v>
      </c>
      <c r="H8363" s="252">
        <f t="shared" si="680"/>
        <v>1.0267857142857142</v>
      </c>
    </row>
    <row r="8364" spans="1:8" ht="15.75" thickBot="1" x14ac:dyDescent="0.3">
      <c r="A8364" s="42" t="s">
        <v>34</v>
      </c>
      <c r="B8364" s="19">
        <v>44241</v>
      </c>
      <c r="C8364" s="4">
        <v>46</v>
      </c>
      <c r="D8364" s="21">
        <f t="shared" si="677"/>
        <v>17714</v>
      </c>
      <c r="F8364" s="57">
        <f t="shared" si="679"/>
        <v>268</v>
      </c>
      <c r="G8364" s="251">
        <f>SUM(C8364,C8340,C8316,C8292,C8268,C8244,C8220,C8196,C8172,C8148,C8124,C8100,C8076,C8052)/POBLA!$B$11*100000</f>
        <v>355.7199772339215</v>
      </c>
      <c r="H8364" s="252">
        <f t="shared" si="680"/>
        <v>0.88296398891966754</v>
      </c>
    </row>
    <row r="8365" spans="1:8" ht="15.75" thickBot="1" x14ac:dyDescent="0.3">
      <c r="A8365" s="42" t="s">
        <v>22</v>
      </c>
      <c r="B8365" s="19">
        <v>44241</v>
      </c>
      <c r="C8365" s="4">
        <v>31</v>
      </c>
      <c r="D8365" s="21">
        <f t="shared" si="677"/>
        <v>9847</v>
      </c>
      <c r="F8365" s="57">
        <f t="shared" si="679"/>
        <v>415</v>
      </c>
      <c r="G8365" s="251">
        <f>SUM(C8365,C8341,C8317,C8293,C8269,C8245,C8221,C8197,C8173,C8149,C8125,C8101,C8077,C8053)/POBLA!$B$12*100000</f>
        <v>75.978766602885159</v>
      </c>
      <c r="H8365" s="252">
        <f t="shared" si="680"/>
        <v>1.2458333333333333</v>
      </c>
    </row>
    <row r="8366" spans="1:8" ht="15.75" thickBot="1" x14ac:dyDescent="0.3">
      <c r="A8366" s="42" t="s">
        <v>18</v>
      </c>
      <c r="B8366" s="19">
        <v>44241</v>
      </c>
      <c r="C8366" s="4">
        <v>43</v>
      </c>
      <c r="D8366" s="21">
        <f t="shared" si="677"/>
        <v>65663</v>
      </c>
      <c r="F8366" s="57">
        <f t="shared" si="679"/>
        <v>1413</v>
      </c>
      <c r="G8366" s="251">
        <f>SUM(C8366,C8342,C8318,C8294,C8270,C8246,C8222,C8198,C8174,C8150,C8126,C8102,C8078,C8054)/POBLA!$B$13*100000</f>
        <v>92.949036796765171</v>
      </c>
      <c r="H8366" s="252">
        <f t="shared" si="680"/>
        <v>1.1613308223477714</v>
      </c>
    </row>
    <row r="8367" spans="1:8" ht="15.75" thickBot="1" x14ac:dyDescent="0.3">
      <c r="A8367" s="42" t="s">
        <v>24</v>
      </c>
      <c r="B8367" s="19">
        <v>44241</v>
      </c>
      <c r="C8367" s="4">
        <v>117</v>
      </c>
      <c r="D8367" s="21">
        <f t="shared" si="677"/>
        <v>6736</v>
      </c>
      <c r="F8367" s="57">
        <f t="shared" si="679"/>
        <v>119</v>
      </c>
      <c r="G8367" s="251">
        <f>SUM(C8367,C8343,C8319,C8295,C8271,C8247,C8223,C8199,C8175,C8151,C8127,C8103,C8079,C8055)/POBLA!$B$14*100000</f>
        <v>160.70797133737258</v>
      </c>
      <c r="H8367" s="252">
        <f t="shared" si="680"/>
        <v>0.80150257018584425</v>
      </c>
    </row>
    <row r="8368" spans="1:8" ht="15.75" thickBot="1" x14ac:dyDescent="0.3">
      <c r="A8368" s="42" t="s">
        <v>20</v>
      </c>
      <c r="B8368" s="19">
        <v>44241</v>
      </c>
      <c r="C8368" s="4">
        <v>232</v>
      </c>
      <c r="D8368" s="21">
        <f t="shared" si="677"/>
        <v>58663</v>
      </c>
      <c r="E8368" s="4">
        <v>1</v>
      </c>
      <c r="F8368" s="57">
        <f t="shared" si="679"/>
        <v>842</v>
      </c>
      <c r="G8368" s="251">
        <f>SUM(C8368,C8344,C8320,C8296,C8272,C8248,C8224,C8200,C8176,C8152,C8128,C8104,C8080,C8056)/POBLA!$B$15*100000</f>
        <v>693.61515653023764</v>
      </c>
      <c r="H8368" s="252">
        <f t="shared" si="680"/>
        <v>0.78775440396784679</v>
      </c>
    </row>
    <row r="8369" spans="1:8" ht="15.75" thickBot="1" x14ac:dyDescent="0.3">
      <c r="A8369" s="42" t="s">
        <v>19</v>
      </c>
      <c r="B8369" s="19">
        <v>44241</v>
      </c>
      <c r="C8369" s="4">
        <v>87</v>
      </c>
      <c r="D8369" s="21">
        <f t="shared" si="677"/>
        <v>50597</v>
      </c>
      <c r="F8369" s="57">
        <f t="shared" si="679"/>
        <v>1115</v>
      </c>
      <c r="G8369" s="251">
        <f>SUM(C8369,C8345,C8321,C8297,C8273,C8249,C8225,C8201,C8177,C8153,C8129,C8105,C8081,C8057)/POBLA!$B$16*100000</f>
        <v>362.35470365564936</v>
      </c>
      <c r="H8369" s="252">
        <f t="shared" si="680"/>
        <v>0.67657342657342656</v>
      </c>
    </row>
    <row r="8370" spans="1:8" ht="15.75" thickBot="1" x14ac:dyDescent="0.3">
      <c r="A8370" s="42" t="s">
        <v>35</v>
      </c>
      <c r="B8370" s="19">
        <v>44241</v>
      </c>
      <c r="C8370" s="4">
        <v>34</v>
      </c>
      <c r="D8370" s="21">
        <f t="shared" si="677"/>
        <v>24837</v>
      </c>
      <c r="E8370" s="4">
        <v>2</v>
      </c>
      <c r="F8370" s="57">
        <f t="shared" si="679"/>
        <v>1063</v>
      </c>
      <c r="G8370" s="251">
        <f>SUM(C8370,C8346,C8322,C8298,C8274,C8250,C8226,C8202,C8178,C8154,C8130,C8106,C8082,C8058)/POBLA!$B$17*100000</f>
        <v>72.381505998678733</v>
      </c>
      <c r="H8370" s="252">
        <f t="shared" si="680"/>
        <v>1.4299583911234397</v>
      </c>
    </row>
    <row r="8371" spans="1:8" ht="15.75" thickBot="1" x14ac:dyDescent="0.3">
      <c r="A8371" s="42" t="s">
        <v>36</v>
      </c>
      <c r="B8371" s="19">
        <v>44241</v>
      </c>
      <c r="C8371" s="4">
        <v>7</v>
      </c>
      <c r="D8371" s="21">
        <f t="shared" si="677"/>
        <v>14611</v>
      </c>
      <c r="F8371" s="57">
        <f t="shared" si="679"/>
        <v>203</v>
      </c>
      <c r="G8371" s="251">
        <f>SUM(C8371,C8347,C8323,C8299,C8275,C8251,C8227,C8203,C8179,C8155,C8131,C8107,C8083,C8059)/POBLA!$B$18*100000</f>
        <v>84.611573992885454</v>
      </c>
      <c r="H8371" s="252">
        <f t="shared" si="680"/>
        <v>0.76949941792782306</v>
      </c>
    </row>
    <row r="8372" spans="1:8" ht="15.75" thickBot="1" x14ac:dyDescent="0.3">
      <c r="A8372" s="42" t="s">
        <v>37</v>
      </c>
      <c r="B8372" s="19">
        <v>44241</v>
      </c>
      <c r="C8372" s="4">
        <v>293</v>
      </c>
      <c r="D8372" s="21">
        <f t="shared" si="677"/>
        <v>20075</v>
      </c>
      <c r="F8372" s="57">
        <f t="shared" si="679"/>
        <v>345</v>
      </c>
      <c r="G8372" s="251">
        <f>SUM(C8372,C8348,C8324,C8300,C8276,C8252,C8228,C8204,C8180,C8156,C8132,C8108,C8084,C8060)/POBLA!$B$19*100000</f>
        <v>209.51039486315921</v>
      </c>
      <c r="H8372" s="252">
        <f t="shared" si="680"/>
        <v>0.49882903981264637</v>
      </c>
    </row>
    <row r="8373" spans="1:8" ht="15.75" thickBot="1" x14ac:dyDescent="0.3">
      <c r="A8373" s="42" t="s">
        <v>38</v>
      </c>
      <c r="B8373" s="19">
        <v>44241</v>
      </c>
      <c r="C8373" s="4">
        <v>60</v>
      </c>
      <c r="D8373" s="21">
        <f t="shared" si="677"/>
        <v>34537</v>
      </c>
      <c r="F8373" s="57">
        <f t="shared" si="679"/>
        <v>536</v>
      </c>
      <c r="G8373" s="251">
        <f>SUM(C8373,C8349,C8325,C8301,C8277,C8253,C8229,C8205,C8181,C8157,C8133,C8109,C8085,C8061)/POBLA!$B$20*100000</f>
        <v>546.6259044348069</v>
      </c>
      <c r="H8373" s="252">
        <f t="shared" si="680"/>
        <v>0.63279518835074389</v>
      </c>
    </row>
    <row r="8374" spans="1:8" ht="15.75" thickBot="1" x14ac:dyDescent="0.3">
      <c r="A8374" s="42" t="s">
        <v>23</v>
      </c>
      <c r="B8374" s="19">
        <v>44241</v>
      </c>
      <c r="C8374" s="4">
        <v>193</v>
      </c>
      <c r="D8374" s="21">
        <f t="shared" si="677"/>
        <v>211917</v>
      </c>
      <c r="F8374" s="57">
        <f t="shared" si="679"/>
        <v>3807</v>
      </c>
      <c r="G8374" s="251">
        <f>SUM(C8374,C8350,C8326,C8302,C8278,C8254,C8230,C8206,C8182,C8158,C8134,C8110,C8086,C8062)/POBLA!$B$21*100000</f>
        <v>172.2364268024877</v>
      </c>
      <c r="H8374" s="252">
        <f t="shared" si="680"/>
        <v>0.56586770717205503</v>
      </c>
    </row>
    <row r="8375" spans="1:8" ht="15.75" thickBot="1" x14ac:dyDescent="0.3">
      <c r="A8375" s="42" t="s">
        <v>39</v>
      </c>
      <c r="B8375" s="19">
        <v>44241</v>
      </c>
      <c r="C8375" s="4">
        <v>29</v>
      </c>
      <c r="D8375" s="21">
        <f t="shared" si="677"/>
        <v>21862</v>
      </c>
      <c r="F8375" s="57">
        <f t="shared" si="679"/>
        <v>257</v>
      </c>
      <c r="G8375" s="251">
        <f>SUM(C8375,C8351,C8327,C8303,C8279,C8255,C8231,C8207,C8183,C8159,C8135,C8111,C8087,C8063)/POBLA!$B$22*100000</f>
        <v>103.44337650629194</v>
      </c>
      <c r="H8375" s="252">
        <f t="shared" si="680"/>
        <v>0.80895283772981619</v>
      </c>
    </row>
    <row r="8376" spans="1:8" ht="15.75" thickBot="1" x14ac:dyDescent="0.3">
      <c r="A8376" s="42" t="s">
        <v>40</v>
      </c>
      <c r="B8376" s="19">
        <v>44241</v>
      </c>
      <c r="C8376" s="4">
        <v>27</v>
      </c>
      <c r="D8376" s="21">
        <f t="shared" si="677"/>
        <v>22454</v>
      </c>
      <c r="F8376" s="57">
        <f t="shared" si="679"/>
        <v>344</v>
      </c>
      <c r="G8376" s="251">
        <f>SUM(C8376,C8352,C8328,C8304,C8280,C8256,C8232,C8208,C8184,C8160,C8136,C8112,C8088,C8064)/POBLA!$B$23*100000</f>
        <v>360.79850704066052</v>
      </c>
      <c r="H8376" s="252">
        <f t="shared" si="680"/>
        <v>0.60416666666666663</v>
      </c>
    </row>
    <row r="8377" spans="1:8" ht="15.75" thickBot="1" x14ac:dyDescent="0.3">
      <c r="A8377" s="42" t="s">
        <v>41</v>
      </c>
      <c r="B8377" s="19">
        <v>44241</v>
      </c>
      <c r="C8377" s="4">
        <v>65</v>
      </c>
      <c r="D8377" s="98">
        <f t="shared" si="677"/>
        <v>78096</v>
      </c>
      <c r="F8377" s="255">
        <f t="shared" si="679"/>
        <v>1453</v>
      </c>
      <c r="G8377" s="251">
        <f>SUM(C8377,C8353,C8329,C8305,C8281,C8257,C8233,C8209,C8185,C8161,C8137,C8113,C8089,C8065)/POBLA!$B$24*100000</f>
        <v>100.3153442350542</v>
      </c>
      <c r="H8377" s="257">
        <f t="shared" si="680"/>
        <v>0.80990948070509772</v>
      </c>
    </row>
    <row r="8378" spans="1:8" ht="15.75" thickBot="1" x14ac:dyDescent="0.3">
      <c r="A8378" s="42" t="s">
        <v>17</v>
      </c>
      <c r="B8378" s="19">
        <v>44242</v>
      </c>
      <c r="C8378" s="4">
        <v>1369</v>
      </c>
      <c r="D8378" s="97">
        <f t="shared" si="677"/>
        <v>846968</v>
      </c>
      <c r="E8378" s="4">
        <v>63</v>
      </c>
      <c r="F8378" s="250">
        <f t="shared" ref="F8378:F8384" si="681">E8378+F8354</f>
        <v>25535</v>
      </c>
      <c r="G8378" s="251">
        <f>SUM(C8378,C8354,C8330,C8306,C8282,C8258,C8234,C8210,C8186,C8162,C8138,C8114,C8090,C8066)/POBLA!$B$1*100000</f>
        <v>228.34318474493762</v>
      </c>
      <c r="H8378" s="230">
        <f t="shared" ref="H8378:H8384" si="682">SUM(C8378,C8354,C8330,C8306,C8282,C8258,C8234,C8210,C8186,C8162,C8138,C8114,C8090,C8066)/SUM(C8042,C8018,C7994,C7970,C7946,C7922,C7898,C7874,C7850,C7826,C7802,C7778,C7754,C7730)</f>
        <v>0.76338409346471248</v>
      </c>
    </row>
    <row r="8379" spans="1:8" ht="15.75" thickBot="1" x14ac:dyDescent="0.3">
      <c r="A8379" s="42" t="s">
        <v>44</v>
      </c>
      <c r="B8379" s="19">
        <v>44242</v>
      </c>
      <c r="C8379" s="4">
        <v>491</v>
      </c>
      <c r="D8379" s="21">
        <f t="shared" si="677"/>
        <v>222934</v>
      </c>
      <c r="E8379" s="4">
        <v>9</v>
      </c>
      <c r="F8379" s="57">
        <f t="shared" si="681"/>
        <v>6303</v>
      </c>
      <c r="G8379" s="251">
        <f>SUM(C8379,C8355,C8331,C8307,C8283,C8259,C8235,C8211,C8187,C8163,C8139,C8115,C8091,C8067)/POBLA!$B$2*100000</f>
        <v>384.24448067170277</v>
      </c>
      <c r="H8379" s="252">
        <f t="shared" si="682"/>
        <v>0.7765803653568143</v>
      </c>
    </row>
    <row r="8380" spans="1:8" ht="15.75" thickBot="1" x14ac:dyDescent="0.3">
      <c r="A8380" s="42" t="s">
        <v>29</v>
      </c>
      <c r="B8380" s="19">
        <v>44242</v>
      </c>
      <c r="C8380" s="4">
        <v>85</v>
      </c>
      <c r="D8380" s="21">
        <f t="shared" si="677"/>
        <v>6878</v>
      </c>
      <c r="F8380" s="57">
        <f t="shared" si="681"/>
        <v>17</v>
      </c>
      <c r="G8380" s="251">
        <f>SUM(C8380,C8356,C8332,C8308,C8284,C8260,C8236,C8212,C8188,C8164,C8140,C8116,C8092,C8068)/POBLA!$B$3*100000</f>
        <v>321.34758977272179</v>
      </c>
      <c r="H8380" s="252">
        <f t="shared" si="682"/>
        <v>1.0245587106676899</v>
      </c>
    </row>
    <row r="8381" spans="1:8" ht="15.75" thickBot="1" x14ac:dyDescent="0.3">
      <c r="A8381" s="42" t="s">
        <v>16</v>
      </c>
      <c r="B8381" s="19">
        <v>44242</v>
      </c>
      <c r="C8381" s="4">
        <v>63</v>
      </c>
      <c r="D8381" s="21">
        <f t="shared" si="677"/>
        <v>32509</v>
      </c>
      <c r="E8381" s="4">
        <v>1</v>
      </c>
      <c r="F8381" s="57">
        <f t="shared" si="681"/>
        <v>834</v>
      </c>
      <c r="G8381" s="251">
        <f>SUM(C8381,C8357,C8333,C8309,C8285,C8261,C8237,C8213,C8189,C8165,C8141,C8117,C8093,C8069)/POBLA!$B$4*100000</f>
        <v>137.9778687483448</v>
      </c>
      <c r="H8381" s="252">
        <f t="shared" si="682"/>
        <v>0.75717539863325745</v>
      </c>
    </row>
    <row r="8382" spans="1:8" ht="15.75" thickBot="1" x14ac:dyDescent="0.3">
      <c r="A8382" s="42" t="s">
        <v>30</v>
      </c>
      <c r="B8382" s="19">
        <v>44242</v>
      </c>
      <c r="C8382" s="4">
        <v>61</v>
      </c>
      <c r="D8382" s="21">
        <f t="shared" si="677"/>
        <v>45292</v>
      </c>
      <c r="F8382" s="57">
        <f t="shared" si="681"/>
        <v>687</v>
      </c>
      <c r="G8382" s="251">
        <f>SUM(C8382,C8358,C8334,C8310,C8286,C8262,C8238,C8214,C8190,C8166,C8142,C8118,C8094,C8070)/POBLA!$B$5*100000</f>
        <v>447.50029887204073</v>
      </c>
      <c r="H8382" s="252">
        <f t="shared" si="682"/>
        <v>0.67544501341136309</v>
      </c>
    </row>
    <row r="8383" spans="1:8" ht="15.75" thickBot="1" x14ac:dyDescent="0.3">
      <c r="A8383" s="42" t="s">
        <v>31</v>
      </c>
      <c r="B8383" s="19">
        <v>44242</v>
      </c>
      <c r="C8383" s="4">
        <v>297</v>
      </c>
      <c r="D8383" s="21">
        <f t="shared" si="677"/>
        <v>19646</v>
      </c>
      <c r="F8383" s="57">
        <f t="shared" si="681"/>
        <v>285</v>
      </c>
      <c r="G8383" s="251">
        <f>SUM(C8383,C8359,C8335,C8311,C8287,C8263,C8239,C8215,C8191,C8167,C8143,C8119,C8095,C8071)/POBLA!$B$7*100000</f>
        <v>55.39230677179593</v>
      </c>
      <c r="H8383" s="252">
        <f t="shared" si="682"/>
        <v>1.0404595404595405</v>
      </c>
    </row>
    <row r="8384" spans="1:8" ht="15.75" thickBot="1" x14ac:dyDescent="0.3">
      <c r="A8384" s="42" t="s">
        <v>21</v>
      </c>
      <c r="B8384" s="19">
        <v>44242</v>
      </c>
      <c r="C8384" s="4">
        <v>125</v>
      </c>
      <c r="D8384" s="21">
        <f t="shared" si="677"/>
        <v>152170</v>
      </c>
      <c r="E8384" s="4">
        <v>1</v>
      </c>
      <c r="F8384" s="57">
        <f t="shared" si="681"/>
        <v>2775</v>
      </c>
      <c r="G8384" s="251">
        <f>SUM(C8384,C8360,C8336,C8312,C8288,C8264,C8240,C8216,C8192,C8168,C8144,C8120,C8096,C8072)/POBLA!$B$6*100000</f>
        <v>609.56405285148742</v>
      </c>
      <c r="H8384" s="252">
        <f t="shared" si="682"/>
        <v>0.9416953824948312</v>
      </c>
    </row>
    <row r="8385" spans="1:8" ht="15.75" thickBot="1" x14ac:dyDescent="0.3">
      <c r="A8385" s="42" t="s">
        <v>32</v>
      </c>
      <c r="B8385" s="19">
        <v>44242</v>
      </c>
      <c r="C8385" s="4">
        <v>33</v>
      </c>
      <c r="D8385" s="21">
        <f t="shared" si="677"/>
        <v>43579</v>
      </c>
      <c r="F8385" s="57">
        <f t="shared" ref="F8385:F8401" si="683">E8385+F8361</f>
        <v>792</v>
      </c>
      <c r="G8385" s="251">
        <f>SUM(C8385,C8361,C8337,C8313,C8289,C8265,C8241,C8217,C8193,C8169,C8145,C8121,C8097,C8073)/POBLA!$B$8*100000</f>
        <v>173.95871889613056</v>
      </c>
      <c r="H8385" s="252">
        <f t="shared" ref="H8385:H8401" si="684">SUM(C8385,C8361,C8337,C8313,C8289,C8265,C8241,C8217,C8193,C8169,C8145,C8121,C8097,C8073)/SUM(C8049,C8025,C8001,C7977,C7953,C7929,C7905,C7881,C7857,C7833,C7809,C7785,C7761,C7737)</f>
        <v>0.54350766456266908</v>
      </c>
    </row>
    <row r="8386" spans="1:8" ht="15.75" thickBot="1" x14ac:dyDescent="0.3">
      <c r="A8386" s="42" t="s">
        <v>42</v>
      </c>
      <c r="B8386" s="19">
        <v>44242</v>
      </c>
      <c r="C8386" s="4">
        <v>6</v>
      </c>
      <c r="D8386" s="21">
        <f t="shared" si="677"/>
        <v>974</v>
      </c>
      <c r="F8386" s="57">
        <f t="shared" si="683"/>
        <v>9</v>
      </c>
      <c r="G8386" s="251">
        <f>SUM(C8386,C8362,C8338,C8314,C8290,C8266,C8242,C8218,C8194,C8170,C8146,C8122,C8098,C8074)/POBLA!$B$9*100000</f>
        <v>20.985041135637722</v>
      </c>
      <c r="H8386" s="252">
        <f t="shared" si="684"/>
        <v>0.74269005847953218</v>
      </c>
    </row>
    <row r="8387" spans="1:8" ht="15.75" thickBot="1" x14ac:dyDescent="0.3">
      <c r="A8387" s="42" t="s">
        <v>33</v>
      </c>
      <c r="B8387" s="19">
        <v>44242</v>
      </c>
      <c r="C8387" s="4">
        <v>29</v>
      </c>
      <c r="D8387" s="21">
        <f t="shared" si="677"/>
        <v>19798</v>
      </c>
      <c r="F8387" s="57">
        <f t="shared" si="683"/>
        <v>891</v>
      </c>
      <c r="G8387" s="251">
        <f>SUM(C8387,C8363,C8339,C8315,C8291,C8267,C8243,C8219,C8195,C8171,C8147,C8123,C8099,C8075)/POBLA!$B$10*100000</f>
        <v>58.24504690088353</v>
      </c>
      <c r="H8387" s="252">
        <f t="shared" si="684"/>
        <v>1.0393518518518519</v>
      </c>
    </row>
    <row r="8388" spans="1:8" ht="15.75" thickBot="1" x14ac:dyDescent="0.3">
      <c r="A8388" s="42" t="s">
        <v>34</v>
      </c>
      <c r="B8388" s="19">
        <v>44242</v>
      </c>
      <c r="C8388" s="4">
        <v>31</v>
      </c>
      <c r="D8388" s="21">
        <f t="shared" si="677"/>
        <v>17745</v>
      </c>
      <c r="F8388" s="57">
        <f t="shared" si="683"/>
        <v>268</v>
      </c>
      <c r="G8388" s="251">
        <f>SUM(C8388,C8364,C8340,C8316,C8292,C8268,C8244,C8220,C8196,C8172,C8148,C8124,C8100,C8076)/POBLA!$B$11*100000</f>
        <v>343.72314662916961</v>
      </c>
      <c r="H8388" s="252">
        <f t="shared" si="684"/>
        <v>0.8895306859205776</v>
      </c>
    </row>
    <row r="8389" spans="1:8" ht="15.75" thickBot="1" x14ac:dyDescent="0.3">
      <c r="A8389" s="42" t="s">
        <v>22</v>
      </c>
      <c r="B8389" s="19">
        <v>44242</v>
      </c>
      <c r="C8389" s="4">
        <v>14</v>
      </c>
      <c r="D8389" s="21">
        <f t="shared" si="677"/>
        <v>9861</v>
      </c>
      <c r="E8389" s="4">
        <v>1</v>
      </c>
      <c r="F8389" s="57">
        <f t="shared" si="683"/>
        <v>416</v>
      </c>
      <c r="G8389" s="251">
        <f>SUM(C8389,C8365,C8341,C8317,C8293,C8269,C8245,C8221,C8197,C8173,C8149,C8125,C8101,C8077)/POBLA!$B$12*100000</f>
        <v>76.741095364787014</v>
      </c>
      <c r="H8389" s="252">
        <f t="shared" si="684"/>
        <v>1.2635983263598327</v>
      </c>
    </row>
    <row r="8390" spans="1:8" ht="15.75" thickBot="1" x14ac:dyDescent="0.3">
      <c r="A8390" s="42" t="s">
        <v>18</v>
      </c>
      <c r="B8390" s="19">
        <v>44242</v>
      </c>
      <c r="C8390" s="4">
        <v>21</v>
      </c>
      <c r="D8390" s="21">
        <f t="shared" si="677"/>
        <v>65684</v>
      </c>
      <c r="E8390" s="4">
        <v>1</v>
      </c>
      <c r="F8390" s="57">
        <f t="shared" si="683"/>
        <v>1414</v>
      </c>
      <c r="G8390" s="251">
        <f>SUM(C8390,C8366,C8342,C8318,C8294,C8270,C8246,C8222,C8198,C8174,C8150,C8126,C8102,C8078)/POBLA!$B$13*100000</f>
        <v>89.884230718601557</v>
      </c>
      <c r="H8390" s="252">
        <f t="shared" si="684"/>
        <v>1.1153366583541147</v>
      </c>
    </row>
    <row r="8391" spans="1:8" ht="15.75" thickBot="1" x14ac:dyDescent="0.3">
      <c r="A8391" s="42" t="s">
        <v>24</v>
      </c>
      <c r="B8391" s="19">
        <v>44242</v>
      </c>
      <c r="C8391" s="4">
        <v>113</v>
      </c>
      <c r="D8391" s="21">
        <f t="shared" si="677"/>
        <v>6849</v>
      </c>
      <c r="F8391" s="57">
        <f t="shared" si="683"/>
        <v>119</v>
      </c>
      <c r="G8391" s="251">
        <f>SUM(C8391,C8367,C8343,C8319,C8295,C8271,C8247,C8223,C8199,C8175,C8151,C8127,C8103,C8079)/POBLA!$B$14*100000</f>
        <v>157.77447605395727</v>
      </c>
      <c r="H8391" s="252">
        <f t="shared" si="684"/>
        <v>0.78625049387593837</v>
      </c>
    </row>
    <row r="8392" spans="1:8" ht="15.75" thickBot="1" x14ac:dyDescent="0.3">
      <c r="A8392" s="42" t="s">
        <v>20</v>
      </c>
      <c r="B8392" s="19">
        <v>44242</v>
      </c>
      <c r="C8392" s="4">
        <v>148</v>
      </c>
      <c r="D8392" s="21">
        <f t="shared" si="677"/>
        <v>58811</v>
      </c>
      <c r="E8392" s="4">
        <v>9</v>
      </c>
      <c r="F8392" s="57">
        <f t="shared" si="683"/>
        <v>851</v>
      </c>
      <c r="G8392" s="251">
        <f>SUM(C8392,C8368,C8344,C8320,C8296,C8272,C8248,C8224,C8200,C8176,C8152,C8128,C8104,C8080)/POBLA!$B$15*100000</f>
        <v>659.73252296113139</v>
      </c>
      <c r="H8392" s="252">
        <f t="shared" si="684"/>
        <v>0.76178055990262561</v>
      </c>
    </row>
    <row r="8393" spans="1:8" ht="15.75" thickBot="1" x14ac:dyDescent="0.3">
      <c r="A8393" s="42" t="s">
        <v>19</v>
      </c>
      <c r="B8393" s="19">
        <v>44242</v>
      </c>
      <c r="C8393" s="4">
        <v>87</v>
      </c>
      <c r="D8393" s="21">
        <f t="shared" si="677"/>
        <v>50684</v>
      </c>
      <c r="E8393" s="4">
        <v>1</v>
      </c>
      <c r="F8393" s="57">
        <f t="shared" si="683"/>
        <v>1116</v>
      </c>
      <c r="G8393" s="251">
        <f>SUM(C8393,C8369,C8345,C8321,C8297,C8273,C8249,C8225,C8201,C8177,C8153,C8129,C8105,C8081)/POBLA!$B$16*100000</f>
        <v>334.13143216382872</v>
      </c>
      <c r="H8393" s="252">
        <f t="shared" si="684"/>
        <v>0.62046696472925977</v>
      </c>
    </row>
    <row r="8394" spans="1:8" ht="15.75" thickBot="1" x14ac:dyDescent="0.3">
      <c r="A8394" s="42" t="s">
        <v>35</v>
      </c>
      <c r="B8394" s="19">
        <v>44242</v>
      </c>
      <c r="C8394" s="4">
        <v>18</v>
      </c>
      <c r="D8394" s="21">
        <f t="shared" si="677"/>
        <v>24855</v>
      </c>
      <c r="E8394" s="4">
        <v>1</v>
      </c>
      <c r="F8394" s="57">
        <f t="shared" si="683"/>
        <v>1064</v>
      </c>
      <c r="G8394" s="251">
        <f>SUM(C8394,C8370,C8346,C8322,C8298,C8274,C8250,C8226,C8202,C8178,C8154,C8130,C8106,C8082)/POBLA!$B$17*100000</f>
        <v>72.241095705761808</v>
      </c>
      <c r="H8394" s="252">
        <f t="shared" si="684"/>
        <v>1.4311543810848402</v>
      </c>
    </row>
    <row r="8395" spans="1:8" ht="15.75" thickBot="1" x14ac:dyDescent="0.3">
      <c r="A8395" s="42" t="s">
        <v>36</v>
      </c>
      <c r="B8395" s="19">
        <v>44242</v>
      </c>
      <c r="C8395" s="4">
        <v>5</v>
      </c>
      <c r="D8395" s="21">
        <f t="shared" si="677"/>
        <v>14616</v>
      </c>
      <c r="F8395" s="57">
        <f t="shared" si="683"/>
        <v>203</v>
      </c>
      <c r="G8395" s="251">
        <f>SUM(C8395,C8371,C8347,C8323,C8299,C8275,C8251,C8227,C8203,C8179,C8155,C8131,C8107,C8083)/POBLA!$B$18*100000</f>
        <v>79.235346901053106</v>
      </c>
      <c r="H8395" s="252">
        <f t="shared" si="684"/>
        <v>0.74758454106280192</v>
      </c>
    </row>
    <row r="8396" spans="1:8" ht="15.75" thickBot="1" x14ac:dyDescent="0.3">
      <c r="A8396" s="42" t="s">
        <v>37</v>
      </c>
      <c r="B8396" s="19">
        <v>44242</v>
      </c>
      <c r="C8396" s="4">
        <v>8</v>
      </c>
      <c r="D8396" s="21">
        <f t="shared" si="677"/>
        <v>20083</v>
      </c>
      <c r="E8396" s="4">
        <v>1</v>
      </c>
      <c r="F8396" s="57">
        <f t="shared" si="683"/>
        <v>346</v>
      </c>
      <c r="G8396" s="251">
        <f>SUM(C8396,C8372,C8348,C8324,C8300,C8276,C8252,C8228,C8204,C8180,C8156,C8132,C8108,C8084)/POBLA!$B$19*100000</f>
        <v>209.90384161407596</v>
      </c>
      <c r="H8396" s="252">
        <f t="shared" si="684"/>
        <v>0.5199805068226121</v>
      </c>
    </row>
    <row r="8397" spans="1:8" ht="15.75" thickBot="1" x14ac:dyDescent="0.3">
      <c r="A8397" s="42" t="s">
        <v>38</v>
      </c>
      <c r="B8397" s="19">
        <v>44242</v>
      </c>
      <c r="C8397" s="4">
        <v>44</v>
      </c>
      <c r="D8397" s="21">
        <f t="shared" si="677"/>
        <v>34581</v>
      </c>
      <c r="E8397" s="4">
        <v>1</v>
      </c>
      <c r="F8397" s="57">
        <f t="shared" si="683"/>
        <v>537</v>
      </c>
      <c r="G8397" s="251">
        <f>SUM(C8397,C8373,C8349,C8325,C8301,C8277,C8253,C8229,C8205,C8181,C8157,C8133,C8109,C8085)/POBLA!$B$20*100000</f>
        <v>520.37473543743738</v>
      </c>
      <c r="H8397" s="252">
        <f t="shared" si="684"/>
        <v>0.6343333333333333</v>
      </c>
    </row>
    <row r="8398" spans="1:8" ht="15.75" thickBot="1" x14ac:dyDescent="0.3">
      <c r="A8398" s="42" t="s">
        <v>23</v>
      </c>
      <c r="B8398" s="19">
        <v>44242</v>
      </c>
      <c r="C8398" s="4">
        <v>150</v>
      </c>
      <c r="D8398" s="21">
        <f t="shared" si="677"/>
        <v>212067</v>
      </c>
      <c r="F8398" s="57">
        <f t="shared" si="683"/>
        <v>3807</v>
      </c>
      <c r="G8398" s="251">
        <f>SUM(C8398,C8374,C8350,C8326,C8302,C8278,C8254,C8230,C8206,C8182,C8158,C8134,C8110,C8086)/POBLA!$B$21*100000</f>
        <v>161.68903110435474</v>
      </c>
      <c r="H8398" s="252">
        <f t="shared" si="684"/>
        <v>0.54812116564417179</v>
      </c>
    </row>
    <row r="8399" spans="1:8" ht="15.75" thickBot="1" x14ac:dyDescent="0.3">
      <c r="A8399" s="42" t="s">
        <v>39</v>
      </c>
      <c r="B8399" s="19">
        <v>44242</v>
      </c>
      <c r="C8399" s="4">
        <v>23</v>
      </c>
      <c r="D8399" s="21">
        <f t="shared" si="677"/>
        <v>21885</v>
      </c>
      <c r="E8399" s="4">
        <v>2</v>
      </c>
      <c r="F8399" s="57">
        <f t="shared" si="683"/>
        <v>259</v>
      </c>
      <c r="G8399" s="251">
        <f>SUM(C8399,C8375,C8351,C8327,C8303,C8279,C8255,C8231,C8207,C8183,C8159,C8135,C8111,C8087)/POBLA!$B$22*100000</f>
        <v>95.16381771478045</v>
      </c>
      <c r="H8399" s="252">
        <f t="shared" si="684"/>
        <v>0.74301675977653636</v>
      </c>
    </row>
    <row r="8400" spans="1:8" ht="15.75" thickBot="1" x14ac:dyDescent="0.3">
      <c r="A8400" s="42" t="s">
        <v>40</v>
      </c>
      <c r="B8400" s="19">
        <v>44242</v>
      </c>
      <c r="C8400" s="4">
        <v>7</v>
      </c>
      <c r="D8400" s="21">
        <f t="shared" si="677"/>
        <v>22461</v>
      </c>
      <c r="F8400" s="57">
        <f t="shared" si="683"/>
        <v>344</v>
      </c>
      <c r="G8400" s="251">
        <f>SUM(C8400,C8376,C8352,C8328,C8304,C8280,C8256,C8232,C8208,C8184,C8160,C8136,C8112,C8088)/POBLA!$B$23*100000</f>
        <v>344.39857490244867</v>
      </c>
      <c r="H8400" s="252">
        <f>SUM(C8400,C8376,C8352,C8328,C8304,C8280,C8256,C8232,C8208,C8184,C8160,C8136,C8112,C8088)/SUM(C8064,C8040,C8016,C7992,C7968,C7944,C7920,C7896,C7872,C7848,C7824,C7800,C7776,C7752)</f>
        <v>0.62978283350568764</v>
      </c>
    </row>
    <row r="8401" spans="1:8" ht="15.75" thickBot="1" x14ac:dyDescent="0.3">
      <c r="A8401" s="42" t="s">
        <v>41</v>
      </c>
      <c r="B8401" s="19">
        <v>44242</v>
      </c>
      <c r="C8401" s="4">
        <v>31</v>
      </c>
      <c r="D8401" s="98">
        <f t="shared" si="677"/>
        <v>78127</v>
      </c>
      <c r="F8401" s="255">
        <f t="shared" si="683"/>
        <v>1453</v>
      </c>
      <c r="G8401" s="251">
        <f>SUM(C8401,C8377,C8353,C8329,C8305,C8281,C8257,C8233,C8209,C8185,C8161,C8137,C8113,C8089)/POBLA!$B$24*100000</f>
        <v>94.119396502889074</v>
      </c>
      <c r="H8401" s="257">
        <f t="shared" si="684"/>
        <v>0.77577821011673154</v>
      </c>
    </row>
    <row r="8402" spans="1:8" ht="15.75" thickBot="1" x14ac:dyDescent="0.3">
      <c r="A8402" s="42" t="s">
        <v>17</v>
      </c>
      <c r="B8402" s="19">
        <v>44243</v>
      </c>
      <c r="C8402" s="4">
        <v>1486</v>
      </c>
      <c r="D8402" s="97">
        <f t="shared" si="677"/>
        <v>848454</v>
      </c>
      <c r="E8402" s="4">
        <v>38</v>
      </c>
      <c r="F8402" s="250">
        <f t="shared" ref="F8402:F8408" si="685">E8402+F8378</f>
        <v>25573</v>
      </c>
      <c r="G8402" s="251">
        <f>SUM(C8402,C8378,C8354,C8330,C8306,C8282,C8258,C8234,C8210,C8186,C8162,C8138,C8114,C8090)/POBLA!$B$1*100000</f>
        <v>212.6258491394602</v>
      </c>
      <c r="H8402" s="230">
        <f t="shared" ref="H8402:H8408" si="686">SUM(C8402,C8378,C8354,C8330,C8306,C8282,C8258,C8234,C8210,C8186,C8162,C8138,C8114,C8090)/SUM(C8066,C8042,C8018,C7994,C7970,C7946,C7922,C7898,C7874,C7850,C7826,C7802,C7778,C7754)</f>
        <v>0.72296419779410337</v>
      </c>
    </row>
    <row r="8403" spans="1:8" ht="15.75" thickBot="1" x14ac:dyDescent="0.3">
      <c r="A8403" s="42" t="s">
        <v>44</v>
      </c>
      <c r="B8403" s="19">
        <v>44243</v>
      </c>
      <c r="C8403" s="4">
        <v>439</v>
      </c>
      <c r="D8403" s="21">
        <f t="shared" si="677"/>
        <v>223373</v>
      </c>
      <c r="E8403" s="4">
        <v>9</v>
      </c>
      <c r="F8403" s="57">
        <f t="shared" si="685"/>
        <v>6312</v>
      </c>
      <c r="G8403" s="251">
        <f>SUM(C8403,C8379,C8355,C8331,C8307,C8283,C8259,C8235,C8211,C8187,C8163,C8139,C8115,C8091)/POBLA!$B$2*100000</f>
        <v>357.22576655440838</v>
      </c>
      <c r="H8403" s="252">
        <f t="shared" si="686"/>
        <v>0.72761589403973514</v>
      </c>
    </row>
    <row r="8404" spans="1:8" ht="15.75" thickBot="1" x14ac:dyDescent="0.3">
      <c r="A8404" s="42" t="s">
        <v>29</v>
      </c>
      <c r="B8404" s="19">
        <v>44243</v>
      </c>
      <c r="C8404" s="4">
        <v>4</v>
      </c>
      <c r="D8404" s="21">
        <f t="shared" si="677"/>
        <v>6882</v>
      </c>
      <c r="F8404" s="57">
        <f t="shared" si="685"/>
        <v>17</v>
      </c>
      <c r="G8404" s="251">
        <f>SUM(C8404,C8380,C8356,C8332,C8308,C8284,C8260,C8236,C8212,C8188,C8164,C8140,C8116,C8092)/POBLA!$B$3*100000</f>
        <v>289.81460530813263</v>
      </c>
      <c r="H8404" s="252">
        <f t="shared" si="686"/>
        <v>0.93769470404984423</v>
      </c>
    </row>
    <row r="8405" spans="1:8" ht="15.75" thickBot="1" x14ac:dyDescent="0.3">
      <c r="A8405" s="42" t="s">
        <v>16</v>
      </c>
      <c r="B8405" s="19">
        <v>44243</v>
      </c>
      <c r="C8405" s="4">
        <v>71</v>
      </c>
      <c r="D8405" s="21">
        <f t="shared" si="677"/>
        <v>32580</v>
      </c>
      <c r="E8405" s="4">
        <v>2</v>
      </c>
      <c r="F8405" s="57">
        <f t="shared" si="685"/>
        <v>836</v>
      </c>
      <c r="G8405" s="251">
        <f>SUM(C8405,C8381,C8357,C8333,C8309,C8285,C8261,C8237,C8213,C8189,C8165,C8141,C8117,C8093)/POBLA!$B$4*100000</f>
        <v>130.50614300384962</v>
      </c>
      <c r="H8405" s="252">
        <f t="shared" si="686"/>
        <v>0.73320895522388063</v>
      </c>
    </row>
    <row r="8406" spans="1:8" ht="15.75" thickBot="1" x14ac:dyDescent="0.3">
      <c r="A8406" s="42" t="s">
        <v>30</v>
      </c>
      <c r="B8406" s="19">
        <v>44243</v>
      </c>
      <c r="C8406" s="4">
        <v>41</v>
      </c>
      <c r="D8406" s="21">
        <f t="shared" si="677"/>
        <v>45333</v>
      </c>
      <c r="F8406" s="57">
        <f t="shared" si="685"/>
        <v>687</v>
      </c>
      <c r="G8406" s="251">
        <f>SUM(C8406,C8382,C8358,C8334,C8310,C8286,C8262,C8238,C8214,C8190,C8166,C8142,C8118,C8094)/POBLA!$B$5*100000</f>
        <v>401.29629689463866</v>
      </c>
      <c r="H8406" s="252">
        <f t="shared" si="686"/>
        <v>0.60897278744790395</v>
      </c>
    </row>
    <row r="8407" spans="1:8" ht="15.75" thickBot="1" x14ac:dyDescent="0.3">
      <c r="A8407" s="42" t="s">
        <v>31</v>
      </c>
      <c r="B8407" s="19">
        <v>44243</v>
      </c>
      <c r="C8407" s="4">
        <v>486</v>
      </c>
      <c r="D8407" s="21">
        <f t="shared" si="677"/>
        <v>20132</v>
      </c>
      <c r="F8407" s="57">
        <f t="shared" si="685"/>
        <v>285</v>
      </c>
      <c r="G8407" s="251">
        <f>SUM(C8407,C8383,C8359,C8335,C8311,C8287,C8263,C8239,C8215,C8191,C8167,C8143,C8119,C8095)/POBLA!$B$7*100000</f>
        <v>63.662593572577748</v>
      </c>
      <c r="H8407" s="252">
        <f t="shared" si="686"/>
        <v>1.1471011020603736</v>
      </c>
    </row>
    <row r="8408" spans="1:8" ht="15.75" thickBot="1" x14ac:dyDescent="0.3">
      <c r="A8408" s="42" t="s">
        <v>21</v>
      </c>
      <c r="B8408" s="19">
        <v>44243</v>
      </c>
      <c r="C8408" s="4">
        <v>303</v>
      </c>
      <c r="D8408" s="21">
        <f t="shared" si="677"/>
        <v>152473</v>
      </c>
      <c r="E8408" s="4">
        <v>5</v>
      </c>
      <c r="F8408" s="57">
        <f t="shared" si="685"/>
        <v>2780</v>
      </c>
      <c r="G8408" s="251">
        <f>SUM(C8408,C8384,C8360,C8336,C8312,C8288,C8264,C8240,C8216,C8192,C8168,C8144,C8120,C8096)/POBLA!$B$6*100000</f>
        <v>585.65258239419848</v>
      </c>
      <c r="H8408" s="252">
        <f t="shared" si="686"/>
        <v>0.91701592623637884</v>
      </c>
    </row>
    <row r="8409" spans="1:8" ht="15.75" thickBot="1" x14ac:dyDescent="0.3">
      <c r="A8409" s="42" t="s">
        <v>32</v>
      </c>
      <c r="B8409" s="19">
        <v>44243</v>
      </c>
      <c r="C8409" s="4">
        <v>103</v>
      </c>
      <c r="D8409" s="21">
        <f t="shared" si="677"/>
        <v>43682</v>
      </c>
      <c r="F8409" s="57">
        <f t="shared" ref="F8409:F8425" si="687">E8409+F8385</f>
        <v>792</v>
      </c>
      <c r="G8409" s="251">
        <f>SUM(C8409,C8385,C8361,C8337,C8313,C8289,C8265,C8241,C8217,C8193,C8169,C8145,C8121,C8097)/POBLA!$B$8*100000</f>
        <v>160.89918836100006</v>
      </c>
      <c r="H8409" s="252">
        <f t="shared" ref="H8409:H8425" si="688">SUM(C8409,C8385,C8361,C8337,C8313,C8289,C8265,C8241,C8217,C8193,C8169,C8145,C8121,C8097)/SUM(C8073,C8049,C8025,C8001,C7977,C7953,C7929,C7905,C7881,C7857,C7833,C7809,C7785,C7761)</f>
        <v>0.52163742690058479</v>
      </c>
    </row>
    <row r="8410" spans="1:8" ht="15.75" thickBot="1" x14ac:dyDescent="0.3">
      <c r="A8410" s="42" t="s">
        <v>42</v>
      </c>
      <c r="B8410" s="19">
        <v>44243</v>
      </c>
      <c r="C8410" s="4">
        <v>4</v>
      </c>
      <c r="D8410" s="21">
        <f t="shared" si="677"/>
        <v>978</v>
      </c>
      <c r="E8410" s="4">
        <v>7</v>
      </c>
      <c r="F8410" s="57">
        <f t="shared" si="687"/>
        <v>16</v>
      </c>
      <c r="G8410" s="251">
        <f>SUM(C8410,C8386,C8362,C8338,C8314,C8290,C8266,C8242,C8218,C8194,C8170,C8146,C8122,C8098)/POBLA!$B$9*100000</f>
        <v>20.985041135637722</v>
      </c>
      <c r="H8410" s="252">
        <f t="shared" si="688"/>
        <v>0.76047904191616766</v>
      </c>
    </row>
    <row r="8411" spans="1:8" ht="15.75" thickBot="1" x14ac:dyDescent="0.3">
      <c r="A8411" s="42" t="s">
        <v>33</v>
      </c>
      <c r="B8411" s="19">
        <v>44243</v>
      </c>
      <c r="C8411" s="4">
        <v>29</v>
      </c>
      <c r="D8411" s="21">
        <f t="shared" si="677"/>
        <v>19827</v>
      </c>
      <c r="E8411" s="4">
        <v>2</v>
      </c>
      <c r="F8411" s="57">
        <f t="shared" si="687"/>
        <v>893</v>
      </c>
      <c r="G8411" s="251">
        <f>SUM(C8411,C8387,C8363,C8339,C8315,C8291,C8267,C8243,C8219,C8195,C8171,C8147,C8123,C8099)/POBLA!$B$10*100000</f>
        <v>59.15309885702203</v>
      </c>
      <c r="H8411" s="252">
        <f t="shared" si="688"/>
        <v>1.0629370629370629</v>
      </c>
    </row>
    <row r="8412" spans="1:8" ht="15.75" thickBot="1" x14ac:dyDescent="0.3">
      <c r="A8412" s="42" t="s">
        <v>34</v>
      </c>
      <c r="B8412" s="19">
        <v>44243</v>
      </c>
      <c r="C8412" s="4">
        <v>53</v>
      </c>
      <c r="D8412" s="21">
        <f t="shared" si="677"/>
        <v>17798</v>
      </c>
      <c r="E8412" s="4">
        <v>2</v>
      </c>
      <c r="F8412" s="57">
        <f t="shared" si="687"/>
        <v>270</v>
      </c>
      <c r="G8412" s="251">
        <f>SUM(C8412,C8388,C8364,C8340,C8316,C8292,C8268,C8244,C8220,C8196,C8172,C8148,C8124,C8100)/POBLA!$B$11*100000</f>
        <v>333.95828450902275</v>
      </c>
      <c r="H8412" s="252">
        <f t="shared" si="688"/>
        <v>0.90957446808510634</v>
      </c>
    </row>
    <row r="8413" spans="1:8" ht="15.75" thickBot="1" x14ac:dyDescent="0.3">
      <c r="A8413" s="42" t="s">
        <v>22</v>
      </c>
      <c r="B8413" s="19">
        <v>44243</v>
      </c>
      <c r="C8413" s="4">
        <v>20</v>
      </c>
      <c r="D8413" s="21">
        <f t="shared" si="677"/>
        <v>9881</v>
      </c>
      <c r="E8413" s="4">
        <v>1</v>
      </c>
      <c r="F8413" s="57">
        <f t="shared" si="687"/>
        <v>417</v>
      </c>
      <c r="G8413" s="251">
        <f>SUM(C8413,C8389,C8365,C8341,C8317,C8293,C8269,C8245,C8221,C8197,C8173,C8149,C8125,C8101)/POBLA!$B$12*100000</f>
        <v>80.298629586995688</v>
      </c>
      <c r="H8413" s="252">
        <f t="shared" si="688"/>
        <v>1.3389830508474576</v>
      </c>
    </row>
    <row r="8414" spans="1:8" ht="15.75" thickBot="1" x14ac:dyDescent="0.3">
      <c r="A8414" s="42" t="s">
        <v>18</v>
      </c>
      <c r="B8414" s="19">
        <v>44243</v>
      </c>
      <c r="C8414" s="4">
        <v>46</v>
      </c>
      <c r="D8414" s="21">
        <f t="shared" si="677"/>
        <v>65730</v>
      </c>
      <c r="F8414" s="57">
        <f t="shared" si="687"/>
        <v>1414</v>
      </c>
      <c r="G8414" s="251">
        <f>SUM(C8414,C8390,C8366,C8342,C8318,C8294,C8270,C8246,C8222,C8198,C8174,C8150,C8126,C8102)/POBLA!$B$13*100000</f>
        <v>84.859958459316957</v>
      </c>
      <c r="H8414" s="252">
        <f t="shared" si="688"/>
        <v>1.0543071161048689</v>
      </c>
    </row>
    <row r="8415" spans="1:8" ht="15.75" thickBot="1" x14ac:dyDescent="0.3">
      <c r="A8415" s="42" t="s">
        <v>24</v>
      </c>
      <c r="B8415" s="19">
        <v>44243</v>
      </c>
      <c r="C8415" s="4">
        <v>115</v>
      </c>
      <c r="D8415" s="21">
        <f t="shared" si="677"/>
        <v>6964</v>
      </c>
      <c r="E8415" s="4">
        <v>1</v>
      </c>
      <c r="F8415" s="57">
        <f t="shared" si="687"/>
        <v>120</v>
      </c>
      <c r="G8415" s="251">
        <f>SUM(C8415,C8391,C8367,C8343,C8319,C8295,C8271,C8247,C8223,C8199,C8175,C8151,C8127,C8103)/POBLA!$B$14*100000</f>
        <v>144.37553813781719</v>
      </c>
      <c r="H8415" s="252">
        <f t="shared" si="688"/>
        <v>0.70663562281722936</v>
      </c>
    </row>
    <row r="8416" spans="1:8" ht="15.75" thickBot="1" x14ac:dyDescent="0.3">
      <c r="A8416" s="42" t="s">
        <v>20</v>
      </c>
      <c r="B8416" s="19">
        <v>44243</v>
      </c>
      <c r="C8416" s="4">
        <v>112</v>
      </c>
      <c r="D8416" s="21">
        <f t="shared" si="677"/>
        <v>58923</v>
      </c>
      <c r="E8416" s="4">
        <v>15</v>
      </c>
      <c r="F8416" s="57">
        <f t="shared" si="687"/>
        <v>866</v>
      </c>
      <c r="G8416" s="251">
        <f>SUM(C8416,C8392,C8368,C8344,C8320,C8296,C8272,C8248,C8224,C8200,C8176,C8152,C8128,C8104)/POBLA!$B$15*100000</f>
        <v>601.45439322226855</v>
      </c>
      <c r="H8416" s="252">
        <f t="shared" si="688"/>
        <v>0.68472484141950973</v>
      </c>
    </row>
    <row r="8417" spans="1:11" ht="15.75" thickBot="1" x14ac:dyDescent="0.3">
      <c r="A8417" s="42" t="s">
        <v>19</v>
      </c>
      <c r="B8417" s="19">
        <v>44243</v>
      </c>
      <c r="C8417" s="4">
        <v>113</v>
      </c>
      <c r="D8417" s="21">
        <f t="shared" si="677"/>
        <v>50797</v>
      </c>
      <c r="E8417" s="4">
        <v>3</v>
      </c>
      <c r="F8417" s="57">
        <f t="shared" si="687"/>
        <v>1119</v>
      </c>
      <c r="G8417" s="251">
        <f>SUM(C8417,C8393,C8369,C8345,C8321,C8297,C8273,C8249,C8225,C8201,C8177,C8153,C8129,C8105)/POBLA!$B$16*100000</f>
        <v>309.92094808790677</v>
      </c>
      <c r="H8417" s="252">
        <f t="shared" si="688"/>
        <v>0.59182630906768841</v>
      </c>
    </row>
    <row r="8418" spans="1:11" ht="15.75" thickBot="1" x14ac:dyDescent="0.3">
      <c r="A8418" s="42" t="s">
        <v>35</v>
      </c>
      <c r="B8418" s="19">
        <v>44243</v>
      </c>
      <c r="C8418" s="4">
        <v>46</v>
      </c>
      <c r="D8418" s="21">
        <f t="shared" ref="D8418:D8481" si="689">C8418+D8394</f>
        <v>24901</v>
      </c>
      <c r="E8418" s="4">
        <v>5</v>
      </c>
      <c r="F8418" s="57">
        <f t="shared" si="687"/>
        <v>1069</v>
      </c>
      <c r="G8418" s="251">
        <f>SUM(C8418,C8394,C8370,C8346,C8322,C8298,C8274,C8250,C8226,C8202,C8178,C8154,C8130,C8106)/POBLA!$B$17*100000</f>
        <v>71.468839094718675</v>
      </c>
      <c r="H8418" s="252">
        <f t="shared" si="688"/>
        <v>1.3926128590971272</v>
      </c>
    </row>
    <row r="8419" spans="1:11" ht="15.75" thickBot="1" x14ac:dyDescent="0.3">
      <c r="A8419" s="42" t="s">
        <v>36</v>
      </c>
      <c r="B8419" s="19">
        <v>44243</v>
      </c>
      <c r="C8419" s="4">
        <v>44</v>
      </c>
      <c r="D8419" s="21">
        <f t="shared" si="689"/>
        <v>14660</v>
      </c>
      <c r="F8419" s="57">
        <f t="shared" si="687"/>
        <v>203</v>
      </c>
      <c r="G8419" s="251">
        <f>SUM(C8419,C8395,C8371,C8347,C8323,C8299,C8275,C8251,C8227,C8203,C8179,C8155,C8131,C8107)/POBLA!$B$18*100000</f>
        <v>74.243136030065912</v>
      </c>
      <c r="H8419" s="252">
        <f t="shared" si="688"/>
        <v>0.70388349514563109</v>
      </c>
    </row>
    <row r="8420" spans="1:11" ht="15.75" thickBot="1" x14ac:dyDescent="0.3">
      <c r="A8420" s="42" t="s">
        <v>37</v>
      </c>
      <c r="B8420" s="19">
        <v>44243</v>
      </c>
      <c r="C8420" s="4">
        <v>138</v>
      </c>
      <c r="D8420" s="21">
        <f t="shared" si="689"/>
        <v>20221</v>
      </c>
      <c r="E8420" s="4">
        <v>1</v>
      </c>
      <c r="F8420" s="57">
        <f t="shared" si="687"/>
        <v>347</v>
      </c>
      <c r="G8420" s="251">
        <f>SUM(C8420,C8396,C8372,C8348,C8324,C8300,C8276,C8252,C8228,C8204,C8180,C8156,C8132,C8108)/POBLA!$B$19*100000</f>
        <v>224.65809477345334</v>
      </c>
      <c r="H8420" s="252">
        <f t="shared" si="688"/>
        <v>0.56506679861454723</v>
      </c>
    </row>
    <row r="8421" spans="1:11" ht="15.75" thickBot="1" x14ac:dyDescent="0.3">
      <c r="A8421" s="42" t="s">
        <v>38</v>
      </c>
      <c r="B8421" s="19">
        <v>44243</v>
      </c>
      <c r="C8421" s="4">
        <v>52</v>
      </c>
      <c r="D8421" s="21">
        <f t="shared" si="689"/>
        <v>34633</v>
      </c>
      <c r="E8421" s="4">
        <v>3</v>
      </c>
      <c r="F8421" s="57">
        <f t="shared" si="687"/>
        <v>540</v>
      </c>
      <c r="G8421" s="251">
        <f>SUM(C8421,C8397,C8373,C8349,C8325,C8301,C8277,C8253,C8229,C8205,C8181,C8157,C8133,C8109)/POBLA!$B$20*100000</f>
        <v>491.38906966950867</v>
      </c>
      <c r="H8421" s="252">
        <f t="shared" si="688"/>
        <v>0.66041896361631758</v>
      </c>
    </row>
    <row r="8422" spans="1:11" ht="15.75" thickBot="1" x14ac:dyDescent="0.3">
      <c r="A8422" s="42" t="s">
        <v>23</v>
      </c>
      <c r="B8422" s="19">
        <v>44243</v>
      </c>
      <c r="C8422" s="4">
        <v>180</v>
      </c>
      <c r="D8422" s="21">
        <f t="shared" si="689"/>
        <v>212247</v>
      </c>
      <c r="E8422" s="4">
        <v>5</v>
      </c>
      <c r="F8422" s="57">
        <f t="shared" si="687"/>
        <v>3812</v>
      </c>
      <c r="G8422" s="251">
        <f>SUM(C8422,C8398,C8374,C8350,C8326,C8302,C8278,C8254,C8230,C8206,C8182,C8158,C8134,C8110)/POBLA!$B$21*100000</f>
        <v>152.21616901621923</v>
      </c>
      <c r="H8422" s="252">
        <f t="shared" si="688"/>
        <v>0.55261266810389076</v>
      </c>
    </row>
    <row r="8423" spans="1:11" ht="15.75" thickBot="1" x14ac:dyDescent="0.3">
      <c r="A8423" s="42" t="s">
        <v>39</v>
      </c>
      <c r="B8423" s="19">
        <v>44243</v>
      </c>
      <c r="C8423" s="4">
        <v>29</v>
      </c>
      <c r="D8423" s="21">
        <f t="shared" si="689"/>
        <v>21914</v>
      </c>
      <c r="F8423" s="57">
        <f t="shared" si="687"/>
        <v>259</v>
      </c>
      <c r="G8423" s="251">
        <f>SUM(C8423,C8399,C8375,C8351,C8327,C8303,C8279,C8255,C8231,C8207,C8183,C8159,C8135,C8111)/POBLA!$B$22*100000</f>
        <v>91.075146706626612</v>
      </c>
      <c r="H8423" s="252">
        <f t="shared" si="688"/>
        <v>0.724390243902439</v>
      </c>
    </row>
    <row r="8424" spans="1:11" ht="15.75" thickBot="1" x14ac:dyDescent="0.3">
      <c r="A8424" s="42" t="s">
        <v>40</v>
      </c>
      <c r="B8424" s="19">
        <v>44243</v>
      </c>
      <c r="C8424" s="4">
        <v>22</v>
      </c>
      <c r="D8424" s="21">
        <f t="shared" si="689"/>
        <v>22483</v>
      </c>
      <c r="F8424" s="57">
        <f t="shared" si="687"/>
        <v>344</v>
      </c>
      <c r="G8424" s="251">
        <f>SUM(C8424,C8400,C8376,C8352,C8328,C8304,C8280,C8256,C8232,C8208,C8184,C8160,C8136,C8112)/POBLA!$B$23*100000</f>
        <v>324.0400384550133</v>
      </c>
      <c r="H8424" s="265">
        <f t="shared" si="688"/>
        <v>0.64745762711864407</v>
      </c>
      <c r="I8424" s="40"/>
      <c r="J8424" s="40"/>
      <c r="K8424" s="40"/>
    </row>
    <row r="8425" spans="1:11" ht="15.75" thickBot="1" x14ac:dyDescent="0.3">
      <c r="A8425" s="60" t="s">
        <v>41</v>
      </c>
      <c r="B8425" s="29">
        <v>44243</v>
      </c>
      <c r="C8425" s="30">
        <v>67</v>
      </c>
      <c r="D8425" s="59">
        <f t="shared" si="689"/>
        <v>78194</v>
      </c>
      <c r="E8425" s="30">
        <v>6</v>
      </c>
      <c r="F8425" s="100">
        <f t="shared" si="687"/>
        <v>1459</v>
      </c>
      <c r="G8425" s="251">
        <f>SUM(C8425,C8401,C8377,C8353,C8329,C8305,C8281,C8257,C8233,C8209,C8185,C8161,C8137,C8113)/POBLA!$B$24*100000</f>
        <v>87.274349484497151</v>
      </c>
      <c r="H8425" s="266">
        <f t="shared" si="688"/>
        <v>0.72678132678132679</v>
      </c>
      <c r="I8425" s="40"/>
      <c r="J8425" s="40"/>
      <c r="K8425" s="40"/>
    </row>
    <row r="8426" spans="1:11" ht="15.75" thickBot="1" x14ac:dyDescent="0.3">
      <c r="A8426" s="45" t="s">
        <v>17</v>
      </c>
      <c r="B8426" s="32">
        <v>44244</v>
      </c>
      <c r="C8426" s="33">
        <v>2602</v>
      </c>
      <c r="D8426" s="97">
        <f t="shared" si="689"/>
        <v>851056</v>
      </c>
      <c r="E8426" s="33">
        <v>67</v>
      </c>
      <c r="F8426" s="250">
        <f t="shared" ref="F8426:F8432" si="690">E8426+F8402</f>
        <v>25640</v>
      </c>
      <c r="G8426" s="251">
        <f>SUM(C8426,C8402,C8378,C8354,C8330,C8306,C8282,C8258,C8234,C8210,C8186,C8162,C8138,C8114)/POBLA!$B$1*100000</f>
        <v>206.43468973882599</v>
      </c>
      <c r="H8426" s="230">
        <f t="shared" ref="H8426:H8432" si="691">SUM(C8426,C8402,C8378,C8354,C8330,C8306,C8282,C8258,C8234,C8210,C8186,C8162,C8138,C8114)/SUM(C8090,C8066,C8042,C8018,C7994,C7970,C7946,C7922,C7898,C7874,C7850,C7826,C7802,C7778)</f>
        <v>0.7187717104349034</v>
      </c>
      <c r="I8426" s="267"/>
      <c r="J8426" s="267"/>
      <c r="K8426" s="267"/>
    </row>
    <row r="8427" spans="1:11" ht="15.75" thickBot="1" x14ac:dyDescent="0.3">
      <c r="A8427" s="105" t="s">
        <v>44</v>
      </c>
      <c r="B8427" s="19">
        <v>44244</v>
      </c>
      <c r="C8427" s="4">
        <v>764</v>
      </c>
      <c r="D8427" s="21">
        <f t="shared" si="689"/>
        <v>224137</v>
      </c>
      <c r="E8427" s="4">
        <v>7</v>
      </c>
      <c r="F8427" s="57">
        <f t="shared" si="690"/>
        <v>6319</v>
      </c>
      <c r="G8427" s="251">
        <f>SUM(C8427,C8403,C8379,C8355,C8331,C8307,C8283,C8259,C8235,C8211,C8187,C8163,C8139,C8115)/POBLA!$B$2*100000</f>
        <v>347.24412367353068</v>
      </c>
      <c r="H8427" s="252">
        <f t="shared" si="691"/>
        <v>0.71682663265991009</v>
      </c>
      <c r="I8427" s="267"/>
      <c r="J8427" s="267"/>
      <c r="K8427" s="267"/>
    </row>
    <row r="8428" spans="1:11" ht="15.75" thickBot="1" x14ac:dyDescent="0.3">
      <c r="A8428" s="105" t="s">
        <v>29</v>
      </c>
      <c r="B8428" s="19">
        <v>44244</v>
      </c>
      <c r="C8428" s="4">
        <v>81</v>
      </c>
      <c r="D8428" s="21">
        <f t="shared" si="689"/>
        <v>6963</v>
      </c>
      <c r="F8428" s="57">
        <f t="shared" si="690"/>
        <v>17</v>
      </c>
      <c r="G8428" s="251">
        <f>SUM(C8428,C8404,C8380,C8356,C8332,C8308,C8284,C8260,C8236,C8212,C8188,C8164,C8140,C8116)/POBLA!$B$3*100000</f>
        <v>275.85343661388703</v>
      </c>
      <c r="H8428" s="252">
        <f t="shared" si="691"/>
        <v>0.85842696629213489</v>
      </c>
      <c r="I8428" s="40"/>
      <c r="J8428" s="40"/>
      <c r="K8428" s="40"/>
    </row>
    <row r="8429" spans="1:11" ht="15.75" thickBot="1" x14ac:dyDescent="0.3">
      <c r="A8429" s="105" t="s">
        <v>16</v>
      </c>
      <c r="B8429" s="19">
        <v>44244</v>
      </c>
      <c r="C8429" s="4">
        <v>104</v>
      </c>
      <c r="D8429" s="21">
        <f t="shared" si="689"/>
        <v>32684</v>
      </c>
      <c r="E8429" s="4">
        <v>11</v>
      </c>
      <c r="F8429" s="57">
        <f t="shared" si="690"/>
        <v>847</v>
      </c>
      <c r="G8429" s="251">
        <f>SUM(C8429,C8405,C8381,C8357,C8333,C8309,C8285,C8261,C8237,C8213,C8189,C8165,C8141,C8117)/POBLA!$B$4*100000</f>
        <v>129.42689372964475</v>
      </c>
      <c r="H8429" s="252">
        <f t="shared" si="691"/>
        <v>0.74843975036005761</v>
      </c>
      <c r="I8429" s="267"/>
      <c r="J8429" s="267"/>
      <c r="K8429" s="267"/>
    </row>
    <row r="8430" spans="1:11" ht="15.75" thickBot="1" x14ac:dyDescent="0.3">
      <c r="A8430" s="105" t="s">
        <v>30</v>
      </c>
      <c r="B8430" s="19">
        <v>44244</v>
      </c>
      <c r="C8430" s="4">
        <v>175</v>
      </c>
      <c r="D8430" s="21">
        <f t="shared" si="689"/>
        <v>45508</v>
      </c>
      <c r="E8430" s="4">
        <v>7</v>
      </c>
      <c r="F8430" s="57">
        <f t="shared" si="690"/>
        <v>694</v>
      </c>
      <c r="G8430" s="251">
        <f>SUM(C8430,C8406,C8382,C8358,C8334,C8310,C8286,C8262,C8238,C8214,C8190,C8166,C8142,C8118)/POBLA!$B$5*100000</f>
        <v>381.26379254080007</v>
      </c>
      <c r="H8430" s="252">
        <f t="shared" si="691"/>
        <v>0.58459251919742383</v>
      </c>
      <c r="I8430" s="267"/>
      <c r="J8430" s="267"/>
      <c r="K8430" s="267"/>
    </row>
    <row r="8431" spans="1:11" ht="15.75" thickBot="1" x14ac:dyDescent="0.3">
      <c r="A8431" s="105" t="s">
        <v>31</v>
      </c>
      <c r="B8431" s="19">
        <v>44244</v>
      </c>
      <c r="C8431" s="4">
        <v>289</v>
      </c>
      <c r="D8431" s="21">
        <f t="shared" si="689"/>
        <v>20421</v>
      </c>
      <c r="E8431" s="4">
        <v>1</v>
      </c>
      <c r="F8431" s="57">
        <f t="shared" si="690"/>
        <v>286</v>
      </c>
      <c r="G8431" s="251">
        <f>SUM(C8431,C8407,C8383,C8359,C8335,C8311,C8287,C8263,C8239,C8215,C8191,C8167,C8143,C8119)/POBLA!$B$7*100000</f>
        <v>65.178369610020084</v>
      </c>
      <c r="H8431" s="252">
        <f t="shared" si="691"/>
        <v>1.1161202185792349</v>
      </c>
      <c r="I8431" s="267"/>
      <c r="J8431" s="267"/>
      <c r="K8431" s="267"/>
    </row>
    <row r="8432" spans="1:11" ht="15.75" thickBot="1" x14ac:dyDescent="0.3">
      <c r="A8432" s="105" t="s">
        <v>21</v>
      </c>
      <c r="B8432" s="19">
        <v>44244</v>
      </c>
      <c r="C8432" s="4">
        <v>438</v>
      </c>
      <c r="D8432" s="21">
        <f t="shared" si="689"/>
        <v>152911</v>
      </c>
      <c r="E8432" s="4">
        <v>5</v>
      </c>
      <c r="F8432" s="57">
        <f t="shared" si="690"/>
        <v>2785</v>
      </c>
      <c r="G8432" s="251">
        <f>SUM(C8432,C8408,C8384,C8360,C8336,C8312,C8288,C8264,C8240,C8216,C8192,C8168,C8144,C8120)/POBLA!$B$6*100000</f>
        <v>570.93096812012129</v>
      </c>
      <c r="H8432" s="252">
        <f t="shared" si="691"/>
        <v>0.90547615678505733</v>
      </c>
      <c r="I8432" s="267"/>
      <c r="J8432" s="267"/>
      <c r="K8432" s="267"/>
    </row>
    <row r="8433" spans="1:11" ht="15.75" thickBot="1" x14ac:dyDescent="0.3">
      <c r="A8433" s="105" t="s">
        <v>32</v>
      </c>
      <c r="B8433" s="19">
        <v>44244</v>
      </c>
      <c r="C8433" s="4">
        <v>85</v>
      </c>
      <c r="D8433" s="21">
        <f t="shared" si="689"/>
        <v>43767</v>
      </c>
      <c r="E8433" s="4">
        <v>4</v>
      </c>
      <c r="F8433" s="57">
        <f t="shared" ref="F8433:F8449" si="692">E8433+F8409</f>
        <v>796</v>
      </c>
      <c r="G8433" s="251">
        <f>SUM(C8433,C8409,C8385,C8361,C8337,C8313,C8289,C8265,C8241,C8217,C8193,C8169,C8145,C8121)/POBLA!$B$8*100000</f>
        <v>147.91180992827358</v>
      </c>
      <c r="H8433" s="252">
        <f t="shared" ref="H8433:H8449" si="693">SUM(C8433,C8409,C8385,C8361,C8337,C8313,C8289,C8265,C8241,C8217,C8193,C8169,C8145,C8121)/SUM(C8097,C8073,C8049,C8025,C8001,C7977,C7953,C7929,C7905,C7881,C7857,C7833,C7809,C7785)</f>
        <v>0.51352705410821642</v>
      </c>
      <c r="I8433" s="267"/>
      <c r="J8433" s="267"/>
      <c r="K8433" s="267"/>
    </row>
    <row r="8434" spans="1:11" ht="15.75" thickBot="1" x14ac:dyDescent="0.3">
      <c r="A8434" s="105" t="s">
        <v>42</v>
      </c>
      <c r="B8434" s="19">
        <v>44244</v>
      </c>
      <c r="C8434" s="4">
        <v>10</v>
      </c>
      <c r="D8434" s="21">
        <f t="shared" si="689"/>
        <v>988</v>
      </c>
      <c r="E8434" s="4">
        <v>2</v>
      </c>
      <c r="F8434" s="57">
        <f t="shared" si="692"/>
        <v>18</v>
      </c>
      <c r="G8434" s="251">
        <f>SUM(C8434,C8410,C8386,C8362,C8338,C8314,C8290,C8266,C8242,C8218,C8194,C8170,C8146,C8122)/POBLA!$B$9*100000</f>
        <v>21.976460401888321</v>
      </c>
      <c r="H8434" s="252">
        <f t="shared" si="693"/>
        <v>0.85806451612903223</v>
      </c>
      <c r="I8434" s="267"/>
      <c r="J8434" s="267"/>
      <c r="K8434" s="267"/>
    </row>
    <row r="8435" spans="1:11" ht="15.75" thickBot="1" x14ac:dyDescent="0.3">
      <c r="A8435" s="105" t="s">
        <v>33</v>
      </c>
      <c r="B8435" s="19">
        <v>44244</v>
      </c>
      <c r="C8435" s="4">
        <v>51</v>
      </c>
      <c r="D8435" s="21">
        <f t="shared" si="689"/>
        <v>19878</v>
      </c>
      <c r="E8435" s="4">
        <v>1</v>
      </c>
      <c r="F8435" s="57">
        <f t="shared" si="692"/>
        <v>894</v>
      </c>
      <c r="G8435" s="251">
        <f>SUM(C8435,C8411,C8387,C8363,C8339,C8315,C8291,C8267,C8243,C8219,C8195,C8171,C8147,C8123)/POBLA!$B$10*100000</f>
        <v>61.358367893358377</v>
      </c>
      <c r="H8435" s="252">
        <f t="shared" si="693"/>
        <v>1.1155660377358489</v>
      </c>
      <c r="I8435" s="267"/>
      <c r="J8435" s="267"/>
      <c r="K8435" s="267"/>
    </row>
    <row r="8436" spans="1:11" ht="15.75" thickBot="1" x14ac:dyDescent="0.3">
      <c r="A8436" s="105" t="s">
        <v>34</v>
      </c>
      <c r="B8436" s="19">
        <v>44244</v>
      </c>
      <c r="C8436" s="4">
        <v>43</v>
      </c>
      <c r="D8436" s="21">
        <f t="shared" si="689"/>
        <v>17841</v>
      </c>
      <c r="E8436" s="4">
        <v>8</v>
      </c>
      <c r="F8436" s="57">
        <f t="shared" si="692"/>
        <v>278</v>
      </c>
      <c r="G8436" s="251">
        <f>SUM(C8436,C8412,C8388,C8364,C8340,C8316,C8292,C8268,C8244,C8220,C8196,C8172,C8148,C8124)/POBLA!$B$11*100000</f>
        <v>318.05550905621214</v>
      </c>
      <c r="H8436" s="252">
        <f t="shared" si="693"/>
        <v>0.88030888030888033</v>
      </c>
      <c r="I8436" s="267"/>
      <c r="J8436" s="267"/>
      <c r="K8436" s="267"/>
    </row>
    <row r="8437" spans="1:11" ht="15.75" thickBot="1" x14ac:dyDescent="0.3">
      <c r="A8437" s="105" t="s">
        <v>22</v>
      </c>
      <c r="B8437" s="19">
        <v>44244</v>
      </c>
      <c r="C8437" s="4">
        <v>35</v>
      </c>
      <c r="D8437" s="21">
        <f t="shared" si="689"/>
        <v>9916</v>
      </c>
      <c r="E8437" s="4">
        <v>13</v>
      </c>
      <c r="F8437" s="57">
        <f t="shared" si="692"/>
        <v>430</v>
      </c>
      <c r="G8437" s="251">
        <f>SUM(C8437,C8413,C8389,C8365,C8341,C8317,C8293,C8269,C8245,C8221,C8197,C8173,C8149,C8125)/POBLA!$B$12*100000</f>
        <v>84.110273396504979</v>
      </c>
      <c r="H8437" s="252">
        <f t="shared" si="693"/>
        <v>1.4646017699115044</v>
      </c>
      <c r="I8437" s="267"/>
      <c r="J8437" s="267"/>
      <c r="K8437" s="267"/>
    </row>
    <row r="8438" spans="1:11" ht="15.75" thickBot="1" x14ac:dyDescent="0.3">
      <c r="A8438" s="105" t="s">
        <v>18</v>
      </c>
      <c r="B8438" s="19">
        <v>44244</v>
      </c>
      <c r="C8438" s="4">
        <v>134</v>
      </c>
      <c r="D8438" s="21">
        <f t="shared" si="689"/>
        <v>65864</v>
      </c>
      <c r="E8438" s="4">
        <v>1</v>
      </c>
      <c r="F8438" s="57">
        <f t="shared" si="692"/>
        <v>1415</v>
      </c>
      <c r="G8438" s="251">
        <f>SUM(C8438,C8414,C8390,C8366,C8342,C8318,C8294,C8270,C8246,C8222,C8198,C8174,C8150,C8126)/POBLA!$B$13*100000</f>
        <v>83.654133117088648</v>
      </c>
      <c r="H8438" s="252">
        <f t="shared" si="693"/>
        <v>1.0659411011523687</v>
      </c>
      <c r="I8438" s="267"/>
      <c r="J8438" s="267"/>
      <c r="K8438" s="267"/>
    </row>
    <row r="8439" spans="1:11" ht="15.75" thickBot="1" x14ac:dyDescent="0.3">
      <c r="A8439" s="105" t="s">
        <v>24</v>
      </c>
      <c r="B8439" s="19">
        <v>44244</v>
      </c>
      <c r="C8439" s="4">
        <v>95</v>
      </c>
      <c r="D8439" s="21">
        <f t="shared" si="689"/>
        <v>7059</v>
      </c>
      <c r="E8439" s="4">
        <v>2</v>
      </c>
      <c r="F8439" s="57">
        <f t="shared" si="692"/>
        <v>122</v>
      </c>
      <c r="G8439" s="251">
        <f>SUM(C8439,C8415,C8391,C8367,C8343,C8319,C8295,C8271,C8247,C8223,C8199,C8175,C8151,C8127)/POBLA!$B$14*100000</f>
        <v>136.84359078850767</v>
      </c>
      <c r="H8439" s="252">
        <f t="shared" si="693"/>
        <v>0.67055167055167053</v>
      </c>
      <c r="I8439" s="267"/>
      <c r="J8439" s="267"/>
      <c r="K8439" s="267"/>
    </row>
    <row r="8440" spans="1:11" ht="15.75" thickBot="1" x14ac:dyDescent="0.3">
      <c r="A8440" s="105" t="s">
        <v>20</v>
      </c>
      <c r="B8440" s="19">
        <v>44244</v>
      </c>
      <c r="C8440" s="4">
        <v>225</v>
      </c>
      <c r="D8440" s="21">
        <f t="shared" si="689"/>
        <v>59148</v>
      </c>
      <c r="E8440" s="4">
        <v>4</v>
      </c>
      <c r="F8440" s="57">
        <f t="shared" si="692"/>
        <v>870</v>
      </c>
      <c r="G8440" s="251">
        <f>SUM(C8440,C8416,C8392,C8368,C8344,C8320,C8296,C8272,C8248,C8224,C8200,C8176,C8152,C8128)/POBLA!$B$15*100000</f>
        <v>566.66822275798609</v>
      </c>
      <c r="H8440" s="252">
        <f t="shared" si="693"/>
        <v>0.65375260597637253</v>
      </c>
      <c r="I8440" s="267"/>
      <c r="J8440" s="267"/>
      <c r="K8440" s="267"/>
    </row>
    <row r="8441" spans="1:11" ht="15.75" thickBot="1" x14ac:dyDescent="0.3">
      <c r="A8441" s="105" t="s">
        <v>19</v>
      </c>
      <c r="B8441" s="19">
        <v>44244</v>
      </c>
      <c r="C8441" s="4">
        <v>151</v>
      </c>
      <c r="D8441" s="21">
        <f t="shared" si="689"/>
        <v>50948</v>
      </c>
      <c r="E8441" s="4">
        <v>10</v>
      </c>
      <c r="F8441" s="57">
        <f t="shared" si="692"/>
        <v>1129</v>
      </c>
      <c r="G8441" s="251">
        <f>SUM(C8441,C8417,C8393,C8369,C8345,C8321,C8297,C8273,C8249,C8225,C8201,C8177,C8153,C8129)/POBLA!$B$16*100000</f>
        <v>292.66596219954255</v>
      </c>
      <c r="H8441" s="252">
        <f t="shared" si="693"/>
        <v>0.58300026645350389</v>
      </c>
      <c r="I8441" s="267"/>
      <c r="J8441" s="267"/>
      <c r="K8441" s="267"/>
    </row>
    <row r="8442" spans="1:11" ht="15.75" thickBot="1" x14ac:dyDescent="0.3">
      <c r="A8442" s="105" t="s">
        <v>35</v>
      </c>
      <c r="B8442" s="19">
        <v>44244</v>
      </c>
      <c r="C8442" s="4">
        <v>34</v>
      </c>
      <c r="D8442" s="21">
        <f t="shared" si="689"/>
        <v>24935</v>
      </c>
      <c r="E8442" s="4">
        <v>2</v>
      </c>
      <c r="F8442" s="57">
        <f t="shared" si="692"/>
        <v>1071</v>
      </c>
      <c r="G8442" s="251">
        <f>SUM(C8442,C8418,C8394,C8370,C8346,C8322,C8298,C8274,C8250,C8226,C8202,C8178,C8154,C8130)/POBLA!$B$17*100000</f>
        <v>67.537350893044575</v>
      </c>
      <c r="H8442" s="252">
        <f t="shared" si="693"/>
        <v>1.293010752688172</v>
      </c>
      <c r="I8442" s="267"/>
      <c r="J8442" s="267"/>
      <c r="K8442" s="267"/>
    </row>
    <row r="8443" spans="1:11" ht="15.75" thickBot="1" x14ac:dyDescent="0.3">
      <c r="A8443" s="105" t="s">
        <v>36</v>
      </c>
      <c r="B8443" s="19">
        <v>44244</v>
      </c>
      <c r="C8443" s="4">
        <v>82</v>
      </c>
      <c r="D8443" s="21">
        <f t="shared" si="689"/>
        <v>14742</v>
      </c>
      <c r="E8443" s="4">
        <v>1</v>
      </c>
      <c r="F8443" s="57">
        <f t="shared" si="692"/>
        <v>204</v>
      </c>
      <c r="G8443" s="251">
        <f>SUM(C8443,C8419,C8395,C8371,C8347,C8323,C8299,C8275,C8251,C8227,C8203,C8179,C8155,C8131)/POBLA!$B$18*100000</f>
        <v>77.187260389878873</v>
      </c>
      <c r="H8443" s="252">
        <f t="shared" si="693"/>
        <v>0.76620076238881829</v>
      </c>
      <c r="I8443" s="267"/>
      <c r="J8443" s="267"/>
      <c r="K8443" s="267"/>
    </row>
    <row r="8444" spans="1:11" ht="15.75" thickBot="1" x14ac:dyDescent="0.3">
      <c r="A8444" s="105" t="s">
        <v>37</v>
      </c>
      <c r="B8444" s="19">
        <v>44244</v>
      </c>
      <c r="C8444" s="4">
        <v>6</v>
      </c>
      <c r="D8444" s="21">
        <f t="shared" si="689"/>
        <v>20227</v>
      </c>
      <c r="E8444" s="4">
        <v>1</v>
      </c>
      <c r="F8444" s="57">
        <f t="shared" si="692"/>
        <v>348</v>
      </c>
      <c r="G8444" s="251">
        <f>SUM(C8444,C8420,C8396,C8372,C8348,C8324,C8300,C8276,C8252,C8228,C8204,C8180,C8156,C8132)/POBLA!$B$19*100000</f>
        <v>224.06792464707829</v>
      </c>
      <c r="H8444" s="252">
        <f t="shared" si="693"/>
        <v>0.59138110072689509</v>
      </c>
      <c r="I8444" s="267"/>
      <c r="J8444" s="267"/>
      <c r="K8444" s="267"/>
    </row>
    <row r="8445" spans="1:11" ht="15.75" thickBot="1" x14ac:dyDescent="0.3">
      <c r="A8445" s="105" t="s">
        <v>38</v>
      </c>
      <c r="B8445" s="19">
        <v>44244</v>
      </c>
      <c r="C8445" s="4">
        <v>117</v>
      </c>
      <c r="D8445" s="21">
        <f t="shared" si="689"/>
        <v>34750</v>
      </c>
      <c r="E8445" s="4">
        <v>15</v>
      </c>
      <c r="F8445" s="57">
        <f t="shared" si="692"/>
        <v>555</v>
      </c>
      <c r="G8445" s="251">
        <f>SUM(C8445,C8421,C8397,C8373,C8349,C8325,C8301,C8277,C8253,C8229,C8205,C8181,C8157,C8133)/POBLA!$B$20*100000</f>
        <v>408.26036784450559</v>
      </c>
      <c r="H8445" s="252">
        <f t="shared" si="693"/>
        <v>0.56382175226586106</v>
      </c>
      <c r="I8445" s="267"/>
      <c r="J8445" s="267"/>
      <c r="K8445" s="267"/>
    </row>
    <row r="8446" spans="1:11" ht="15.75" thickBot="1" x14ac:dyDescent="0.3">
      <c r="A8446" s="105" t="s">
        <v>23</v>
      </c>
      <c r="B8446" s="19">
        <v>44244</v>
      </c>
      <c r="C8446" s="4">
        <v>320</v>
      </c>
      <c r="D8446" s="21">
        <f t="shared" si="689"/>
        <v>212567</v>
      </c>
      <c r="E8446" s="4">
        <v>18</v>
      </c>
      <c r="F8446" s="57">
        <f t="shared" si="692"/>
        <v>3830</v>
      </c>
      <c r="G8446" s="251">
        <f>SUM(C8446,C8422,C8398,C8374,C8350,C8326,C8302,C8278,C8254,C8230,C8206,C8182,C8158,C8134)/POBLA!$B$21*100000</f>
        <v>141.81015931940172</v>
      </c>
      <c r="H8446" s="252">
        <f t="shared" si="693"/>
        <v>0.54469425437167374</v>
      </c>
      <c r="I8446" s="267"/>
      <c r="J8446" s="267"/>
      <c r="K8446" s="267"/>
    </row>
    <row r="8447" spans="1:11" ht="15.75" thickBot="1" x14ac:dyDescent="0.3">
      <c r="A8447" s="105" t="s">
        <v>39</v>
      </c>
      <c r="B8447" s="19">
        <v>44244</v>
      </c>
      <c r="C8447" s="4">
        <v>48</v>
      </c>
      <c r="D8447" s="21">
        <f t="shared" si="689"/>
        <v>21962</v>
      </c>
      <c r="E8447" s="4">
        <v>2</v>
      </c>
      <c r="F8447" s="57">
        <f t="shared" si="692"/>
        <v>261</v>
      </c>
      <c r="G8447" s="251">
        <f>SUM(C8447,C8423,C8399,C8375,C8351,C8327,C8303,C8279,C8255,C8231,C8207,C8183,C8159,C8135)/POBLA!$B$22*100000</f>
        <v>86.679825372861245</v>
      </c>
      <c r="H8447" s="252">
        <f t="shared" si="693"/>
        <v>0.73419913419913418</v>
      </c>
      <c r="I8447" s="267"/>
      <c r="J8447" s="267"/>
      <c r="K8447" s="267"/>
    </row>
    <row r="8448" spans="1:11" ht="15.75" thickBot="1" x14ac:dyDescent="0.3">
      <c r="A8448" s="105" t="s">
        <v>40</v>
      </c>
      <c r="B8448" s="19">
        <v>44244</v>
      </c>
      <c r="C8448" s="4">
        <v>46</v>
      </c>
      <c r="D8448" s="21">
        <f t="shared" si="689"/>
        <v>22529</v>
      </c>
      <c r="E8448" s="4">
        <v>1</v>
      </c>
      <c r="F8448" s="57">
        <f t="shared" si="692"/>
        <v>345</v>
      </c>
      <c r="G8448" s="251">
        <f>SUM(C8448,C8424,C8400,C8376,C8352,C8328,C8304,C8280,C8256,C8232,C8208,C8184,C8160,C8136)/POBLA!$B$23*100000</f>
        <v>317.81937454051911</v>
      </c>
      <c r="H8448" s="252">
        <f t="shared" si="693"/>
        <v>0.66039952996474738</v>
      </c>
      <c r="I8448" s="267"/>
      <c r="J8448" s="267"/>
      <c r="K8448" s="267"/>
    </row>
    <row r="8449" spans="1:11" ht="15.75" thickBot="1" x14ac:dyDescent="0.3">
      <c r="A8449" s="106" t="s">
        <v>41</v>
      </c>
      <c r="B8449" s="36">
        <v>44244</v>
      </c>
      <c r="C8449" s="37">
        <v>129</v>
      </c>
      <c r="D8449" s="98">
        <f t="shared" si="689"/>
        <v>78323</v>
      </c>
      <c r="E8449" s="37"/>
      <c r="F8449" s="255">
        <f t="shared" si="692"/>
        <v>1459</v>
      </c>
      <c r="G8449" s="251">
        <f>SUM(C8449,C8425,C8401,C8377,C8353,C8329,C8305,C8281,C8257,C8233,C8209,C8185,C8161,C8137)/POBLA!$B$24*100000</f>
        <v>87.510385588579624</v>
      </c>
      <c r="H8449" s="257">
        <f t="shared" si="693"/>
        <v>0.73707753479125249</v>
      </c>
      <c r="I8449" s="40"/>
      <c r="J8449" s="40"/>
      <c r="K8449" s="40"/>
    </row>
    <row r="8450" spans="1:11" ht="15.75" thickBot="1" x14ac:dyDescent="0.3">
      <c r="A8450" s="45" t="s">
        <v>17</v>
      </c>
      <c r="B8450" s="102">
        <v>44245</v>
      </c>
      <c r="C8450" s="31">
        <v>3254</v>
      </c>
      <c r="D8450" s="97">
        <f t="shared" si="689"/>
        <v>854310</v>
      </c>
      <c r="E8450" s="31">
        <v>154</v>
      </c>
      <c r="F8450" s="250">
        <f t="shared" ref="F8450:F8456" si="694">E8450+F8426</f>
        <v>25794</v>
      </c>
      <c r="G8450" s="251">
        <f>SUM(C8450,C8426,C8402,C8378,C8354,C8330,C8306,C8282,C8258,C8234,C8210,C8186,C8162,C8138)/POBLA!$B$1*100000</f>
        <v>203.84078777999676</v>
      </c>
      <c r="H8450" s="230">
        <f t="shared" ref="H8450:H8456" si="695">SUM(C8450,C8426,C8402,C8378,C8354,C8330,C8306,C8282,C8258,C8234,C8210,C8186,C8162,C8138)/SUM(C8114,C8090,C8066,C8042,C8018,C7994,C7970,C7946,C7922,C7898,C7874,C7850,C7826,C7802)</f>
        <v>0.7229568522787011</v>
      </c>
      <c r="I8450" s="269"/>
      <c r="J8450" s="40"/>
      <c r="K8450" s="40"/>
    </row>
    <row r="8451" spans="1:11" ht="16.5" thickTop="1" thickBot="1" x14ac:dyDescent="0.3">
      <c r="A8451" s="105" t="s">
        <v>44</v>
      </c>
      <c r="B8451" s="102">
        <v>44245</v>
      </c>
      <c r="C8451" s="4">
        <v>794</v>
      </c>
      <c r="D8451" s="21">
        <f t="shared" si="689"/>
        <v>224931</v>
      </c>
      <c r="E8451" s="4">
        <v>36</v>
      </c>
      <c r="F8451" s="57">
        <f t="shared" si="694"/>
        <v>6355</v>
      </c>
      <c r="G8451" s="251">
        <f>SUM(C8451,C8427,C8403,C8379,C8355,C8331,C8307,C8283,C8259,C8235,C8211,C8187,C8163,C8139)/POBLA!$B$2*100000</f>
        <v>333.58845588861658</v>
      </c>
      <c r="H8451" s="252">
        <f t="shared" si="695"/>
        <v>0.69100215517241381</v>
      </c>
      <c r="I8451" s="269"/>
    </row>
    <row r="8452" spans="1:11" ht="16.5" thickTop="1" thickBot="1" x14ac:dyDescent="0.3">
      <c r="A8452" s="105" t="s">
        <v>29</v>
      </c>
      <c r="B8452" s="102">
        <v>44245</v>
      </c>
      <c r="C8452" s="4">
        <v>68</v>
      </c>
      <c r="D8452" s="21">
        <f t="shared" si="689"/>
        <v>7031</v>
      </c>
      <c r="F8452" s="57">
        <f t="shared" si="694"/>
        <v>17</v>
      </c>
      <c r="G8452" s="251">
        <f>SUM(C8452,C8428,C8404,C8380,C8356,C8332,C8308,C8284,C8260,C8236,C8212,C8188,C8164,C8140)/POBLA!$B$3*100000</f>
        <v>262.37368752978784</v>
      </c>
      <c r="H8452" s="252">
        <f t="shared" si="695"/>
        <v>0.79912023460410553</v>
      </c>
      <c r="I8452" s="271"/>
    </row>
    <row r="8453" spans="1:11" ht="16.5" thickTop="1" thickBot="1" x14ac:dyDescent="0.3">
      <c r="A8453" s="105" t="s">
        <v>16</v>
      </c>
      <c r="B8453" s="102">
        <v>44245</v>
      </c>
      <c r="C8453" s="4">
        <v>100</v>
      </c>
      <c r="D8453" s="21">
        <f t="shared" si="689"/>
        <v>32784</v>
      </c>
      <c r="E8453" s="4">
        <v>3</v>
      </c>
      <c r="F8453" s="57">
        <f t="shared" si="694"/>
        <v>850</v>
      </c>
      <c r="G8453" s="251">
        <f>SUM(C8453,C8429,C8405,C8381,C8357,C8333,C8309,C8285,C8261,C8237,C8213,C8189,C8165,C8141)/POBLA!$B$4*100000</f>
        <v>126.68726095666317</v>
      </c>
      <c r="H8453" s="252">
        <f t="shared" si="695"/>
        <v>0.78863049095607241</v>
      </c>
      <c r="I8453" s="272"/>
    </row>
    <row r="8454" spans="1:11" ht="16.5" thickTop="1" thickBot="1" x14ac:dyDescent="0.3">
      <c r="A8454" s="105" t="s">
        <v>30</v>
      </c>
      <c r="B8454" s="102">
        <v>44245</v>
      </c>
      <c r="C8454" s="4">
        <v>314</v>
      </c>
      <c r="D8454" s="21">
        <f t="shared" si="689"/>
        <v>45822</v>
      </c>
      <c r="E8454" s="4">
        <v>3</v>
      </c>
      <c r="F8454" s="57">
        <f t="shared" si="694"/>
        <v>697</v>
      </c>
      <c r="G8454" s="251">
        <f>SUM(C8454,C8430,C8406,C8382,C8358,C8334,C8310,C8286,C8262,C8238,C8214,C8190,C8166,C8142)/POBLA!$B$5*100000</f>
        <v>387.72589071945771</v>
      </c>
      <c r="H8454" s="252">
        <f t="shared" si="695"/>
        <v>0.61068702290076338</v>
      </c>
      <c r="I8454" s="272"/>
    </row>
    <row r="8455" spans="1:11" ht="16.5" thickTop="1" thickBot="1" x14ac:dyDescent="0.3">
      <c r="A8455" s="105" t="s">
        <v>31</v>
      </c>
      <c r="B8455" s="102">
        <v>44245</v>
      </c>
      <c r="C8455" s="4">
        <v>147</v>
      </c>
      <c r="D8455" s="21">
        <f t="shared" si="689"/>
        <v>20568</v>
      </c>
      <c r="F8455" s="57">
        <f t="shared" si="694"/>
        <v>286</v>
      </c>
      <c r="G8455" s="251">
        <f>SUM(C8455,C8431,C8407,C8383,C8359,C8335,C8311,C8287,C8263,C8239,C8215,C8191,C8167,C8143)/POBLA!$B$7*100000</f>
        <v>63.875334069060877</v>
      </c>
      <c r="H8455" s="252">
        <f t="shared" si="695"/>
        <v>1.0642445724412937</v>
      </c>
      <c r="I8455" s="272"/>
    </row>
    <row r="8456" spans="1:11" ht="16.5" thickTop="1" thickBot="1" x14ac:dyDescent="0.3">
      <c r="A8456" s="105" t="s">
        <v>21</v>
      </c>
      <c r="B8456" s="102">
        <v>44245</v>
      </c>
      <c r="C8456" s="4">
        <v>848</v>
      </c>
      <c r="D8456" s="21">
        <f t="shared" si="689"/>
        <v>153759</v>
      </c>
      <c r="E8456" s="4">
        <v>5</v>
      </c>
      <c r="F8456" s="57">
        <f t="shared" si="694"/>
        <v>2790</v>
      </c>
      <c r="G8456" s="251">
        <f>SUM(C8456,C8432,C8408,C8384,C8360,C8336,C8312,C8288,C8264,C8240,C8216,C8192,C8168,C8144)/POBLA!$B$6*100000</f>
        <v>599.12509000259638</v>
      </c>
      <c r="H8456" s="252">
        <f t="shared" si="695"/>
        <v>0.9661870503597122</v>
      </c>
      <c r="I8456" s="269"/>
    </row>
    <row r="8457" spans="1:11" ht="16.5" thickTop="1" thickBot="1" x14ac:dyDescent="0.3">
      <c r="A8457" s="105" t="s">
        <v>32</v>
      </c>
      <c r="B8457" s="102">
        <v>44245</v>
      </c>
      <c r="C8457" s="4">
        <v>193</v>
      </c>
      <c r="D8457" s="21">
        <f t="shared" si="689"/>
        <v>43960</v>
      </c>
      <c r="E8457" s="4">
        <v>7</v>
      </c>
      <c r="F8457" s="57">
        <f t="shared" ref="F8457:F8473" si="696">E8457+F8433</f>
        <v>803</v>
      </c>
      <c r="G8457" s="251">
        <f>SUM(C8457,C8433,C8409,C8385,C8361,C8337,C8313,C8289,C8265,C8241,C8217,C8193,C8169,C8145)/POBLA!$B$8*100000</f>
        <v>146.10800736817271</v>
      </c>
      <c r="H8457" s="252">
        <f t="shared" ref="H8457:H8473" si="697">SUM(C8457,C8433,C8409,C8385,C8361,C8337,C8313,C8289,C8265,C8241,C8217,C8193,C8169,C8145)/SUM(C8121,C8097,C8073,C8049,C8025,C8001,C7977,C7953,C7929,C7905,C7881,C7857,C7833,C7809)</f>
        <v>0.53784860557768921</v>
      </c>
      <c r="I8457" s="272"/>
    </row>
    <row r="8458" spans="1:11" ht="16.5" thickTop="1" thickBot="1" x14ac:dyDescent="0.3">
      <c r="A8458" s="105" t="s">
        <v>42</v>
      </c>
      <c r="B8458" s="102">
        <v>44245</v>
      </c>
      <c r="C8458" s="4">
        <v>52</v>
      </c>
      <c r="D8458" s="21">
        <f t="shared" si="689"/>
        <v>1040</v>
      </c>
      <c r="F8458" s="57">
        <f t="shared" si="696"/>
        <v>18</v>
      </c>
      <c r="G8458" s="251">
        <f>SUM(C8458,C8434,C8410,C8386,C8362,C8338,C8314,C8290,C8266,C8242,C8218,C8194,C8170,C8146)/POBLA!$B$9*100000</f>
        <v>30.073051076268236</v>
      </c>
      <c r="H8458" s="252">
        <f t="shared" si="697"/>
        <v>1.8383838383838385</v>
      </c>
      <c r="I8458" s="271"/>
    </row>
    <row r="8459" spans="1:11" ht="16.5" thickTop="1" thickBot="1" x14ac:dyDescent="0.3">
      <c r="A8459" s="105" t="s">
        <v>33</v>
      </c>
      <c r="B8459" s="102">
        <v>44245</v>
      </c>
      <c r="C8459" s="4">
        <v>45</v>
      </c>
      <c r="D8459" s="21">
        <f t="shared" si="689"/>
        <v>19923</v>
      </c>
      <c r="F8459" s="57">
        <f t="shared" si="696"/>
        <v>894</v>
      </c>
      <c r="G8459" s="251">
        <f>SUM(C8459,C8435,C8411,C8387,C8363,C8339,C8315,C8291,C8267,C8243,C8219,C8195,C8171,C8147)/POBLA!$B$10*100000</f>
        <v>63.563636929694724</v>
      </c>
      <c r="H8459" s="252">
        <f t="shared" si="697"/>
        <v>1.203931203931204</v>
      </c>
      <c r="I8459" s="272"/>
    </row>
    <row r="8460" spans="1:11" ht="16.5" thickTop="1" thickBot="1" x14ac:dyDescent="0.3">
      <c r="A8460" s="105" t="s">
        <v>34</v>
      </c>
      <c r="B8460" s="102">
        <v>44245</v>
      </c>
      <c r="C8460" s="4">
        <v>100</v>
      </c>
      <c r="D8460" s="21">
        <f t="shared" si="689"/>
        <v>17941</v>
      </c>
      <c r="E8460" s="4">
        <v>1</v>
      </c>
      <c r="F8460" s="57">
        <f t="shared" si="696"/>
        <v>279</v>
      </c>
      <c r="G8460" s="251">
        <f>SUM(C8460,C8436,C8412,C8388,C8364,C8340,C8316,C8292,C8268,C8244,C8220,C8196,C8172,C8148)/POBLA!$B$11*100000</f>
        <v>297.40980057361588</v>
      </c>
      <c r="H8460" s="252">
        <f t="shared" si="697"/>
        <v>0.80150375939849627</v>
      </c>
      <c r="I8460" s="272"/>
    </row>
    <row r="8461" spans="1:11" ht="16.5" thickTop="1" thickBot="1" x14ac:dyDescent="0.3">
      <c r="A8461" s="105" t="s">
        <v>22</v>
      </c>
      <c r="B8461" s="102">
        <v>44245</v>
      </c>
      <c r="C8461" s="4">
        <v>29</v>
      </c>
      <c r="D8461" s="21">
        <f t="shared" si="689"/>
        <v>9945</v>
      </c>
      <c r="E8461" s="4">
        <v>4</v>
      </c>
      <c r="F8461" s="57">
        <f t="shared" si="696"/>
        <v>434</v>
      </c>
      <c r="G8461" s="251">
        <f>SUM(C8461,C8437,C8413,C8389,C8365,C8341,C8317,C8293,C8269,C8245,C8221,C8197,C8173,C8149)/POBLA!$B$12*100000</f>
        <v>88.17602679331489</v>
      </c>
      <c r="H8461" s="252">
        <f t="shared" si="697"/>
        <v>1.5772727272727274</v>
      </c>
      <c r="I8461" s="271"/>
    </row>
    <row r="8462" spans="1:11" ht="16.5" thickTop="1" thickBot="1" x14ac:dyDescent="0.3">
      <c r="A8462" s="105" t="s">
        <v>18</v>
      </c>
      <c r="B8462" s="102">
        <v>44245</v>
      </c>
      <c r="C8462" s="4">
        <v>164</v>
      </c>
      <c r="D8462" s="21">
        <f t="shared" si="689"/>
        <v>66028</v>
      </c>
      <c r="F8462" s="57">
        <f t="shared" si="696"/>
        <v>1415</v>
      </c>
      <c r="G8462" s="251">
        <f>SUM(C8462,C8438,C8414,C8390,C8366,C8342,C8318,C8294,C8270,C8246,C8222,C8198,C8174,C8150)/POBLA!$B$13*100000</f>
        <v>82.347822329674656</v>
      </c>
      <c r="H8462" s="252">
        <f t="shared" si="697"/>
        <v>1.0373417721518987</v>
      </c>
      <c r="I8462" s="269"/>
    </row>
    <row r="8463" spans="1:11" ht="16.5" thickTop="1" thickBot="1" x14ac:dyDescent="0.3">
      <c r="A8463" s="105" t="s">
        <v>24</v>
      </c>
      <c r="B8463" s="102">
        <v>44245</v>
      </c>
      <c r="C8463" s="4">
        <v>102</v>
      </c>
      <c r="D8463" s="21">
        <f t="shared" si="689"/>
        <v>7161</v>
      </c>
      <c r="E8463" s="4">
        <v>2</v>
      </c>
      <c r="F8463" s="57">
        <f t="shared" si="696"/>
        <v>124</v>
      </c>
      <c r="G8463" s="251">
        <f>SUM(C8463,C8439,C8415,C8391,C8367,C8343,C8319,C8295,C8271,C8247,C8223,C8199,C8175,C8151)/POBLA!$B$14*100000</f>
        <v>129.07379247027259</v>
      </c>
      <c r="H8463" s="252">
        <f t="shared" si="697"/>
        <v>0.62639476721816079</v>
      </c>
      <c r="I8463" s="271"/>
    </row>
    <row r="8464" spans="1:11" ht="16.5" thickTop="1" thickBot="1" x14ac:dyDescent="0.3">
      <c r="A8464" s="105" t="s">
        <v>20</v>
      </c>
      <c r="B8464" s="102">
        <v>44245</v>
      </c>
      <c r="C8464" s="4">
        <v>294</v>
      </c>
      <c r="D8464" s="21">
        <f t="shared" si="689"/>
        <v>59442</v>
      </c>
      <c r="E8464" s="4">
        <v>5</v>
      </c>
      <c r="F8464" s="57">
        <f t="shared" si="696"/>
        <v>875</v>
      </c>
      <c r="G8464" s="251">
        <f>SUM(C8464,C8440,C8416,C8392,C8368,C8344,C8320,C8296,C8272,C8248,C8224,C8200,C8176,C8152)/POBLA!$B$15*100000</f>
        <v>537.3032736647607</v>
      </c>
      <c r="H8464" s="252">
        <f t="shared" si="697"/>
        <v>0.6236671910505156</v>
      </c>
      <c r="I8464" s="269"/>
    </row>
    <row r="8465" spans="1:9" ht="16.5" thickTop="1" thickBot="1" x14ac:dyDescent="0.3">
      <c r="A8465" s="105" t="s">
        <v>19</v>
      </c>
      <c r="B8465" s="102">
        <v>44245</v>
      </c>
      <c r="C8465" s="4">
        <v>221</v>
      </c>
      <c r="D8465" s="21">
        <f t="shared" si="689"/>
        <v>51169</v>
      </c>
      <c r="E8465" s="4">
        <v>8</v>
      </c>
      <c r="F8465" s="57">
        <f t="shared" si="696"/>
        <v>1137</v>
      </c>
      <c r="G8465" s="251">
        <f>SUM(C8465,C8441,C8417,C8393,C8369,C8345,C8321,C8297,C8273,C8249,C8225,C8201,C8177,C8153)/POBLA!$B$16*100000</f>
        <v>296.94626877650114</v>
      </c>
      <c r="H8465" s="252">
        <f t="shared" si="697"/>
        <v>0.60375305955942349</v>
      </c>
      <c r="I8465" s="269"/>
    </row>
    <row r="8466" spans="1:9" ht="16.5" thickTop="1" thickBot="1" x14ac:dyDescent="0.3">
      <c r="A8466" s="105" t="s">
        <v>35</v>
      </c>
      <c r="B8466" s="102">
        <v>44245</v>
      </c>
      <c r="C8466" s="4">
        <v>89</v>
      </c>
      <c r="D8466" s="21">
        <f t="shared" si="689"/>
        <v>25024</v>
      </c>
      <c r="F8466" s="57">
        <f t="shared" si="696"/>
        <v>1071</v>
      </c>
      <c r="G8466" s="251">
        <f>SUM(C8466,C8442,C8418,C8394,C8370,C8346,C8322,C8298,C8274,C8250,C8226,C8202,C8178,C8154)/POBLA!$B$17*100000</f>
        <v>67.186325160752233</v>
      </c>
      <c r="H8466" s="252">
        <f t="shared" si="697"/>
        <v>1.254259501965924</v>
      </c>
      <c r="I8466" s="272"/>
    </row>
    <row r="8467" spans="1:9" ht="16.5" thickTop="1" thickBot="1" x14ac:dyDescent="0.3">
      <c r="A8467" s="105" t="s">
        <v>36</v>
      </c>
      <c r="B8467" s="102">
        <v>44245</v>
      </c>
      <c r="C8467" s="4">
        <v>79</v>
      </c>
      <c r="D8467" s="21">
        <f t="shared" si="689"/>
        <v>14821</v>
      </c>
      <c r="F8467" s="57">
        <f t="shared" si="696"/>
        <v>204</v>
      </c>
      <c r="G8467" s="251">
        <f>SUM(C8467,C8443,C8419,C8395,C8371,C8347,C8323,C8299,C8275,C8251,C8227,C8203,C8179,C8155)/POBLA!$B$18*100000</f>
        <v>76.547233355136925</v>
      </c>
      <c r="H8467" s="252">
        <f t="shared" si="697"/>
        <v>0.75696202531645573</v>
      </c>
      <c r="I8467" s="272"/>
    </row>
    <row r="8468" spans="1:9" ht="16.5" thickTop="1" thickBot="1" x14ac:dyDescent="0.3">
      <c r="A8468" s="105" t="s">
        <v>37</v>
      </c>
      <c r="B8468" s="102">
        <v>44245</v>
      </c>
      <c r="C8468" s="4">
        <v>17</v>
      </c>
      <c r="D8468" s="21">
        <f t="shared" si="689"/>
        <v>20244</v>
      </c>
      <c r="E8468" s="4">
        <v>4</v>
      </c>
      <c r="F8468" s="57">
        <f t="shared" si="696"/>
        <v>352</v>
      </c>
      <c r="G8468" s="251">
        <f>SUM(C8468,C8444,C8420,C8396,C8372,C8348,C8324,C8300,C8276,C8252,C8228,C8204,C8180,C8156)/POBLA!$B$19*100000</f>
        <v>226.62532852803702</v>
      </c>
      <c r="H8468" s="252">
        <f t="shared" si="697"/>
        <v>0.66666666666666663</v>
      </c>
      <c r="I8468" s="272"/>
    </row>
    <row r="8469" spans="1:9" ht="16.5" thickTop="1" thickBot="1" x14ac:dyDescent="0.3">
      <c r="A8469" s="105" t="s">
        <v>38</v>
      </c>
      <c r="B8469" s="102">
        <v>44245</v>
      </c>
      <c r="C8469" s="4">
        <v>114</v>
      </c>
      <c r="D8469" s="21">
        <f t="shared" si="689"/>
        <v>34864</v>
      </c>
      <c r="E8469" s="4">
        <v>3</v>
      </c>
      <c r="F8469" s="57">
        <f t="shared" si="696"/>
        <v>558</v>
      </c>
      <c r="G8469" s="251">
        <f>SUM(C8469,C8445,C8421,C8397,C8373,C8349,C8325,C8301,C8277,C8253,C8229,C8205,C8181,C8157)/POBLA!$B$20*100000</f>
        <v>389.93923948175814</v>
      </c>
      <c r="H8469" s="252">
        <f t="shared" si="697"/>
        <v>0.56699801192842947</v>
      </c>
      <c r="I8469" s="272"/>
    </row>
    <row r="8470" spans="1:9" ht="16.5" thickTop="1" thickBot="1" x14ac:dyDescent="0.3">
      <c r="A8470" s="105" t="s">
        <v>23</v>
      </c>
      <c r="B8470" s="102">
        <v>44245</v>
      </c>
      <c r="C8470" s="4">
        <v>402</v>
      </c>
      <c r="D8470" s="21">
        <f t="shared" si="689"/>
        <v>212969</v>
      </c>
      <c r="E8470" s="4">
        <v>3</v>
      </c>
      <c r="F8470" s="57">
        <f t="shared" si="696"/>
        <v>3833</v>
      </c>
      <c r="G8470" s="251">
        <f>SUM(C8470,C8446,C8422,C8398,C8374,C8350,C8326,C8302,C8278,C8254,C8230,C8206,C8182,C8158)/POBLA!$B$21*100000</f>
        <v>137.05958967520243</v>
      </c>
      <c r="H8470" s="252">
        <f t="shared" si="697"/>
        <v>0.55866758875057632</v>
      </c>
      <c r="I8470" s="269"/>
    </row>
    <row r="8471" spans="1:9" ht="16.5" thickTop="1" thickBot="1" x14ac:dyDescent="0.3">
      <c r="A8471" s="105" t="s">
        <v>39</v>
      </c>
      <c r="B8471" s="102">
        <v>44245</v>
      </c>
      <c r="C8471" s="4">
        <v>70</v>
      </c>
      <c r="D8471" s="21">
        <f t="shared" si="689"/>
        <v>22032</v>
      </c>
      <c r="F8471" s="57">
        <f t="shared" si="696"/>
        <v>261</v>
      </c>
      <c r="G8471" s="251">
        <f>SUM(C8471,C8447,C8423,C8399,C8375,C8351,C8327,C8303,C8279,C8255,C8231,C8207,C8183,C8159)/POBLA!$B$22*100000</f>
        <v>86.168741496842017</v>
      </c>
      <c r="H8471" s="252">
        <f t="shared" si="697"/>
        <v>0.74601769911504423</v>
      </c>
      <c r="I8471" s="272"/>
    </row>
    <row r="8472" spans="1:9" ht="16.5" thickTop="1" thickBot="1" x14ac:dyDescent="0.3">
      <c r="A8472" s="105" t="s">
        <v>40</v>
      </c>
      <c r="B8472" s="102">
        <v>44245</v>
      </c>
      <c r="C8472" s="4">
        <v>55</v>
      </c>
      <c r="D8472" s="21">
        <f t="shared" si="689"/>
        <v>22584</v>
      </c>
      <c r="E8472" s="4">
        <v>1</v>
      </c>
      <c r="F8472" s="57">
        <f t="shared" si="696"/>
        <v>346</v>
      </c>
      <c r="G8472" s="251">
        <f>SUM(C8472,C8448,C8424,C8400,C8376,C8352,C8328,C8304,C8280,C8256,C8232,C8208,C8184,C8160)/POBLA!$B$23*100000</f>
        <v>332.52276197477806</v>
      </c>
      <c r="H8472" s="252">
        <f t="shared" si="697"/>
        <v>0.75968992248062017</v>
      </c>
      <c r="I8472" s="272"/>
    </row>
    <row r="8473" spans="1:9" ht="16.5" thickTop="1" thickBot="1" x14ac:dyDescent="0.3">
      <c r="A8473" s="106" t="s">
        <v>41</v>
      </c>
      <c r="B8473" s="102">
        <v>44245</v>
      </c>
      <c r="C8473" s="4">
        <v>120</v>
      </c>
      <c r="D8473" s="98">
        <f t="shared" si="689"/>
        <v>78443</v>
      </c>
      <c r="E8473" s="4">
        <v>3</v>
      </c>
      <c r="F8473" s="255">
        <f t="shared" si="696"/>
        <v>1462</v>
      </c>
      <c r="G8473" s="251">
        <f>SUM(C8473,C8449,C8425,C8401,C8377,C8353,C8329,C8305,C8281,C8257,C8233,C8209,C8185,C8161)/POBLA!$B$24*100000</f>
        <v>84.677952339589865</v>
      </c>
      <c r="H8473" s="257">
        <f t="shared" si="697"/>
        <v>0.70274240940254651</v>
      </c>
      <c r="I8473" s="269"/>
    </row>
    <row r="8474" spans="1:9" ht="15.75" thickBot="1" x14ac:dyDescent="0.3">
      <c r="A8474" s="45" t="s">
        <v>17</v>
      </c>
      <c r="B8474" s="102">
        <v>44246</v>
      </c>
      <c r="C8474" s="63">
        <v>3549</v>
      </c>
      <c r="D8474" s="97">
        <f t="shared" si="689"/>
        <v>857859</v>
      </c>
      <c r="E8474" s="4">
        <v>32</v>
      </c>
      <c r="F8474" s="250">
        <f t="shared" ref="F8474:F8480" si="698">E8474+F8450</f>
        <v>25826</v>
      </c>
      <c r="G8474" s="251">
        <f>SUM(C8474,C8450,C8426,C8402,C8378,C8354,C8330,C8306,C8282,C8258,C8234,C8210,C8186,C8162)/POBLA!$B$1*100000</f>
        <v>204.21704608611265</v>
      </c>
      <c r="H8474" s="230">
        <f t="shared" ref="H8474:H8480" si="699">SUM(C8474,C8450,C8426,C8402,C8378,C8354,C8330,C8306,C8282,C8258,C8234,C8210,C8186,C8162)/SUM(C8138,C8114,C8090,C8066,C8042,C8018,C7994,C7970,C7946,C7922,C7898,C7874,C7850,C7826)</f>
        <v>0.73459929456156181</v>
      </c>
    </row>
    <row r="8475" spans="1:9" ht="15.75" thickBot="1" x14ac:dyDescent="0.3">
      <c r="A8475" s="105" t="s">
        <v>44</v>
      </c>
      <c r="B8475" s="102">
        <v>44246</v>
      </c>
      <c r="C8475" s="63">
        <v>847</v>
      </c>
      <c r="D8475" s="21">
        <f t="shared" si="689"/>
        <v>225778</v>
      </c>
      <c r="E8475" s="4">
        <v>12</v>
      </c>
      <c r="F8475" s="57">
        <f t="shared" si="698"/>
        <v>6367</v>
      </c>
      <c r="G8475" s="251">
        <f>SUM(C8475,C8451,C8427,C8403,C8379,C8355,C8331,C8307,C8283,C8259,C8235,C8211,C8187,C8163)/POBLA!$B$2*100000</f>
        <v>325.8177306491059</v>
      </c>
      <c r="H8475" s="252">
        <f t="shared" si="699"/>
        <v>0.67828617842155137</v>
      </c>
    </row>
    <row r="8476" spans="1:9" ht="15.75" thickBot="1" x14ac:dyDescent="0.3">
      <c r="A8476" s="105" t="s">
        <v>29</v>
      </c>
      <c r="B8476" s="102">
        <v>44246</v>
      </c>
      <c r="C8476" s="63">
        <v>98</v>
      </c>
      <c r="D8476" s="21">
        <f t="shared" si="689"/>
        <v>7129</v>
      </c>
      <c r="F8476" s="57">
        <f t="shared" si="698"/>
        <v>17</v>
      </c>
      <c r="G8476" s="251">
        <f>SUM(C8476,C8452,C8428,C8404,C8380,C8356,C8332,C8308,C8284,C8260,C8236,C8212,C8188,C8164)/POBLA!$B$3*100000</f>
        <v>259.48516986890945</v>
      </c>
      <c r="H8476" s="252">
        <f t="shared" si="699"/>
        <v>0.7580872011251758</v>
      </c>
    </row>
    <row r="8477" spans="1:9" ht="15.75" thickBot="1" x14ac:dyDescent="0.3">
      <c r="A8477" s="105" t="s">
        <v>16</v>
      </c>
      <c r="B8477" s="102">
        <v>44246</v>
      </c>
      <c r="C8477" s="63">
        <v>165</v>
      </c>
      <c r="D8477" s="21">
        <f t="shared" si="689"/>
        <v>32949</v>
      </c>
      <c r="E8477" s="4">
        <v>2</v>
      </c>
      <c r="F8477" s="57">
        <f t="shared" si="698"/>
        <v>852</v>
      </c>
      <c r="G8477" s="251">
        <f>SUM(C8477,C8453,C8429,C8405,C8381,C8357,C8333,C8309,C8285,C8261,C8237,C8213,C8189,C8165)/POBLA!$B$4*100000</f>
        <v>127.18537600629617</v>
      </c>
      <c r="H8477" s="252">
        <f t="shared" si="699"/>
        <v>0.80125523012552302</v>
      </c>
    </row>
    <row r="8478" spans="1:9" ht="15.75" thickBot="1" x14ac:dyDescent="0.3">
      <c r="A8478" s="105" t="s">
        <v>30</v>
      </c>
      <c r="B8478" s="102">
        <v>44246</v>
      </c>
      <c r="C8478" s="63">
        <v>177</v>
      </c>
      <c r="D8478" s="21">
        <f t="shared" si="689"/>
        <v>45999</v>
      </c>
      <c r="E8478" s="4">
        <v>50</v>
      </c>
      <c r="F8478" s="57">
        <f t="shared" si="698"/>
        <v>747</v>
      </c>
      <c r="G8478" s="251">
        <f>SUM(C8478,C8454,C8430,C8406,C8382,C8358,C8334,C8310,C8286,C8262,C8238,C8214,C8190,C8166)/POBLA!$B$5*100000</f>
        <v>372.21685509067936</v>
      </c>
      <c r="H8478" s="252">
        <f t="shared" si="699"/>
        <v>0.61505605979711697</v>
      </c>
    </row>
    <row r="8479" spans="1:9" ht="15.75" thickBot="1" x14ac:dyDescent="0.3">
      <c r="A8479" s="105" t="s">
        <v>31</v>
      </c>
      <c r="B8479" s="102">
        <v>44246</v>
      </c>
      <c r="C8479" s="63">
        <v>121</v>
      </c>
      <c r="D8479" s="21">
        <f t="shared" si="689"/>
        <v>20689</v>
      </c>
      <c r="E8479" s="4">
        <v>6</v>
      </c>
      <c r="F8479" s="57">
        <f t="shared" si="698"/>
        <v>292</v>
      </c>
      <c r="G8479" s="251">
        <f>SUM(C8479,C8455,C8431,C8407,C8383,C8359,C8335,C8311,C8287,C8263,C8239,C8215,C8191,C8167)/POBLA!$B$7*100000</f>
        <v>60.285338190908007</v>
      </c>
      <c r="H8479" s="252">
        <f t="shared" si="699"/>
        <v>0.96673773987206824</v>
      </c>
    </row>
    <row r="8480" spans="1:9" ht="15.75" thickBot="1" x14ac:dyDescent="0.3">
      <c r="A8480" s="105" t="s">
        <v>21</v>
      </c>
      <c r="B8480" s="102">
        <v>44246</v>
      </c>
      <c r="C8480" s="63">
        <v>825</v>
      </c>
      <c r="D8480" s="21">
        <f t="shared" si="689"/>
        <v>154584</v>
      </c>
      <c r="E8480" s="4">
        <v>6</v>
      </c>
      <c r="F8480" s="57">
        <f t="shared" si="698"/>
        <v>2796</v>
      </c>
      <c r="G8480" s="251">
        <f>SUM(C8480,C8456,C8432,C8408,C8384,C8360,C8336,C8312,C8288,C8264,C8240,C8216,C8192,C8168)/POBLA!$B$6*100000</f>
        <v>623.7503356974164</v>
      </c>
      <c r="H8480" s="252">
        <f t="shared" si="699"/>
        <v>1.0106982796009831</v>
      </c>
    </row>
    <row r="8481" spans="1:8" ht="15.75" thickBot="1" x14ac:dyDescent="0.3">
      <c r="A8481" s="105" t="s">
        <v>32</v>
      </c>
      <c r="B8481" s="102">
        <v>44246</v>
      </c>
      <c r="C8481" s="63">
        <v>155</v>
      </c>
      <c r="D8481" s="21">
        <f t="shared" si="689"/>
        <v>44115</v>
      </c>
      <c r="E8481" s="4">
        <v>3</v>
      </c>
      <c r="F8481" s="57">
        <f t="shared" ref="F8481:F8497" si="700">E8481+F8457</f>
        <v>806</v>
      </c>
      <c r="G8481" s="251">
        <f>SUM(C8481,C8457,C8433,C8409,C8385,C8361,C8337,C8313,C8289,C8265,C8241,C8217,C8193,C8169)/POBLA!$B$8*100000</f>
        <v>138.96494923017315</v>
      </c>
      <c r="H8481" s="252">
        <f t="shared" ref="H8481:H8497" si="701">SUM(C8481,C8457,C8433,C8409,C8385,C8361,C8337,C8313,C8289,C8265,C8241,C8217,C8193,C8169)/SUM(C8145,C8121,C8097,C8073,C8049,C8025,C8001,C7977,C7953,C7929,C7905,C7881,C7857,C7833)</f>
        <v>0.52955732746769313</v>
      </c>
    </row>
    <row r="8482" spans="1:8" ht="15.75" thickBot="1" x14ac:dyDescent="0.3">
      <c r="A8482" s="105" t="s">
        <v>42</v>
      </c>
      <c r="B8482" s="102">
        <v>44246</v>
      </c>
      <c r="C8482" s="63">
        <v>17</v>
      </c>
      <c r="D8482" s="21">
        <f t="shared" ref="D8482:D8546" si="702">C8482+D8458</f>
        <v>1057</v>
      </c>
      <c r="F8482" s="57">
        <f t="shared" si="700"/>
        <v>18</v>
      </c>
      <c r="G8482" s="251">
        <f>SUM(C8482,C8458,C8434,C8410,C8386,C8362,C8338,C8314,C8290,C8266,C8242,C8218,C8194,C8170)/POBLA!$B$9*100000</f>
        <v>31.394943431269034</v>
      </c>
      <c r="H8482" s="252">
        <f t="shared" si="701"/>
        <v>2.7142857142857144</v>
      </c>
    </row>
    <row r="8483" spans="1:8" ht="15.75" thickBot="1" x14ac:dyDescent="0.3">
      <c r="A8483" s="105" t="s">
        <v>33</v>
      </c>
      <c r="B8483" s="102">
        <v>44246</v>
      </c>
      <c r="C8483" s="63">
        <v>51</v>
      </c>
      <c r="D8483" s="21">
        <f t="shared" si="702"/>
        <v>19974</v>
      </c>
      <c r="E8483" s="4">
        <v>1</v>
      </c>
      <c r="F8483" s="57">
        <f t="shared" si="700"/>
        <v>895</v>
      </c>
      <c r="G8483" s="251">
        <f>SUM(C8483,C8459,C8435,C8411,C8387,C8363,C8339,C8315,C8291,C8267,C8243,C8219,C8195,C8171)/POBLA!$B$10*100000</f>
        <v>64.601410593853004</v>
      </c>
      <c r="H8483" s="252">
        <f t="shared" si="701"/>
        <v>1.1857142857142857</v>
      </c>
    </row>
    <row r="8484" spans="1:8" ht="15.75" thickBot="1" x14ac:dyDescent="0.3">
      <c r="A8484" s="105" t="s">
        <v>34</v>
      </c>
      <c r="B8484" s="102">
        <v>44246</v>
      </c>
      <c r="C8484" s="63">
        <v>70</v>
      </c>
      <c r="D8484" s="21">
        <f t="shared" si="702"/>
        <v>18011</v>
      </c>
      <c r="E8484" s="4">
        <v>3</v>
      </c>
      <c r="F8484" s="57">
        <f t="shared" si="700"/>
        <v>282</v>
      </c>
      <c r="G8484" s="251">
        <f>SUM(C8484,C8460,C8436,C8412,C8388,C8364,C8340,C8316,C8292,C8268,C8244,C8220,C8196,C8172)/POBLA!$B$11*100000</f>
        <v>291.82987936210338</v>
      </c>
      <c r="H8484" s="252">
        <f t="shared" si="701"/>
        <v>0.79182437547312645</v>
      </c>
    </row>
    <row r="8485" spans="1:8" ht="15.75" thickBot="1" x14ac:dyDescent="0.3">
      <c r="A8485" s="105" t="s">
        <v>22</v>
      </c>
      <c r="B8485" s="102">
        <v>44246</v>
      </c>
      <c r="C8485" s="63">
        <v>33</v>
      </c>
      <c r="D8485" s="21">
        <f t="shared" si="702"/>
        <v>9978</v>
      </c>
      <c r="F8485" s="57">
        <f t="shared" si="700"/>
        <v>434</v>
      </c>
      <c r="G8485" s="251">
        <f>SUM(C8485,C8461,C8437,C8413,C8389,C8365,C8341,C8317,C8293,C8269,C8245,C8221,C8197,C8173)/POBLA!$B$12*100000</f>
        <v>90.463013079020456</v>
      </c>
      <c r="H8485" s="252">
        <f t="shared" si="701"/>
        <v>1.5278969957081545</v>
      </c>
    </row>
    <row r="8486" spans="1:8" ht="15.75" thickBot="1" x14ac:dyDescent="0.3">
      <c r="A8486" s="105" t="s">
        <v>18</v>
      </c>
      <c r="B8486" s="102">
        <v>44246</v>
      </c>
      <c r="C8486" s="63">
        <v>139</v>
      </c>
      <c r="D8486" s="21">
        <f t="shared" si="702"/>
        <v>66167</v>
      </c>
      <c r="E8486" s="4">
        <v>5</v>
      </c>
      <c r="F8486" s="57">
        <f t="shared" si="700"/>
        <v>1420</v>
      </c>
      <c r="G8486" s="251">
        <f>SUM(C8486,C8462,C8438,C8414,C8390,C8366,C8342,C8318,C8294,C8270,C8246,C8222,C8198,C8174)/POBLA!$B$13*100000</f>
        <v>80.287870703367972</v>
      </c>
      <c r="H8486" s="252">
        <f t="shared" si="701"/>
        <v>1.0126742712294043</v>
      </c>
    </row>
    <row r="8487" spans="1:8" ht="15.75" thickBot="1" x14ac:dyDescent="0.3">
      <c r="A8487" s="105" t="s">
        <v>24</v>
      </c>
      <c r="B8487" s="102">
        <v>44246</v>
      </c>
      <c r="C8487" s="63">
        <v>104</v>
      </c>
      <c r="D8487" s="21">
        <f t="shared" si="702"/>
        <v>7265</v>
      </c>
      <c r="E8487" s="4">
        <v>1</v>
      </c>
      <c r="F8487" s="57">
        <f t="shared" si="700"/>
        <v>125</v>
      </c>
      <c r="G8487" s="251">
        <f>SUM(C8487,C8463,C8439,C8415,C8391,C8367,C8343,C8319,C8295,C8271,C8247,C8223,C8199,C8175)/POBLA!$B$14*100000</f>
        <v>121.62112877727161</v>
      </c>
      <c r="H8487" s="252">
        <f t="shared" si="701"/>
        <v>0.58172165339400839</v>
      </c>
    </row>
    <row r="8488" spans="1:8" ht="15.75" thickBot="1" x14ac:dyDescent="0.3">
      <c r="A8488" s="105" t="s">
        <v>20</v>
      </c>
      <c r="B8488" s="102">
        <v>44246</v>
      </c>
      <c r="C8488" s="63">
        <v>262</v>
      </c>
      <c r="D8488" s="21">
        <f t="shared" si="702"/>
        <v>59704</v>
      </c>
      <c r="E8488" s="4">
        <v>4</v>
      </c>
      <c r="F8488" s="57">
        <f t="shared" si="700"/>
        <v>879</v>
      </c>
      <c r="G8488" s="251">
        <f>SUM(C8488,C8464,C8440,C8416,C8392,C8368,C8344,C8320,C8296,C8272,C8248,C8224,C8200,C8176)/POBLA!$B$15*100000</f>
        <v>528.71967316058715</v>
      </c>
      <c r="H8488" s="252">
        <f t="shared" si="701"/>
        <v>0.62718828152911754</v>
      </c>
    </row>
    <row r="8489" spans="1:8" ht="15.75" thickBot="1" x14ac:dyDescent="0.3">
      <c r="A8489" s="105" t="s">
        <v>19</v>
      </c>
      <c r="B8489" s="102">
        <v>44246</v>
      </c>
      <c r="C8489" s="63">
        <v>137</v>
      </c>
      <c r="D8489" s="21">
        <f t="shared" si="702"/>
        <v>51306</v>
      </c>
      <c r="E8489" s="4">
        <v>6</v>
      </c>
      <c r="F8489" s="57">
        <f t="shared" si="700"/>
        <v>1143</v>
      </c>
      <c r="G8489" s="251">
        <f>SUM(C8489,C8465,C8441,C8417,C8393,C8369,C8345,C8321,C8297,C8273,C8249,C8225,C8201,C8177)/POBLA!$B$16*100000</f>
        <v>284.10534904562536</v>
      </c>
      <c r="H8489" s="252">
        <f t="shared" si="701"/>
        <v>0.59032795997776544</v>
      </c>
    </row>
    <row r="8490" spans="1:8" ht="15.75" thickBot="1" x14ac:dyDescent="0.3">
      <c r="A8490" s="105" t="s">
        <v>35</v>
      </c>
      <c r="B8490" s="102">
        <v>44246</v>
      </c>
      <c r="C8490" s="63">
        <v>152</v>
      </c>
      <c r="D8490" s="21">
        <f t="shared" si="702"/>
        <v>25176</v>
      </c>
      <c r="E8490" s="4">
        <v>2</v>
      </c>
      <c r="F8490" s="57">
        <f t="shared" si="700"/>
        <v>1073</v>
      </c>
      <c r="G8490" s="251">
        <f>SUM(C8490,C8466,C8442,C8418,C8394,C8370,C8346,C8322,C8298,C8274,C8250,C8226,C8202,C8178)/POBLA!$B$17*100000</f>
        <v>71.539044241177152</v>
      </c>
      <c r="H8490" s="252">
        <f t="shared" si="701"/>
        <v>1.2737499999999999</v>
      </c>
    </row>
    <row r="8491" spans="1:8" ht="15.75" thickBot="1" x14ac:dyDescent="0.3">
      <c r="A8491" s="105" t="s">
        <v>36</v>
      </c>
      <c r="B8491" s="102">
        <v>44246</v>
      </c>
      <c r="C8491" s="63">
        <v>69</v>
      </c>
      <c r="D8491" s="21">
        <f t="shared" si="702"/>
        <v>14890</v>
      </c>
      <c r="E8491" s="4">
        <v>2</v>
      </c>
      <c r="F8491" s="57">
        <f t="shared" si="700"/>
        <v>206</v>
      </c>
      <c r="G8491" s="251">
        <f>SUM(C8491,C8467,C8443,C8419,C8395,C8371,C8347,C8323,C8299,C8275,C8251,C8227,C8203,C8179)/POBLA!$B$18*100000</f>
        <v>79.619363121898274</v>
      </c>
      <c r="H8491" s="252">
        <f t="shared" si="701"/>
        <v>0.81413612565445026</v>
      </c>
    </row>
    <row r="8492" spans="1:8" ht="15.75" thickBot="1" x14ac:dyDescent="0.3">
      <c r="A8492" s="105" t="s">
        <v>37</v>
      </c>
      <c r="B8492" s="102">
        <v>44246</v>
      </c>
      <c r="C8492" s="63">
        <v>9</v>
      </c>
      <c r="D8492" s="21">
        <f t="shared" si="702"/>
        <v>20253</v>
      </c>
      <c r="F8492" s="57">
        <f t="shared" si="700"/>
        <v>352</v>
      </c>
      <c r="G8492" s="251">
        <f>SUM(C8492,C8468,C8444,C8420,C8396,C8372,C8348,C8324,C8300,C8276,C8252,C8228,C8204,C8180)/POBLA!$B$19*100000</f>
        <v>226.42860515257865</v>
      </c>
      <c r="H8492" s="252">
        <f t="shared" si="701"/>
        <v>0.9787414965986394</v>
      </c>
    </row>
    <row r="8493" spans="1:8" ht="15.75" thickBot="1" x14ac:dyDescent="0.3">
      <c r="A8493" s="105" t="s">
        <v>38</v>
      </c>
      <c r="B8493" s="102">
        <v>44246</v>
      </c>
      <c r="C8493" s="63">
        <v>138</v>
      </c>
      <c r="D8493" s="21">
        <f t="shared" si="702"/>
        <v>35002</v>
      </c>
      <c r="E8493" s="4">
        <v>2</v>
      </c>
      <c r="F8493" s="57">
        <f t="shared" si="700"/>
        <v>560</v>
      </c>
      <c r="G8493" s="251">
        <f>SUM(C8493,C8469,C8445,C8421,C8397,C8373,C8349,C8325,C8301,C8277,C8253,C8229,C8205,C8181)/POBLA!$B$20*100000</f>
        <v>377.0871046601294</v>
      </c>
      <c r="H8493" s="252">
        <f t="shared" si="701"/>
        <v>0.56171079429735238</v>
      </c>
    </row>
    <row r="8494" spans="1:8" ht="15.75" thickBot="1" x14ac:dyDescent="0.3">
      <c r="A8494" s="105" t="s">
        <v>23</v>
      </c>
      <c r="B8494" s="102">
        <v>44246</v>
      </c>
      <c r="C8494" s="63">
        <v>507</v>
      </c>
      <c r="D8494" s="21">
        <f t="shared" si="702"/>
        <v>213476</v>
      </c>
      <c r="E8494" s="4">
        <v>3</v>
      </c>
      <c r="F8494" s="57">
        <f t="shared" si="700"/>
        <v>3836</v>
      </c>
      <c r="G8494" s="251">
        <f>SUM(C8494,C8470,C8446,C8422,C8398,C8374,C8350,C8326,C8302,C8278,C8254,C8230,C8206,C8182)/POBLA!$B$21*100000</f>
        <v>137.39891607835952</v>
      </c>
      <c r="H8494" s="252">
        <f t="shared" si="701"/>
        <v>0.59781003937007871</v>
      </c>
    </row>
    <row r="8495" spans="1:8" ht="15.75" thickBot="1" x14ac:dyDescent="0.3">
      <c r="A8495" s="105" t="s">
        <v>39</v>
      </c>
      <c r="B8495" s="102">
        <v>44246</v>
      </c>
      <c r="C8495" s="63">
        <v>54</v>
      </c>
      <c r="D8495" s="21">
        <f t="shared" si="702"/>
        <v>22086</v>
      </c>
      <c r="E8495" s="4">
        <v>1</v>
      </c>
      <c r="F8495" s="57">
        <f t="shared" si="700"/>
        <v>262</v>
      </c>
      <c r="G8495" s="251">
        <f>SUM(C8495,C8471,C8447,C8423,C8399,C8375,C8351,C8327,C8303,C8279,C8255,C8231,C8207,C8183)/POBLA!$B$22*100000</f>
        <v>82.488937589503564</v>
      </c>
      <c r="H8495" s="252">
        <f t="shared" si="701"/>
        <v>0.71989295272078502</v>
      </c>
    </row>
    <row r="8496" spans="1:8" ht="15.75" thickBot="1" x14ac:dyDescent="0.3">
      <c r="A8496" s="105" t="s">
        <v>40</v>
      </c>
      <c r="B8496" s="102">
        <v>44246</v>
      </c>
      <c r="C8496" s="63">
        <v>49</v>
      </c>
      <c r="D8496" s="21">
        <f t="shared" si="702"/>
        <v>22633</v>
      </c>
      <c r="F8496" s="57">
        <f t="shared" si="700"/>
        <v>346</v>
      </c>
      <c r="G8496" s="251">
        <f>SUM(C8496,C8472,C8448,C8424,C8400,C8376,C8352,C8328,C8304,C8280,C8256,C8232,C8208,C8184)/POBLA!$B$23*100000</f>
        <v>332.52276197477806</v>
      </c>
      <c r="H8496" s="252">
        <f t="shared" si="701"/>
        <v>0.7587096774193548</v>
      </c>
    </row>
    <row r="8497" spans="1:8" ht="15.75" thickBot="1" x14ac:dyDescent="0.3">
      <c r="A8497" s="106" t="s">
        <v>41</v>
      </c>
      <c r="B8497" s="102">
        <v>44246</v>
      </c>
      <c r="C8497" s="63">
        <v>158</v>
      </c>
      <c r="D8497" s="98">
        <f t="shared" si="702"/>
        <v>78601</v>
      </c>
      <c r="E8497" s="4">
        <v>2</v>
      </c>
      <c r="F8497" s="255">
        <f t="shared" si="700"/>
        <v>1464</v>
      </c>
      <c r="G8497" s="251">
        <f>SUM(C8497,C8473,C8449,C8425,C8401,C8377,C8353,C8329,C8305,C8281,C8257,C8233,C8209,C8185)/POBLA!$B$24*100000</f>
        <v>85.504078703878548</v>
      </c>
      <c r="H8497" s="257">
        <f t="shared" si="701"/>
        <v>0.72887323943661975</v>
      </c>
    </row>
    <row r="8498" spans="1:8" ht="15.75" thickBot="1" x14ac:dyDescent="0.3">
      <c r="A8498" s="45" t="s">
        <v>17</v>
      </c>
      <c r="B8498" s="102">
        <v>44247</v>
      </c>
      <c r="C8498" s="63">
        <v>2510</v>
      </c>
      <c r="D8498" s="97">
        <f t="shared" si="702"/>
        <v>860369</v>
      </c>
      <c r="E8498" s="4">
        <v>65</v>
      </c>
      <c r="F8498" s="250">
        <f t="shared" ref="F8498:F8504" si="703">E8498+F8474</f>
        <v>25891</v>
      </c>
      <c r="G8498" s="251">
        <f>SUM(C8498,C8474,C8450,C8426,C8402,C8378,C8354,C8330,C8306,C8282,C8258,C8234,C8210,C8186)/POBLA!$B$1*100000</f>
        <v>201.73146091237737</v>
      </c>
      <c r="H8498" s="230">
        <f t="shared" ref="H8498:H8504" si="704">SUM(C8498,C8474,C8450,C8426,C8402,C8378,C8354,C8330,C8306,C8282,C8258,C8234,C8210,C8186)/SUM(C8162,C8138,C8114,C8090,C8066,C8042,C8018,C7994,C7970,C7946,C7922,C7898,C7874,C7850)</f>
        <v>0.73043657756218394</v>
      </c>
    </row>
    <row r="8499" spans="1:8" ht="15.75" thickBot="1" x14ac:dyDescent="0.3">
      <c r="A8499" s="105" t="s">
        <v>44</v>
      </c>
      <c r="B8499" s="102">
        <v>44247</v>
      </c>
      <c r="C8499" s="63">
        <v>596</v>
      </c>
      <c r="D8499" s="21">
        <f t="shared" si="702"/>
        <v>226374</v>
      </c>
      <c r="E8499" s="4">
        <v>33</v>
      </c>
      <c r="F8499" s="57">
        <f t="shared" si="703"/>
        <v>6400</v>
      </c>
      <c r="G8499" s="251">
        <f>SUM(C8499,C8475,C8451,C8427,C8403,C8379,C8355,C8331,C8307,C8283,C8259,C8235,C8211,C8187)/POBLA!$B$2*100000</f>
        <v>321.36338187164586</v>
      </c>
      <c r="H8499" s="252">
        <f t="shared" si="704"/>
        <v>0.67777549201124598</v>
      </c>
    </row>
    <row r="8500" spans="1:8" ht="15.75" thickBot="1" x14ac:dyDescent="0.3">
      <c r="A8500" s="105" t="s">
        <v>29</v>
      </c>
      <c r="B8500" s="102">
        <v>44247</v>
      </c>
      <c r="C8500" s="63">
        <v>52</v>
      </c>
      <c r="D8500" s="21">
        <f t="shared" si="702"/>
        <v>7181</v>
      </c>
      <c r="F8500" s="57">
        <f t="shared" si="703"/>
        <v>17</v>
      </c>
      <c r="G8500" s="251">
        <f>SUM(C8500,C8476,C8452,C8428,C8404,C8380,C8356,C8332,C8308,C8284,C8260,C8236,C8212,C8188)/POBLA!$B$3*100000</f>
        <v>253.46742474207946</v>
      </c>
      <c r="H8500" s="252">
        <f t="shared" si="704"/>
        <v>0.72821576763485474</v>
      </c>
    </row>
    <row r="8501" spans="1:8" ht="15.75" thickBot="1" x14ac:dyDescent="0.3">
      <c r="A8501" s="105" t="s">
        <v>16</v>
      </c>
      <c r="B8501" s="102">
        <v>44247</v>
      </c>
      <c r="C8501" s="63">
        <v>176</v>
      </c>
      <c r="D8501" s="21">
        <f t="shared" si="702"/>
        <v>33125</v>
      </c>
      <c r="F8501" s="57">
        <f t="shared" si="703"/>
        <v>852</v>
      </c>
      <c r="G8501" s="251">
        <f>SUM(C8501,C8477,C8453,C8429,C8405,C8381,C8357,C8333,C8309,C8285,C8261,C8237,C8213,C8189)/POBLA!$B$4*100000</f>
        <v>129.84198960433892</v>
      </c>
      <c r="H8501" s="252">
        <f t="shared" si="704"/>
        <v>0.83014861995753719</v>
      </c>
    </row>
    <row r="8502" spans="1:8" ht="15.75" thickBot="1" x14ac:dyDescent="0.3">
      <c r="A8502" s="105" t="s">
        <v>30</v>
      </c>
      <c r="B8502" s="102">
        <v>44247</v>
      </c>
      <c r="C8502" s="63">
        <v>56</v>
      </c>
      <c r="D8502" s="21">
        <f t="shared" si="702"/>
        <v>46055</v>
      </c>
      <c r="F8502" s="57">
        <f t="shared" si="703"/>
        <v>747</v>
      </c>
      <c r="G8502" s="251">
        <f>SUM(C8502,C8478,C8454,C8430,C8406,C8382,C8358,C8334,C8310,C8286,C8262,C8238,C8214,C8190)/POBLA!$B$5*100000</f>
        <v>356.22316209850175</v>
      </c>
      <c r="H8502" s="252">
        <f t="shared" si="704"/>
        <v>0.59562398703403563</v>
      </c>
    </row>
    <row r="8503" spans="1:8" ht="15.75" thickBot="1" x14ac:dyDescent="0.3">
      <c r="A8503" s="105" t="s">
        <v>31</v>
      </c>
      <c r="B8503" s="102">
        <v>44247</v>
      </c>
      <c r="C8503" s="63">
        <v>125</v>
      </c>
      <c r="D8503" s="21">
        <f t="shared" si="702"/>
        <v>20814</v>
      </c>
      <c r="F8503" s="57">
        <f t="shared" si="703"/>
        <v>292</v>
      </c>
      <c r="G8503" s="251">
        <f>SUM(C8503,C8479,C8455,C8431,C8407,C8383,C8359,C8335,C8311,C8287,C8263,C8239,C8215,C8191)/POBLA!$B$7*100000</f>
        <v>55.711417516520626</v>
      </c>
      <c r="H8503" s="252">
        <f t="shared" si="704"/>
        <v>0.844758064516129</v>
      </c>
    </row>
    <row r="8504" spans="1:8" ht="15.75" thickBot="1" x14ac:dyDescent="0.3">
      <c r="A8504" s="105" t="s">
        <v>21</v>
      </c>
      <c r="B8504" s="102">
        <v>44247</v>
      </c>
      <c r="C8504" s="63">
        <v>591</v>
      </c>
      <c r="D8504" s="21">
        <f t="shared" si="702"/>
        <v>155175</v>
      </c>
      <c r="E8504" s="4">
        <v>3</v>
      </c>
      <c r="F8504" s="57">
        <f t="shared" si="703"/>
        <v>2799</v>
      </c>
      <c r="G8504" s="251">
        <f>SUM(C8504,C8480,C8456,C8432,C8408,C8384,C8360,C8336,C8312,C8288,C8264,C8240,C8216,C8192)/POBLA!$B$6*100000</f>
        <v>636.06295854482642</v>
      </c>
      <c r="H8504" s="252">
        <f t="shared" si="704"/>
        <v>1.0443891004980954</v>
      </c>
    </row>
    <row r="8505" spans="1:8" ht="15.75" thickBot="1" x14ac:dyDescent="0.3">
      <c r="A8505" s="105" t="s">
        <v>32</v>
      </c>
      <c r="B8505" s="102">
        <v>44247</v>
      </c>
      <c r="C8505" s="63">
        <v>116</v>
      </c>
      <c r="D8505" s="21">
        <f t="shared" si="702"/>
        <v>44231</v>
      </c>
      <c r="E8505" s="4">
        <v>2</v>
      </c>
      <c r="F8505" s="57">
        <f t="shared" ref="F8505:F8521" si="705">E8505+F8481</f>
        <v>808</v>
      </c>
      <c r="G8505" s="251">
        <f>SUM(C8505,C8481,C8457,C8433,C8409,C8385,C8361,C8337,C8313,C8289,C8265,C8241,C8217,C8193)/POBLA!$B$8*100000</f>
        <v>130.8839137609211</v>
      </c>
      <c r="H8505" s="252">
        <f t="shared" ref="H8505:H8521" si="706">SUM(C8505,C8481,C8457,C8433,C8409,C8385,C8361,C8337,C8313,C8289,C8265,C8241,C8217,C8193)/SUM(C8169,C8145,C8121,C8097,C8073,C8049,C8025,C8001,C7977,C7953,C7929,C7905,C7881,C7857)</f>
        <v>0.50912152680325573</v>
      </c>
    </row>
    <row r="8506" spans="1:8" ht="15.75" thickBot="1" x14ac:dyDescent="0.3">
      <c r="A8506" s="105" t="s">
        <v>42</v>
      </c>
      <c r="B8506" s="102">
        <v>44247</v>
      </c>
      <c r="C8506" s="63">
        <v>13</v>
      </c>
      <c r="D8506" s="21">
        <f t="shared" si="702"/>
        <v>1070</v>
      </c>
      <c r="F8506" s="57">
        <f t="shared" si="705"/>
        <v>18</v>
      </c>
      <c r="G8506" s="251">
        <f>SUM(C8506,C8482,C8458,C8434,C8410,C8386,C8362,C8338,C8314,C8290,C8266,C8242,C8218,C8194)/POBLA!$B$9*100000</f>
        <v>33.377781963770232</v>
      </c>
      <c r="H8506" s="252">
        <f t="shared" si="706"/>
        <v>2.9705882352941178</v>
      </c>
    </row>
    <row r="8507" spans="1:8" ht="15.75" thickBot="1" x14ac:dyDescent="0.3">
      <c r="A8507" s="105" t="s">
        <v>33</v>
      </c>
      <c r="B8507" s="102">
        <v>44247</v>
      </c>
      <c r="C8507" s="63">
        <v>68</v>
      </c>
      <c r="D8507" s="21">
        <f t="shared" si="702"/>
        <v>20042</v>
      </c>
      <c r="E8507" s="4">
        <v>2</v>
      </c>
      <c r="F8507" s="57">
        <f t="shared" si="705"/>
        <v>897</v>
      </c>
      <c r="G8507" s="251">
        <f>SUM(C8507,C8483,C8459,C8435,C8411,C8387,C8363,C8339,C8315,C8291,C8267,C8243,C8219,C8195)/POBLA!$B$10*100000</f>
        <v>69.920000622664205</v>
      </c>
      <c r="H8507" s="252">
        <f t="shared" si="706"/>
        <v>1.2277904328018223</v>
      </c>
    </row>
    <row r="8508" spans="1:8" ht="15.75" thickBot="1" x14ac:dyDescent="0.3">
      <c r="A8508" s="105" t="s">
        <v>34</v>
      </c>
      <c r="B8508" s="102">
        <v>44247</v>
      </c>
      <c r="C8508" s="63">
        <v>60</v>
      </c>
      <c r="D8508" s="21">
        <f t="shared" si="702"/>
        <v>18071</v>
      </c>
      <c r="F8508" s="57">
        <f t="shared" si="705"/>
        <v>282</v>
      </c>
      <c r="G8508" s="251">
        <f>SUM(C8508,C8484,C8460,C8436,C8412,C8388,C8364,C8340,C8316,C8292,C8268,C8244,C8220,C8196)/POBLA!$B$11*100000</f>
        <v>290.4348990592253</v>
      </c>
      <c r="H8508" s="252">
        <f t="shared" si="706"/>
        <v>0.81328124999999996</v>
      </c>
    </row>
    <row r="8509" spans="1:8" ht="15.75" thickBot="1" x14ac:dyDescent="0.3">
      <c r="A8509" s="105" t="s">
        <v>22</v>
      </c>
      <c r="B8509" s="102">
        <v>44247</v>
      </c>
      <c r="C8509" s="63">
        <v>16</v>
      </c>
      <c r="D8509" s="21">
        <f t="shared" si="702"/>
        <v>9994</v>
      </c>
      <c r="E8509" s="4">
        <v>1</v>
      </c>
      <c r="F8509" s="57">
        <f t="shared" si="705"/>
        <v>435</v>
      </c>
      <c r="G8509" s="251">
        <f>SUM(C8509,C8485,C8461,C8437,C8413,C8389,C8365,C8341,C8317,C8293,C8269,C8245,C8221,C8197)/POBLA!$B$12*100000</f>
        <v>86.651369269511179</v>
      </c>
      <c r="H8509" s="252">
        <f t="shared" si="706"/>
        <v>1.3585657370517927</v>
      </c>
    </row>
    <row r="8510" spans="1:8" ht="15.75" thickBot="1" x14ac:dyDescent="0.3">
      <c r="A8510" s="105" t="s">
        <v>18</v>
      </c>
      <c r="B8510" s="102">
        <v>44247</v>
      </c>
      <c r="C8510" s="63">
        <v>127</v>
      </c>
      <c r="D8510" s="21">
        <f t="shared" si="702"/>
        <v>66294</v>
      </c>
      <c r="E8510" s="4">
        <v>3</v>
      </c>
      <c r="F8510" s="57">
        <f t="shared" si="705"/>
        <v>1423</v>
      </c>
      <c r="G8510" s="251">
        <f>SUM(C8510,C8486,C8462,C8438,C8414,C8390,C8366,C8342,C8318,C8294,C8270,C8246,C8222,C8198)/POBLA!$B$13*100000</f>
        <v>80.589327038925049</v>
      </c>
      <c r="H8510" s="252">
        <f t="shared" si="706"/>
        <v>1.0037546933667083</v>
      </c>
    </row>
    <row r="8511" spans="1:8" ht="15.75" thickBot="1" x14ac:dyDescent="0.3">
      <c r="A8511" s="105" t="s">
        <v>24</v>
      </c>
      <c r="B8511" s="102">
        <v>44247</v>
      </c>
      <c r="C8511" s="63">
        <v>100</v>
      </c>
      <c r="D8511" s="21">
        <f t="shared" si="702"/>
        <v>7365</v>
      </c>
      <c r="E8511" s="4">
        <v>1</v>
      </c>
      <c r="F8511" s="57">
        <f t="shared" si="705"/>
        <v>126</v>
      </c>
      <c r="G8511" s="251">
        <f>SUM(C8511,C8487,C8463,C8439,C8415,C8391,C8367,C8343,C8319,C8295,C8271,C8247,C8223,C8199)/POBLA!$B$14*100000</f>
        <v>119.48047005694153</v>
      </c>
      <c r="H8511" s="252">
        <f t="shared" si="706"/>
        <v>0.59098039215686271</v>
      </c>
    </row>
    <row r="8512" spans="1:8" ht="15.75" thickBot="1" x14ac:dyDescent="0.3">
      <c r="A8512" s="105" t="s">
        <v>20</v>
      </c>
      <c r="B8512" s="102">
        <v>44247</v>
      </c>
      <c r="C8512" s="63">
        <v>162</v>
      </c>
      <c r="D8512" s="21">
        <f t="shared" si="702"/>
        <v>59866</v>
      </c>
      <c r="E8512" s="4">
        <v>3</v>
      </c>
      <c r="F8512" s="57">
        <f t="shared" si="705"/>
        <v>882</v>
      </c>
      <c r="G8512" s="251">
        <f>SUM(C8512,C8488,C8464,C8440,C8416,C8392,C8368,C8344,C8320,C8296,C8272,C8248,C8224,C8200)/POBLA!$B$15*100000</f>
        <v>507.93832457153525</v>
      </c>
      <c r="H8512" s="252">
        <f t="shared" si="706"/>
        <v>0.59625243061693478</v>
      </c>
    </row>
    <row r="8513" spans="1:10" ht="15.75" thickBot="1" x14ac:dyDescent="0.3">
      <c r="A8513" s="105" t="s">
        <v>19</v>
      </c>
      <c r="B8513" s="102">
        <v>44247</v>
      </c>
      <c r="C8513" s="63">
        <v>79</v>
      </c>
      <c r="D8513" s="21">
        <f t="shared" si="702"/>
        <v>51385</v>
      </c>
      <c r="E8513" s="4">
        <v>3</v>
      </c>
      <c r="F8513" s="57">
        <f t="shared" si="705"/>
        <v>1146</v>
      </c>
      <c r="G8513" s="251">
        <f>SUM(C8513,C8489,C8465,C8441,C8417,C8393,C8369,C8345,C8321,C8297,C8273,C8249,C8225,C8201)/POBLA!$B$16*100000</f>
        <v>276.48105295541797</v>
      </c>
      <c r="H8513" s="252">
        <f t="shared" si="706"/>
        <v>0.59947795823665895</v>
      </c>
    </row>
    <row r="8514" spans="1:10" ht="15.75" thickBot="1" x14ac:dyDescent="0.3">
      <c r="A8514" s="105" t="s">
        <v>35</v>
      </c>
      <c r="B8514" s="102">
        <v>44247</v>
      </c>
      <c r="C8514" s="63">
        <v>146</v>
      </c>
      <c r="D8514" s="21">
        <f t="shared" si="702"/>
        <v>25322</v>
      </c>
      <c r="E8514" s="4">
        <v>3</v>
      </c>
      <c r="F8514" s="57">
        <f t="shared" si="705"/>
        <v>1076</v>
      </c>
      <c r="G8514" s="251">
        <f>SUM(C8514,C8490,C8466,C8442,C8418,C8394,C8370,C8346,C8322,C8298,C8274,C8250,C8226,C8202)/POBLA!$B$17*100000</f>
        <v>75.330122149934326</v>
      </c>
      <c r="H8514" s="252">
        <f t="shared" si="706"/>
        <v>1.2881152460984393</v>
      </c>
    </row>
    <row r="8515" spans="1:10" ht="15.75" thickBot="1" x14ac:dyDescent="0.3">
      <c r="A8515" s="105" t="s">
        <v>36</v>
      </c>
      <c r="B8515" s="102">
        <v>44247</v>
      </c>
      <c r="C8515" s="63">
        <v>26</v>
      </c>
      <c r="D8515" s="21">
        <f t="shared" si="702"/>
        <v>14916</v>
      </c>
      <c r="F8515" s="57">
        <f t="shared" si="705"/>
        <v>206</v>
      </c>
      <c r="G8515" s="251">
        <f>SUM(C8515,C8491,C8467,C8443,C8419,C8395,C8371,C8347,C8323,C8299,C8275,C8251,C8227,C8203)/POBLA!$B$18*100000</f>
        <v>81.411438819175714</v>
      </c>
      <c r="H8515" s="252">
        <f t="shared" si="706"/>
        <v>0.85483870967741937</v>
      </c>
    </row>
    <row r="8516" spans="1:10" ht="15.75" thickBot="1" x14ac:dyDescent="0.3">
      <c r="A8516" s="105" t="s">
        <v>37</v>
      </c>
      <c r="B8516" s="102">
        <v>44247</v>
      </c>
      <c r="C8516" s="63">
        <v>264</v>
      </c>
      <c r="D8516" s="21">
        <f t="shared" si="702"/>
        <v>20517</v>
      </c>
      <c r="E8516" s="4">
        <v>1</v>
      </c>
      <c r="F8516" s="57">
        <f t="shared" si="705"/>
        <v>353</v>
      </c>
      <c r="G8516" s="251">
        <f>SUM(C8516,C8492,C8468,C8444,C8420,C8396,C8372,C8348,C8324,C8300,C8276,C8252,C8228,C8204)/POBLA!$B$19*100000</f>
        <v>277.77340614721203</v>
      </c>
      <c r="H8516" s="252">
        <f t="shared" si="706"/>
        <v>2.0056818181818183</v>
      </c>
    </row>
    <row r="8517" spans="1:10" ht="15.75" thickBot="1" x14ac:dyDescent="0.3">
      <c r="A8517" s="105" t="s">
        <v>38</v>
      </c>
      <c r="B8517" s="102">
        <v>44247</v>
      </c>
      <c r="C8517" s="63">
        <v>106</v>
      </c>
      <c r="D8517" s="21">
        <f t="shared" si="702"/>
        <v>35108</v>
      </c>
      <c r="E8517" s="4">
        <v>1</v>
      </c>
      <c r="F8517" s="57">
        <f t="shared" si="705"/>
        <v>561</v>
      </c>
      <c r="G8517" s="251">
        <f>SUM(C8517,C8493,C8469,C8445,C8421,C8397,C8373,C8349,C8325,C8301,C8277,C8253,C8229,C8205)/POBLA!$B$20*100000</f>
        <v>372.71190982723448</v>
      </c>
      <c r="H8517" s="252">
        <f t="shared" si="706"/>
        <v>0.56839032527105926</v>
      </c>
    </row>
    <row r="8518" spans="1:10" ht="15.75" thickBot="1" x14ac:dyDescent="0.3">
      <c r="A8518" s="105" t="s">
        <v>23</v>
      </c>
      <c r="B8518" s="102">
        <v>44247</v>
      </c>
      <c r="C8518" s="63">
        <v>376</v>
      </c>
      <c r="D8518" s="21">
        <f t="shared" si="702"/>
        <v>213852</v>
      </c>
      <c r="F8518" s="57">
        <f t="shared" si="705"/>
        <v>3836</v>
      </c>
      <c r="G8518" s="251">
        <f>SUM(C8518,C8494,C8470,C8446,C8422,C8398,C8374,C8350,C8326,C8302,C8278,C8254,C8230,C8206)/POBLA!$B$21*100000</f>
        <v>135.8436700638895</v>
      </c>
      <c r="H8518" s="252">
        <f t="shared" si="706"/>
        <v>0.61111817834881055</v>
      </c>
    </row>
    <row r="8519" spans="1:10" ht="15.75" thickBot="1" x14ac:dyDescent="0.3">
      <c r="A8519" s="105" t="s">
        <v>39</v>
      </c>
      <c r="B8519" s="102">
        <v>44247</v>
      </c>
      <c r="C8519" s="63">
        <v>54</v>
      </c>
      <c r="D8519" s="21">
        <f t="shared" si="702"/>
        <v>22140</v>
      </c>
      <c r="F8519" s="57">
        <f t="shared" si="705"/>
        <v>262</v>
      </c>
      <c r="G8519" s="251">
        <f>SUM(C8519,C8495,C8471,C8447,C8423,C8399,C8375,C8351,C8327,C8303,C8279,C8255,C8231,C8207)/POBLA!$B$22*100000</f>
        <v>80.853469186242023</v>
      </c>
      <c r="H8519" s="252">
        <f t="shared" si="706"/>
        <v>0.77473065621939274</v>
      </c>
    </row>
    <row r="8520" spans="1:10" ht="15.75" thickBot="1" x14ac:dyDescent="0.3">
      <c r="A8520" s="105" t="s">
        <v>40</v>
      </c>
      <c r="B8520" s="102">
        <v>44247</v>
      </c>
      <c r="C8520" s="63">
        <v>33</v>
      </c>
      <c r="D8520" s="21">
        <f t="shared" si="702"/>
        <v>22666</v>
      </c>
      <c r="E8520" s="4">
        <v>1</v>
      </c>
      <c r="F8520" s="57">
        <f t="shared" si="705"/>
        <v>347</v>
      </c>
      <c r="G8520" s="251">
        <f>SUM(C8520,C8496,C8472,C8448,C8424,C8400,C8376,C8352,C8328,C8304,C8280,C8256,C8232,C8208)/POBLA!$B$23*100000</f>
        <v>341.57100039586044</v>
      </c>
      <c r="H8520" s="252">
        <f t="shared" si="706"/>
        <v>0.84122562674094703</v>
      </c>
    </row>
    <row r="8521" spans="1:10" ht="15.75" thickBot="1" x14ac:dyDescent="0.3">
      <c r="A8521" s="106" t="s">
        <v>41</v>
      </c>
      <c r="B8521" s="102">
        <v>44247</v>
      </c>
      <c r="C8521" s="63">
        <v>92</v>
      </c>
      <c r="D8521" s="98">
        <f t="shared" si="702"/>
        <v>78693</v>
      </c>
      <c r="F8521" s="255">
        <f t="shared" si="705"/>
        <v>1464</v>
      </c>
      <c r="G8521" s="251">
        <f>SUM(C8521,C8497,C8473,C8449,C8425,C8401,C8377,C8353,C8329,C8305,C8281,C8257,C8233,C8209)/POBLA!$B$24*100000</f>
        <v>85.504078703878548</v>
      </c>
      <c r="H8521" s="257">
        <f t="shared" si="706"/>
        <v>0.72522522522522526</v>
      </c>
    </row>
    <row r="8522" spans="1:10" ht="15.75" thickBot="1" x14ac:dyDescent="0.3">
      <c r="A8522" s="45" t="s">
        <v>17</v>
      </c>
      <c r="B8522" s="102">
        <v>44248</v>
      </c>
      <c r="C8522" s="4">
        <v>1503</v>
      </c>
      <c r="D8522" s="97">
        <f t="shared" si="702"/>
        <v>861872</v>
      </c>
      <c r="E8522" s="4">
        <v>51</v>
      </c>
      <c r="F8522" s="250">
        <f t="shared" ref="F8522:F8528" si="707">E8522+F8498</f>
        <v>25942</v>
      </c>
      <c r="G8522" s="251">
        <f>SUM(C8522,C8498,C8474,C8450,C8426,C8402,C8378,C8354,C8330,C8306,C8282,C8258,C8234,C8210)/POBLA!$B$1*100000</f>
        <v>201.75996532950737</v>
      </c>
      <c r="H8522" s="230">
        <f t="shared" ref="H8522:H8528" si="708">SUM(C8522,C8498,C8474,C8450,C8426,C8402,C8378,C8354,C8330,C8306,C8282,C8258,C8234,C8210)/SUM(C8186,C8162,C8138,C8114,C8090,C8066,C8042,C8018,C7994,C7970,C7946,C7922,C7898,C7874)</f>
        <v>0.7395929114770543</v>
      </c>
      <c r="I8522" s="274"/>
      <c r="J8522" s="275"/>
    </row>
    <row r="8523" spans="1:10" ht="16.5" thickTop="1" thickBot="1" x14ac:dyDescent="0.3">
      <c r="A8523" s="105" t="s">
        <v>44</v>
      </c>
      <c r="B8523" s="102">
        <v>44248</v>
      </c>
      <c r="C8523" s="4">
        <v>351</v>
      </c>
      <c r="D8523" s="21">
        <f t="shared" si="702"/>
        <v>226725</v>
      </c>
      <c r="E8523" s="4">
        <v>8</v>
      </c>
      <c r="F8523" s="57">
        <f t="shared" si="707"/>
        <v>6408</v>
      </c>
      <c r="G8523" s="251">
        <f>SUM(C8523,C8499,C8475,C8451,C8427,C8403,C8379,C8355,C8331,C8307,C8283,C8259,C8235,C8211)/POBLA!$B$2*100000</f>
        <v>314.015332063573</v>
      </c>
      <c r="H8523" s="252">
        <f t="shared" si="708"/>
        <v>0.66818873668188739</v>
      </c>
      <c r="I8523" s="274"/>
      <c r="J8523" s="275"/>
    </row>
    <row r="8524" spans="1:10" ht="16.5" thickTop="1" thickBot="1" x14ac:dyDescent="0.3">
      <c r="A8524" s="105" t="s">
        <v>29</v>
      </c>
      <c r="B8524" s="102">
        <v>44248</v>
      </c>
      <c r="C8524" s="4">
        <v>110</v>
      </c>
      <c r="D8524" s="21">
        <f t="shared" si="702"/>
        <v>7291</v>
      </c>
      <c r="F8524" s="57">
        <f t="shared" si="707"/>
        <v>17</v>
      </c>
      <c r="G8524" s="251">
        <f>SUM(C8524,C8500,C8476,C8452,C8428,C8404,C8380,C8356,C8332,C8308,C8284,C8260,C8236,C8212)/POBLA!$B$3*100000</f>
        <v>264.78078558051982</v>
      </c>
      <c r="H8524" s="252">
        <f t="shared" si="708"/>
        <v>0.75342465753424659</v>
      </c>
      <c r="I8524" s="274"/>
      <c r="J8524" s="276"/>
    </row>
    <row r="8525" spans="1:10" ht="16.5" thickTop="1" thickBot="1" x14ac:dyDescent="0.3">
      <c r="A8525" s="105" t="s">
        <v>16</v>
      </c>
      <c r="B8525" s="102">
        <v>44248</v>
      </c>
      <c r="C8525" s="4">
        <v>81</v>
      </c>
      <c r="D8525" s="21">
        <f t="shared" si="702"/>
        <v>33206</v>
      </c>
      <c r="F8525" s="57">
        <f t="shared" si="707"/>
        <v>852</v>
      </c>
      <c r="G8525" s="251">
        <f>SUM(C8525,C8501,C8477,C8453,C8429,C8405,C8381,C8357,C8333,C8309,C8285,C8261,C8237,C8213)/POBLA!$B$4*100000</f>
        <v>127.84952940580686</v>
      </c>
      <c r="H8525" s="252">
        <f t="shared" si="708"/>
        <v>0.83153347732181426</v>
      </c>
      <c r="I8525" s="277"/>
      <c r="J8525" s="278"/>
    </row>
    <row r="8526" spans="1:10" ht="16.5" thickTop="1" thickBot="1" x14ac:dyDescent="0.3">
      <c r="A8526" s="105" t="s">
        <v>30</v>
      </c>
      <c r="B8526" s="102">
        <v>44248</v>
      </c>
      <c r="C8526" s="4">
        <v>36</v>
      </c>
      <c r="D8526" s="21">
        <f t="shared" si="702"/>
        <v>46091</v>
      </c>
      <c r="F8526" s="57">
        <f t="shared" si="707"/>
        <v>747</v>
      </c>
      <c r="G8526" s="251">
        <f>SUM(C8526,C8502,C8478,C8454,C8430,C8406,C8382,C8358,C8334,C8310,C8286,C8262,C8238,C8214)/POBLA!$B$5*100000</f>
        <v>352.02279828237431</v>
      </c>
      <c r="H8526" s="252">
        <f t="shared" si="708"/>
        <v>0.59600656455142231</v>
      </c>
      <c r="I8526" s="279"/>
      <c r="J8526" s="278"/>
    </row>
    <row r="8527" spans="1:10" ht="16.5" thickTop="1" thickBot="1" x14ac:dyDescent="0.3">
      <c r="A8527" s="105" t="s">
        <v>31</v>
      </c>
      <c r="B8527" s="102">
        <v>44248</v>
      </c>
      <c r="C8527" s="4">
        <v>146</v>
      </c>
      <c r="D8527" s="21">
        <f t="shared" si="702"/>
        <v>20960</v>
      </c>
      <c r="F8527" s="57">
        <f t="shared" si="707"/>
        <v>292</v>
      </c>
      <c r="G8527" s="251">
        <f>SUM(C8527,C8503,C8479,C8455,C8431,C8407,C8383,C8359,C8335,C8311,C8287,C8263,C8239,C8215)/POBLA!$B$7*100000</f>
        <v>59.221635708492336</v>
      </c>
      <c r="H8527" s="252">
        <f t="shared" si="708"/>
        <v>0.91646090534979419</v>
      </c>
      <c r="I8527" s="274"/>
      <c r="J8527" s="278"/>
    </row>
    <row r="8528" spans="1:10" ht="16.5" thickTop="1" thickBot="1" x14ac:dyDescent="0.3">
      <c r="A8528" s="105" t="s">
        <v>21</v>
      </c>
      <c r="B8528" s="102">
        <v>44248</v>
      </c>
      <c r="C8528" s="4">
        <v>399</v>
      </c>
      <c r="D8528" s="21">
        <f t="shared" si="702"/>
        <v>155574</v>
      </c>
      <c r="F8528" s="57">
        <f t="shared" si="707"/>
        <v>2799</v>
      </c>
      <c r="G8528" s="251">
        <f>SUM(C8528,C8504,C8480,C8456,C8432,C8408,C8384,C8360,C8336,C8312,C8288,C8264,C8240,C8216)/POBLA!$B$6*100000</f>
        <v>651.58756996112606</v>
      </c>
      <c r="H8528" s="252">
        <f t="shared" si="708"/>
        <v>1.076027700014734</v>
      </c>
      <c r="I8528" s="274"/>
      <c r="J8528" s="275"/>
    </row>
    <row r="8529" spans="1:10" ht="16.5" thickTop="1" thickBot="1" x14ac:dyDescent="0.3">
      <c r="A8529" s="105" t="s">
        <v>32</v>
      </c>
      <c r="B8529" s="102">
        <v>44248</v>
      </c>
      <c r="C8529" s="4">
        <v>87</v>
      </c>
      <c r="D8529" s="21">
        <f t="shared" si="702"/>
        <v>44318</v>
      </c>
      <c r="E8529" s="4">
        <v>1</v>
      </c>
      <c r="F8529" s="57">
        <f t="shared" ref="F8529:F8545" si="709">E8529+F8505</f>
        <v>809</v>
      </c>
      <c r="G8529" s="251">
        <f>SUM(C8529,C8505,C8481,C8457,C8433,C8409,C8385,C8361,C8337,C8313,C8289,C8265,C8241,C8217)/POBLA!$B$8*100000</f>
        <v>129.58517591764846</v>
      </c>
      <c r="H8529" s="252">
        <f t="shared" ref="H8529:H8545" si="710">SUM(C8529,C8505,C8481,C8457,C8433,C8409,C8385,C8361,C8337,C8313,C8289,C8265,C8241,C8217)/SUM(C8193,C8169,C8145,C8121,C8097,C8073,C8049,C8025,C8001,C7977,C7953,C7929,C7905,C7881)</f>
        <v>0.52073064656422152</v>
      </c>
      <c r="I8529" s="277"/>
      <c r="J8529" s="278"/>
    </row>
    <row r="8530" spans="1:10" ht="16.5" thickTop="1" thickBot="1" x14ac:dyDescent="0.3">
      <c r="A8530" s="105" t="s">
        <v>42</v>
      </c>
      <c r="B8530" s="102">
        <v>44248</v>
      </c>
      <c r="C8530" s="4">
        <v>9</v>
      </c>
      <c r="D8530" s="21">
        <f t="shared" si="702"/>
        <v>1079</v>
      </c>
      <c r="F8530" s="57">
        <f t="shared" si="709"/>
        <v>18</v>
      </c>
      <c r="G8530" s="251">
        <f>SUM(C8530,C8506,C8482,C8458,C8434,C8410,C8386,C8362,C8338,C8314,C8290,C8266,C8242,C8218)/POBLA!$B$9*100000</f>
        <v>33.212545419395134</v>
      </c>
      <c r="H8530" s="252">
        <f t="shared" si="710"/>
        <v>2.7916666666666665</v>
      </c>
      <c r="I8530" s="279"/>
      <c r="J8530" s="276"/>
    </row>
    <row r="8531" spans="1:10" ht="16.5" thickTop="1" thickBot="1" x14ac:dyDescent="0.3">
      <c r="A8531" s="105" t="s">
        <v>33</v>
      </c>
      <c r="B8531" s="102">
        <v>44248</v>
      </c>
      <c r="C8531" s="4">
        <v>73</v>
      </c>
      <c r="D8531" s="21">
        <f t="shared" si="702"/>
        <v>20115</v>
      </c>
      <c r="F8531" s="57">
        <f t="shared" si="709"/>
        <v>897</v>
      </c>
      <c r="G8531" s="251">
        <f>SUM(C8531,C8507,C8483,C8459,C8435,C8411,C8387,C8363,C8339,C8315,C8291,C8267,C8243,C8219)/POBLA!$B$10*100000</f>
        <v>77.184416271772179</v>
      </c>
      <c r="H8531" s="252">
        <f t="shared" si="710"/>
        <v>1.3934426229508197</v>
      </c>
      <c r="I8531" s="277"/>
      <c r="J8531" s="278"/>
    </row>
    <row r="8532" spans="1:10" ht="16.5" thickTop="1" thickBot="1" x14ac:dyDescent="0.3">
      <c r="A8532" s="105" t="s">
        <v>34</v>
      </c>
      <c r="B8532" s="102">
        <v>44248</v>
      </c>
      <c r="C8532" s="4">
        <v>19</v>
      </c>
      <c r="D8532" s="21">
        <f t="shared" si="702"/>
        <v>18090</v>
      </c>
      <c r="F8532" s="57">
        <f t="shared" si="709"/>
        <v>282</v>
      </c>
      <c r="G8532" s="251">
        <f>SUM(C8532,C8508,C8484,C8460,C8436,C8412,C8388,C8364,C8340,C8316,C8292,C8268,C8244,C8220)/POBLA!$B$11*100000</f>
        <v>279.55405269677595</v>
      </c>
      <c r="H8532" s="252">
        <f t="shared" si="710"/>
        <v>0.77374517374517371</v>
      </c>
      <c r="I8532" s="279"/>
      <c r="J8532" s="278"/>
    </row>
    <row r="8533" spans="1:10" ht="16.5" thickTop="1" thickBot="1" x14ac:dyDescent="0.3">
      <c r="A8533" s="105" t="s">
        <v>22</v>
      </c>
      <c r="B8533" s="102">
        <v>44248</v>
      </c>
      <c r="C8533" s="4">
        <v>25</v>
      </c>
      <c r="D8533" s="21">
        <f t="shared" si="702"/>
        <v>10019</v>
      </c>
      <c r="F8533" s="57">
        <f t="shared" si="709"/>
        <v>435</v>
      </c>
      <c r="G8533" s="251">
        <f>SUM(C8533,C8509,C8485,C8461,C8437,C8413,C8389,C8365,C8341,C8317,C8293,C8269,C8245,C8221)/POBLA!$B$12*100000</f>
        <v>84.872602158406835</v>
      </c>
      <c r="H8533" s="252">
        <f t="shared" si="710"/>
        <v>1.3522267206477734</v>
      </c>
      <c r="I8533" s="279"/>
      <c r="J8533" s="278"/>
    </row>
    <row r="8534" spans="1:10" ht="16.5" thickTop="1" thickBot="1" x14ac:dyDescent="0.3">
      <c r="A8534" s="105" t="s">
        <v>18</v>
      </c>
      <c r="B8534" s="102">
        <v>44248</v>
      </c>
      <c r="C8534" s="4">
        <v>39</v>
      </c>
      <c r="D8534" s="21">
        <f t="shared" si="702"/>
        <v>66333</v>
      </c>
      <c r="F8534" s="57">
        <f t="shared" si="709"/>
        <v>1423</v>
      </c>
      <c r="G8534" s="251">
        <f>SUM(C8534,C8510,C8486,C8462,C8438,C8414,C8390,C8366,C8342,C8318,C8294,C8270,C8246,C8222)/POBLA!$B$13*100000</f>
        <v>80.63956976151789</v>
      </c>
      <c r="H8534" s="252">
        <f t="shared" si="710"/>
        <v>1.0203432930705658</v>
      </c>
      <c r="I8534" s="279"/>
      <c r="J8534" s="275"/>
    </row>
    <row r="8535" spans="1:10" ht="16.5" thickTop="1" thickBot="1" x14ac:dyDescent="0.3">
      <c r="A8535" s="105" t="s">
        <v>24</v>
      </c>
      <c r="B8535" s="102">
        <v>44248</v>
      </c>
      <c r="C8535" s="4">
        <v>117</v>
      </c>
      <c r="D8535" s="21">
        <f t="shared" si="702"/>
        <v>7482</v>
      </c>
      <c r="F8535" s="57">
        <f t="shared" si="709"/>
        <v>126</v>
      </c>
      <c r="G8535" s="251">
        <f>SUM(C8535,C8511,C8487,C8463,C8439,C8415,C8391,C8367,C8343,C8319,C8295,C8271,C8247,C8223)/POBLA!$B$14*100000</f>
        <v>112.58279195810016</v>
      </c>
      <c r="H8535" s="252">
        <f t="shared" si="710"/>
        <v>0.54720616570327552</v>
      </c>
      <c r="I8535" s="274"/>
      <c r="J8535" s="276"/>
    </row>
    <row r="8536" spans="1:10" ht="16.5" thickTop="1" thickBot="1" x14ac:dyDescent="0.3">
      <c r="A8536" s="105" t="s">
        <v>20</v>
      </c>
      <c r="B8536" s="102">
        <v>44248</v>
      </c>
      <c r="C8536" s="4">
        <v>116</v>
      </c>
      <c r="D8536" s="21">
        <f t="shared" si="702"/>
        <v>59982</v>
      </c>
      <c r="E8536" s="4">
        <v>5</v>
      </c>
      <c r="F8536" s="57">
        <f t="shared" si="709"/>
        <v>887</v>
      </c>
      <c r="G8536" s="251">
        <f>SUM(C8536,C8512,C8488,C8464,C8440,C8416,C8392,C8368,C8344,C8320,C8296,C8272,C8248,C8224)/POBLA!$B$15*100000</f>
        <v>501.01120837518465</v>
      </c>
      <c r="H8536" s="252">
        <f t="shared" si="710"/>
        <v>0.58677248677248672</v>
      </c>
      <c r="I8536" s="274"/>
      <c r="J8536" s="275"/>
    </row>
    <row r="8537" spans="1:10" ht="16.5" thickTop="1" thickBot="1" x14ac:dyDescent="0.3">
      <c r="A8537" s="105" t="s">
        <v>19</v>
      </c>
      <c r="B8537" s="102">
        <v>44248</v>
      </c>
      <c r="C8537" s="4">
        <v>69</v>
      </c>
      <c r="D8537" s="21">
        <f t="shared" si="702"/>
        <v>51454</v>
      </c>
      <c r="E8537" s="4">
        <v>1</v>
      </c>
      <c r="F8537" s="57">
        <f t="shared" si="709"/>
        <v>1147</v>
      </c>
      <c r="G8537" s="251">
        <f>SUM(C8537,C8513,C8489,C8465,C8441,C8417,C8393,C8369,C8345,C8321,C8297,C8273,C8249,C8225)/POBLA!$B$16*100000</f>
        <v>277.81864876071751</v>
      </c>
      <c r="H8537" s="252">
        <f t="shared" si="710"/>
        <v>0.61106207708149451</v>
      </c>
      <c r="I8537" s="277"/>
      <c r="J8537" s="275"/>
    </row>
    <row r="8538" spans="1:10" ht="16.5" thickTop="1" thickBot="1" x14ac:dyDescent="0.3">
      <c r="A8538" s="105" t="s">
        <v>35</v>
      </c>
      <c r="B8538" s="102">
        <v>44248</v>
      </c>
      <c r="C8538" s="4">
        <v>83</v>
      </c>
      <c r="D8538" s="21">
        <f t="shared" si="702"/>
        <v>25405</v>
      </c>
      <c r="E8538" s="4">
        <v>4</v>
      </c>
      <c r="F8538" s="57">
        <f t="shared" si="709"/>
        <v>1080</v>
      </c>
      <c r="G8538" s="251">
        <f>SUM(C8538,C8514,C8490,C8466,C8442,C8418,C8394,C8370,C8346,C8322,C8298,C8274,C8250,C8226)/POBLA!$B$17*100000</f>
        <v>78.138328008272978</v>
      </c>
      <c r="H8538" s="252">
        <f t="shared" si="710"/>
        <v>1.3094117647058823</v>
      </c>
      <c r="I8538" s="277"/>
      <c r="J8538" s="278"/>
    </row>
    <row r="8539" spans="1:10" ht="16.5" thickTop="1" thickBot="1" x14ac:dyDescent="0.3">
      <c r="A8539" s="105" t="s">
        <v>36</v>
      </c>
      <c r="B8539" s="102">
        <v>44248</v>
      </c>
      <c r="C8539" s="4">
        <v>3</v>
      </c>
      <c r="D8539" s="21">
        <f t="shared" si="702"/>
        <v>14919</v>
      </c>
      <c r="F8539" s="57">
        <f t="shared" si="709"/>
        <v>206</v>
      </c>
      <c r="G8539" s="251">
        <f>SUM(C8539,C8515,C8491,C8467,C8443,C8419,C8395,C8371,C8347,C8323,C8299,C8275,C8251,C8227)/POBLA!$B$18*100000</f>
        <v>80.643406377485391</v>
      </c>
      <c r="H8539" s="252">
        <f t="shared" si="710"/>
        <v>0.84677419354838712</v>
      </c>
      <c r="I8539" s="279"/>
      <c r="J8539" s="278"/>
    </row>
    <row r="8540" spans="1:10" ht="16.5" thickTop="1" thickBot="1" x14ac:dyDescent="0.3">
      <c r="A8540" s="105" t="s">
        <v>37</v>
      </c>
      <c r="B8540" s="102">
        <v>44248</v>
      </c>
      <c r="C8540" s="4">
        <v>2</v>
      </c>
      <c r="D8540" s="21">
        <f t="shared" si="702"/>
        <v>20519</v>
      </c>
      <c r="F8540" s="57">
        <f t="shared" si="709"/>
        <v>353</v>
      </c>
      <c r="G8540" s="251">
        <f>SUM(C8540,C8516,C8492,C8468,C8444,C8420,C8396,C8372,C8348,C8324,C8300,C8276,C8252,C8228)/POBLA!$B$19*100000</f>
        <v>277.97012952267039</v>
      </c>
      <c r="H8540" s="252">
        <f t="shared" si="710"/>
        <v>2.1638591117917305</v>
      </c>
      <c r="I8540" s="279"/>
      <c r="J8540" s="278"/>
    </row>
    <row r="8541" spans="1:10" ht="16.5" thickTop="1" thickBot="1" x14ac:dyDescent="0.3">
      <c r="A8541" s="105" t="s">
        <v>38</v>
      </c>
      <c r="B8541" s="102">
        <v>44248</v>
      </c>
      <c r="C8541" s="4">
        <v>81</v>
      </c>
      <c r="D8541" s="21">
        <f t="shared" si="702"/>
        <v>35189</v>
      </c>
      <c r="E8541" s="4">
        <v>1</v>
      </c>
      <c r="F8541" s="57">
        <f t="shared" si="709"/>
        <v>562</v>
      </c>
      <c r="G8541" s="251">
        <f>SUM(C8541,C8517,C8493,C8469,C8445,C8421,C8397,C8373,C8349,C8325,C8301,C8277,C8253,C8229)/POBLA!$B$20*100000</f>
        <v>381.46229949302432</v>
      </c>
      <c r="H8541" s="252">
        <f t="shared" si="710"/>
        <v>0.60233160621761661</v>
      </c>
      <c r="I8541" s="277"/>
      <c r="J8541" s="278"/>
    </row>
    <row r="8542" spans="1:10" ht="16.5" thickTop="1" thickBot="1" x14ac:dyDescent="0.3">
      <c r="A8542" s="105" t="s">
        <v>23</v>
      </c>
      <c r="B8542" s="102">
        <v>44248</v>
      </c>
      <c r="C8542" s="4">
        <v>206</v>
      </c>
      <c r="D8542" s="21">
        <f t="shared" si="702"/>
        <v>214058</v>
      </c>
      <c r="E8542" s="4">
        <v>6</v>
      </c>
      <c r="F8542" s="57">
        <f t="shared" si="709"/>
        <v>3842</v>
      </c>
      <c r="G8542" s="251">
        <f>SUM(C8542,C8518,C8494,C8470,C8446,C8422,C8398,C8374,C8350,C8326,C8302,C8278,C8254,C8230)/POBLA!$B$21*100000</f>
        <v>137.22925287678098</v>
      </c>
      <c r="H8542" s="252">
        <f t="shared" si="710"/>
        <v>0.64023746701846962</v>
      </c>
      <c r="I8542" s="274"/>
      <c r="J8542" s="275"/>
    </row>
    <row r="8543" spans="1:10" ht="16.5" thickTop="1" thickBot="1" x14ac:dyDescent="0.3">
      <c r="A8543" s="105" t="s">
        <v>39</v>
      </c>
      <c r="B8543" s="102">
        <v>44248</v>
      </c>
      <c r="C8543" s="4">
        <v>41</v>
      </c>
      <c r="D8543" s="21">
        <f t="shared" si="702"/>
        <v>22181</v>
      </c>
      <c r="F8543" s="57">
        <f t="shared" si="709"/>
        <v>262</v>
      </c>
      <c r="G8543" s="251">
        <f>SUM(C8543,C8519,C8495,C8471,C8447,C8423,C8399,C8375,C8351,C8327,C8303,C8279,C8255,C8231)/POBLA!$B$22*100000</f>
        <v>76.458147852476671</v>
      </c>
      <c r="H8543" s="252">
        <f t="shared" si="710"/>
        <v>0.71578947368421053</v>
      </c>
      <c r="I8543" s="279"/>
      <c r="J8543" s="278"/>
    </row>
    <row r="8544" spans="1:10" ht="16.5" thickTop="1" thickBot="1" x14ac:dyDescent="0.3">
      <c r="A8544" s="105" t="s">
        <v>40</v>
      </c>
      <c r="B8544" s="102">
        <v>44248</v>
      </c>
      <c r="C8544" s="4">
        <v>40</v>
      </c>
      <c r="D8544" s="21">
        <f t="shared" si="702"/>
        <v>22706</v>
      </c>
      <c r="F8544" s="57">
        <f t="shared" si="709"/>
        <v>347</v>
      </c>
      <c r="G8544" s="251">
        <f>SUM(C8544,C8520,C8496,C8472,C8448,C8424,C8400,C8376,C8352,C8328,C8304,C8280,C8256,C8232)/POBLA!$B$23*100000</f>
        <v>352.88129842221343</v>
      </c>
      <c r="H8544" s="252">
        <f t="shared" si="710"/>
        <v>0.90173410404624277</v>
      </c>
      <c r="I8544" s="280"/>
      <c r="J8544" s="281"/>
    </row>
    <row r="8545" spans="1:13" ht="15.75" thickBot="1" x14ac:dyDescent="0.3">
      <c r="A8545" s="107" t="s">
        <v>41</v>
      </c>
      <c r="B8545" s="103">
        <v>44248</v>
      </c>
      <c r="C8545" s="30">
        <v>73</v>
      </c>
      <c r="D8545" s="59">
        <f t="shared" si="702"/>
        <v>78766</v>
      </c>
      <c r="E8545" s="30"/>
      <c r="F8545" s="100">
        <f t="shared" si="709"/>
        <v>1464</v>
      </c>
      <c r="G8545" s="251">
        <f>SUM(C8545,C8521,C8497,C8473,C8449,C8425,C8401,C8377,C8353,C8329,C8305,C8281,C8257,C8233)/POBLA!$B$24*100000</f>
        <v>85.91714188602289</v>
      </c>
      <c r="H8545" s="266">
        <f t="shared" si="710"/>
        <v>0.71865745310957552</v>
      </c>
      <c r="I8545" s="282"/>
      <c r="J8545" s="283"/>
      <c r="K8545" s="40"/>
      <c r="L8545" s="40"/>
      <c r="M8545" s="40"/>
    </row>
    <row r="8546" spans="1:13" ht="15.75" thickBot="1" x14ac:dyDescent="0.3">
      <c r="A8546" s="45" t="s">
        <v>17</v>
      </c>
      <c r="B8546" s="32">
        <v>44249</v>
      </c>
      <c r="C8546" s="33">
        <v>1999</v>
      </c>
      <c r="D8546" s="97">
        <f t="shared" si="702"/>
        <v>863871</v>
      </c>
      <c r="E8546" s="33">
        <v>76</v>
      </c>
      <c r="F8546" s="250">
        <f t="shared" ref="F8546:F8552" si="711">E8546+F8522</f>
        <v>26018</v>
      </c>
      <c r="G8546" s="251">
        <f>SUM(C8546,C8522,C8498,C8474,C8450,C8426,C8402,C8378,C8354,C8330,C8306,C8282,C8258,C8234)/POBLA!$B$1*100000</f>
        <v>201.21268052061151</v>
      </c>
      <c r="H8546" s="230">
        <f t="shared" ref="H8546:H8552" si="712">SUM(C8546,C8522,C8498,C8474,C8450,C8426,C8402,C8378,C8354,C8330,C8306,C8282,C8258,C8234)/SUM(C8210,C8186,C8162,C8138,C8114,C8090,C8066,C8042,C8018,C7994,C7970,C7946,C7922,C7898)</f>
        <v>0.74780711047078263</v>
      </c>
      <c r="I8546" s="267"/>
      <c r="J8546" s="267"/>
      <c r="K8546" s="267"/>
      <c r="L8546" s="267"/>
      <c r="M8546" s="40"/>
    </row>
    <row r="8547" spans="1:13" ht="15.75" thickBot="1" x14ac:dyDescent="0.3">
      <c r="A8547" s="105" t="s">
        <v>44</v>
      </c>
      <c r="B8547" s="102">
        <v>44249</v>
      </c>
      <c r="C8547" s="4">
        <v>825</v>
      </c>
      <c r="D8547" s="21">
        <f t="shared" ref="D8547:D8610" si="713">C8547+D8523</f>
        <v>227550</v>
      </c>
      <c r="E8547" s="4">
        <v>22</v>
      </c>
      <c r="F8547" s="57">
        <f t="shared" si="711"/>
        <v>6430</v>
      </c>
      <c r="G8547" s="251">
        <f>SUM(C8547,C8523,C8499,C8475,C8451,C8427,C8403,C8379,C8355,C8331,C8307,C8283,C8259,C8235)/POBLA!$B$2*100000</f>
        <v>318.11203239904722</v>
      </c>
      <c r="H8547" s="252">
        <f t="shared" si="712"/>
        <v>0.69592431894160323</v>
      </c>
      <c r="I8547" s="267"/>
      <c r="J8547" s="267"/>
      <c r="K8547" s="267"/>
      <c r="L8547" s="267"/>
      <c r="M8547" s="40"/>
    </row>
    <row r="8548" spans="1:13" ht="15.75" thickBot="1" x14ac:dyDescent="0.3">
      <c r="A8548" s="105" t="s">
        <v>29</v>
      </c>
      <c r="B8548" s="102">
        <v>44249</v>
      </c>
      <c r="C8548" s="4">
        <v>85</v>
      </c>
      <c r="D8548" s="21">
        <f t="shared" si="713"/>
        <v>7376</v>
      </c>
      <c r="F8548" s="57">
        <f t="shared" si="711"/>
        <v>17</v>
      </c>
      <c r="G8548" s="251">
        <f>SUM(C8548,C8524,C8500,C8476,C8452,C8428,C8404,C8380,C8356,C8332,C8308,C8284,C8260,C8236)/POBLA!$B$3*100000</f>
        <v>253.22671493700622</v>
      </c>
      <c r="H8548" s="252">
        <f t="shared" si="712"/>
        <v>0.67306461932181705</v>
      </c>
      <c r="I8548" s="40"/>
      <c r="J8548" s="40"/>
      <c r="K8548" s="40"/>
      <c r="L8548" s="40"/>
      <c r="M8548" s="40"/>
    </row>
    <row r="8549" spans="1:13" ht="15.75" thickBot="1" x14ac:dyDescent="0.3">
      <c r="A8549" s="105" t="s">
        <v>16</v>
      </c>
      <c r="B8549" s="102">
        <v>44249</v>
      </c>
      <c r="C8549" s="4">
        <v>124</v>
      </c>
      <c r="D8549" s="21">
        <f t="shared" si="713"/>
        <v>33330</v>
      </c>
      <c r="E8549" s="4">
        <v>3</v>
      </c>
      <c r="F8549" s="57">
        <f t="shared" si="711"/>
        <v>855</v>
      </c>
      <c r="G8549" s="251">
        <f>SUM(C8549,C8525,C8501,C8477,C8453,C8429,C8405,C8381,C8357,C8333,C8309,C8285,C8261,C8237)/POBLA!$B$4*100000</f>
        <v>132.83067990213698</v>
      </c>
      <c r="H8549" s="252">
        <f t="shared" si="712"/>
        <v>0.86956521739130432</v>
      </c>
      <c r="I8549" s="267"/>
      <c r="J8549" s="267"/>
      <c r="K8549" s="267"/>
      <c r="L8549" s="267"/>
      <c r="M8549" s="40"/>
    </row>
    <row r="8550" spans="1:13" ht="15.75" thickBot="1" x14ac:dyDescent="0.3">
      <c r="A8550" s="105" t="s">
        <v>30</v>
      </c>
      <c r="B8550" s="102">
        <v>44249</v>
      </c>
      <c r="C8550" s="4">
        <v>141</v>
      </c>
      <c r="D8550" s="21">
        <f t="shared" si="713"/>
        <v>46232</v>
      </c>
      <c r="E8550" s="4">
        <v>6</v>
      </c>
      <c r="F8550" s="57">
        <f t="shared" si="711"/>
        <v>753</v>
      </c>
      <c r="G8550" s="251">
        <f>SUM(C8550,C8526,C8502,C8478,C8454,C8430,C8406,C8382,C8358,C8334,C8310,C8286,C8262,C8238)/POBLA!$B$5*100000</f>
        <v>336.35221019912956</v>
      </c>
      <c r="H8550" s="252">
        <f t="shared" si="712"/>
        <v>0.57994428969359335</v>
      </c>
      <c r="I8550" s="267"/>
      <c r="J8550" s="267"/>
      <c r="K8550" s="267"/>
      <c r="L8550" s="267"/>
      <c r="M8550" s="40"/>
    </row>
    <row r="8551" spans="1:13" ht="15.75" thickBot="1" x14ac:dyDescent="0.3">
      <c r="A8551" s="105" t="s">
        <v>31</v>
      </c>
      <c r="B8551" s="102">
        <v>44249</v>
      </c>
      <c r="C8551" s="4">
        <v>142</v>
      </c>
      <c r="D8551" s="21">
        <f t="shared" si="713"/>
        <v>21102</v>
      </c>
      <c r="F8551" s="57">
        <f t="shared" si="711"/>
        <v>292</v>
      </c>
      <c r="G8551" s="251">
        <f>SUM(C8551,C8527,C8503,C8479,C8455,C8431,C8407,C8383,C8359,C8335,C8311,C8287,C8263,C8239)/POBLA!$B$7*100000</f>
        <v>60.817189432115839</v>
      </c>
      <c r="H8551" s="252">
        <f t="shared" si="712"/>
        <v>0.97236394557823125</v>
      </c>
      <c r="I8551" s="40"/>
      <c r="J8551" s="40"/>
      <c r="K8551" s="40"/>
      <c r="L8551" s="40"/>
      <c r="M8551" s="40"/>
    </row>
    <row r="8552" spans="1:13" ht="15.75" thickBot="1" x14ac:dyDescent="0.3">
      <c r="A8552" s="105" t="s">
        <v>21</v>
      </c>
      <c r="B8552" s="102">
        <v>44249</v>
      </c>
      <c r="C8552" s="4">
        <v>402</v>
      </c>
      <c r="D8552" s="21">
        <f t="shared" si="713"/>
        <v>155976</v>
      </c>
      <c r="E8552" s="4">
        <v>4</v>
      </c>
      <c r="F8552" s="57">
        <f t="shared" si="711"/>
        <v>2803</v>
      </c>
      <c r="G8552" s="251">
        <f>SUM(C8552,C8528,C8504,C8480,C8456,C8432,C8408,C8384,C8360,C8336,C8312,C8288,C8264,C8240)/POBLA!$B$6*100000</f>
        <v>669.78883851816693</v>
      </c>
      <c r="H8552" s="252">
        <f t="shared" si="712"/>
        <v>1.1297215951843491</v>
      </c>
      <c r="I8552" s="267"/>
      <c r="J8552" s="267"/>
      <c r="K8552" s="267"/>
      <c r="L8552" s="267"/>
      <c r="M8552" s="40"/>
    </row>
    <row r="8553" spans="1:13" ht="15.75" thickBot="1" x14ac:dyDescent="0.3">
      <c r="A8553" s="105" t="s">
        <v>32</v>
      </c>
      <c r="B8553" s="102">
        <v>44249</v>
      </c>
      <c r="C8553" s="4">
        <v>110</v>
      </c>
      <c r="D8553" s="21">
        <f t="shared" si="713"/>
        <v>44428</v>
      </c>
      <c r="E8553" s="4">
        <v>10</v>
      </c>
      <c r="F8553" s="57">
        <f t="shared" ref="F8553:F8569" si="714">E8553+F8529</f>
        <v>819</v>
      </c>
      <c r="G8553" s="251">
        <f>SUM(C8553,C8529,C8505,C8481,C8457,C8433,C8409,C8385,C8361,C8337,C8313,C8289,C8265,C8241)/POBLA!$B$8*100000</f>
        <v>132.47126001380991</v>
      </c>
      <c r="H8553" s="252">
        <f t="shared" ref="H8553:H8569" si="715">SUM(C8553,C8529,C8505,C8481,C8457,C8433,C8409,C8385,C8361,C8337,C8313,C8289,C8265,C8241)/SUM(C8217,C8193,C8169,C8145,C8121,C8097,C8073,C8049,C8025,C8001,C7977,C7953,C7929,C7905)</f>
        <v>0.57071806030463168</v>
      </c>
      <c r="I8553" s="267"/>
      <c r="J8553" s="267"/>
      <c r="K8553" s="267"/>
      <c r="L8553" s="267"/>
      <c r="M8553" s="40"/>
    </row>
    <row r="8554" spans="1:13" ht="15.75" thickBot="1" x14ac:dyDescent="0.3">
      <c r="A8554" s="105" t="s">
        <v>42</v>
      </c>
      <c r="B8554" s="102">
        <v>44249</v>
      </c>
      <c r="C8554" s="4">
        <v>57</v>
      </c>
      <c r="D8554" s="21">
        <f t="shared" si="713"/>
        <v>1136</v>
      </c>
      <c r="F8554" s="57">
        <f t="shared" si="714"/>
        <v>18</v>
      </c>
      <c r="G8554" s="251">
        <f>SUM(C8554,C8530,C8506,C8482,C8458,C8434,C8410,C8386,C8362,C8338,C8314,C8290,C8266,C8242)/POBLA!$B$9*100000</f>
        <v>41.474372638150143</v>
      </c>
      <c r="H8554" s="252">
        <f t="shared" si="715"/>
        <v>3.2179487179487181</v>
      </c>
      <c r="I8554" s="40"/>
      <c r="J8554" s="40"/>
      <c r="K8554" s="40"/>
      <c r="L8554" s="40"/>
      <c r="M8554" s="40"/>
    </row>
    <row r="8555" spans="1:13" ht="15.75" thickBot="1" x14ac:dyDescent="0.3">
      <c r="A8555" s="105" t="s">
        <v>33</v>
      </c>
      <c r="B8555" s="102">
        <v>44249</v>
      </c>
      <c r="C8555" s="4">
        <v>48</v>
      </c>
      <c r="D8555" s="21">
        <f t="shared" si="713"/>
        <v>20163</v>
      </c>
      <c r="E8555" s="4">
        <v>1</v>
      </c>
      <c r="F8555" s="57">
        <f t="shared" si="714"/>
        <v>898</v>
      </c>
      <c r="G8555" s="251">
        <f>SUM(C8555,C8531,C8507,C8483,C8459,C8435,C8411,C8387,C8363,C8339,C8315,C8291,C8267,C8243)/POBLA!$B$10*100000</f>
        <v>79.908572140187658</v>
      </c>
      <c r="H8555" s="252">
        <f t="shared" si="715"/>
        <v>1.378076062639821</v>
      </c>
      <c r="I8555" s="267"/>
      <c r="J8555" s="267"/>
      <c r="K8555" s="267"/>
      <c r="L8555" s="267"/>
      <c r="M8555" s="40"/>
    </row>
    <row r="8556" spans="1:13" ht="15.75" thickBot="1" x14ac:dyDescent="0.3">
      <c r="A8556" s="105" t="s">
        <v>34</v>
      </c>
      <c r="B8556" s="102">
        <v>44249</v>
      </c>
      <c r="C8556" s="4">
        <v>71</v>
      </c>
      <c r="D8556" s="21">
        <f t="shared" si="713"/>
        <v>18161</v>
      </c>
      <c r="E8556" s="4">
        <v>2</v>
      </c>
      <c r="F8556" s="57">
        <f t="shared" si="714"/>
        <v>284</v>
      </c>
      <c r="G8556" s="251">
        <f>SUM(C8556,C8532,C8508,C8484,C8460,C8436,C8412,C8388,C8364,C8340,C8316,C8292,C8268,C8244)/POBLA!$B$11*100000</f>
        <v>270.62617875835593</v>
      </c>
      <c r="H8556" s="252">
        <f t="shared" si="715"/>
        <v>0.74787972243639167</v>
      </c>
      <c r="I8556" s="267"/>
      <c r="J8556" s="267"/>
      <c r="K8556" s="267"/>
      <c r="L8556" s="267"/>
      <c r="M8556" s="40"/>
    </row>
    <row r="8557" spans="1:13" ht="15.75" thickBot="1" x14ac:dyDescent="0.3">
      <c r="A8557" s="105" t="s">
        <v>22</v>
      </c>
      <c r="B8557" s="102">
        <v>44249</v>
      </c>
      <c r="C8557" s="4">
        <v>28</v>
      </c>
      <c r="D8557" s="21">
        <f t="shared" si="713"/>
        <v>10047</v>
      </c>
      <c r="F8557" s="57">
        <f t="shared" si="714"/>
        <v>435</v>
      </c>
      <c r="G8557" s="251">
        <f>SUM(C8557,C8533,C8509,C8485,C8461,C8437,C8413,C8389,C8365,C8341,C8317,C8293,C8269,C8245)/POBLA!$B$12*100000</f>
        <v>89.446574729817982</v>
      </c>
      <c r="H8557" s="252">
        <f t="shared" si="715"/>
        <v>1.3858267716535433</v>
      </c>
      <c r="I8557" s="40"/>
      <c r="J8557" s="40"/>
      <c r="K8557" s="40"/>
      <c r="L8557" s="40"/>
      <c r="M8557" s="40"/>
    </row>
    <row r="8558" spans="1:13" ht="15.75" thickBot="1" x14ac:dyDescent="0.3">
      <c r="A8558" s="105" t="s">
        <v>18</v>
      </c>
      <c r="B8558" s="102">
        <v>44249</v>
      </c>
      <c r="C8558" s="4">
        <v>78</v>
      </c>
      <c r="D8558" s="21">
        <f t="shared" si="713"/>
        <v>66411</v>
      </c>
      <c r="E8558" s="4">
        <v>2</v>
      </c>
      <c r="F8558" s="57">
        <f t="shared" si="714"/>
        <v>1425</v>
      </c>
      <c r="G8558" s="251">
        <f>SUM(C8558,C8534,C8510,C8486,C8462,C8438,C8414,C8390,C8366,C8342,C8318,C8294,C8270,C8246)/POBLA!$B$13*100000</f>
        <v>78.629860857804061</v>
      </c>
      <c r="H8558" s="252">
        <f t="shared" si="715"/>
        <v>0.95660146699266502</v>
      </c>
      <c r="I8558" s="267"/>
      <c r="J8558" s="267"/>
      <c r="K8558" s="267"/>
      <c r="L8558" s="267"/>
      <c r="M8558" s="40"/>
    </row>
    <row r="8559" spans="1:13" ht="15.75" thickBot="1" x14ac:dyDescent="0.3">
      <c r="A8559" s="105" t="s">
        <v>24</v>
      </c>
      <c r="B8559" s="102">
        <v>44249</v>
      </c>
      <c r="C8559" s="4">
        <v>127</v>
      </c>
      <c r="D8559" s="21">
        <f t="shared" si="713"/>
        <v>7609</v>
      </c>
      <c r="E8559" s="4">
        <v>5</v>
      </c>
      <c r="F8559" s="57">
        <f t="shared" si="714"/>
        <v>131</v>
      </c>
      <c r="G8559" s="251">
        <f>SUM(C8559,C8535,C8511,C8487,C8463,C8439,C8415,C8391,C8367,C8343,C8319,C8295,C8271,C8247)/POBLA!$B$14*100000</f>
        <v>118.21193155600517</v>
      </c>
      <c r="H8559" s="252">
        <f t="shared" si="715"/>
        <v>0.5949720670391061</v>
      </c>
      <c r="I8559" s="267"/>
      <c r="J8559" s="267"/>
      <c r="K8559" s="267"/>
      <c r="L8559" s="267"/>
      <c r="M8559" s="40"/>
    </row>
    <row r="8560" spans="1:13" ht="15.75" thickBot="1" x14ac:dyDescent="0.3">
      <c r="A8560" s="105" t="s">
        <v>20</v>
      </c>
      <c r="B8560" s="102">
        <v>44249</v>
      </c>
      <c r="C8560" s="4">
        <v>210</v>
      </c>
      <c r="D8560" s="21">
        <f t="shared" si="713"/>
        <v>60192</v>
      </c>
      <c r="E8560" s="4">
        <v>4</v>
      </c>
      <c r="F8560" s="57">
        <f t="shared" si="714"/>
        <v>891</v>
      </c>
      <c r="G8560" s="251">
        <f>SUM(C8560,C8536,C8512,C8488,C8464,C8440,C8416,C8392,C8368,C8344,C8320,C8296,C8272,C8248)/POBLA!$B$15*100000</f>
        <v>491.67466045836426</v>
      </c>
      <c r="H8560" s="252">
        <f t="shared" si="715"/>
        <v>0.60575139146567714</v>
      </c>
      <c r="I8560" s="267"/>
      <c r="J8560" s="267"/>
      <c r="K8560" s="267"/>
      <c r="L8560" s="267"/>
      <c r="M8560" s="40"/>
    </row>
    <row r="8561" spans="1:13" ht="15.75" thickBot="1" x14ac:dyDescent="0.3">
      <c r="A8561" s="105" t="s">
        <v>19</v>
      </c>
      <c r="B8561" s="102">
        <v>44249</v>
      </c>
      <c r="C8561" s="4">
        <v>119</v>
      </c>
      <c r="D8561" s="21">
        <f t="shared" si="713"/>
        <v>51573</v>
      </c>
      <c r="E8561" s="4">
        <v>10</v>
      </c>
      <c r="F8561" s="57">
        <f t="shared" si="714"/>
        <v>1157</v>
      </c>
      <c r="G8561" s="251">
        <f>SUM(C8561,C8537,C8513,C8489,C8465,C8441,C8417,C8393,C8369,C8345,C8321,C8297,C8273,C8249)/POBLA!$B$16*100000</f>
        <v>265.24524819090163</v>
      </c>
      <c r="H8561" s="252">
        <f t="shared" si="715"/>
        <v>0.5907059874888293</v>
      </c>
      <c r="I8561" s="267"/>
      <c r="J8561" s="267"/>
      <c r="K8561" s="267"/>
      <c r="L8561" s="267"/>
      <c r="M8561" s="40"/>
    </row>
    <row r="8562" spans="1:13" ht="15.75" thickBot="1" x14ac:dyDescent="0.3">
      <c r="A8562" s="105" t="s">
        <v>35</v>
      </c>
      <c r="B8562" s="102">
        <v>44249</v>
      </c>
      <c r="C8562" s="4">
        <v>74</v>
      </c>
      <c r="D8562" s="21">
        <f t="shared" si="713"/>
        <v>25479</v>
      </c>
      <c r="F8562" s="57">
        <f t="shared" si="714"/>
        <v>1080</v>
      </c>
      <c r="G8562" s="251">
        <f>SUM(C8562,C8538,C8514,C8490,C8466,C8442,C8418,C8394,C8370,C8346,C8322,C8298,C8274,C8250)/POBLA!$B$17*100000</f>
        <v>81.508175038279362</v>
      </c>
      <c r="H8562" s="252">
        <f t="shared" si="715"/>
        <v>1.3594847775175645</v>
      </c>
      <c r="I8562" s="40"/>
      <c r="J8562" s="40"/>
      <c r="K8562" s="40"/>
      <c r="L8562" s="40"/>
      <c r="M8562" s="40"/>
    </row>
    <row r="8563" spans="1:13" ht="15.75" thickBot="1" x14ac:dyDescent="0.3">
      <c r="A8563" s="105" t="s">
        <v>36</v>
      </c>
      <c r="B8563" s="102">
        <v>44249</v>
      </c>
      <c r="C8563" s="4">
        <v>71</v>
      </c>
      <c r="D8563" s="21">
        <f t="shared" si="713"/>
        <v>14990</v>
      </c>
      <c r="F8563" s="57">
        <f t="shared" si="714"/>
        <v>206</v>
      </c>
      <c r="G8563" s="251">
        <f>SUM(C8563,C8539,C8515,C8491,C8467,C8443,C8419,C8395,C8371,C8347,C8323,C8299,C8275,C8251)/POBLA!$B$18*100000</f>
        <v>83.587530737298337</v>
      </c>
      <c r="H8563" s="252">
        <f t="shared" si="715"/>
        <v>0.9171348314606742</v>
      </c>
      <c r="I8563" s="40"/>
      <c r="J8563" s="40"/>
      <c r="K8563" s="40"/>
      <c r="L8563" s="40"/>
      <c r="M8563" s="40"/>
    </row>
    <row r="8564" spans="1:13" ht="15.75" thickBot="1" x14ac:dyDescent="0.3">
      <c r="A8564" s="105" t="s">
        <v>37</v>
      </c>
      <c r="B8564" s="102">
        <v>44249</v>
      </c>
      <c r="C8564" s="4">
        <v>23</v>
      </c>
      <c r="D8564" s="21">
        <f t="shared" si="713"/>
        <v>20542</v>
      </c>
      <c r="F8564" s="57">
        <f t="shared" si="714"/>
        <v>353</v>
      </c>
      <c r="G8564" s="251">
        <f>SUM(C8564,C8540,C8516,C8492,C8468,C8444,C8420,C8396,C8372,C8348,C8324,C8300,C8276,C8252)/POBLA!$B$19*100000</f>
        <v>281.31442690546265</v>
      </c>
      <c r="H8564" s="252">
        <f t="shared" si="715"/>
        <v>3.9832869080779942</v>
      </c>
      <c r="I8564" s="40"/>
      <c r="J8564" s="40"/>
      <c r="K8564" s="40"/>
      <c r="L8564" s="40"/>
      <c r="M8564" s="40"/>
    </row>
    <row r="8565" spans="1:13" ht="15.75" thickBot="1" x14ac:dyDescent="0.3">
      <c r="A8565" s="105" t="s">
        <v>38</v>
      </c>
      <c r="B8565" s="102">
        <v>44249</v>
      </c>
      <c r="C8565" s="4">
        <v>124</v>
      </c>
      <c r="D8565" s="21">
        <f t="shared" si="713"/>
        <v>35313</v>
      </c>
      <c r="E8565" s="4">
        <v>5</v>
      </c>
      <c r="F8565" s="57">
        <f t="shared" si="714"/>
        <v>567</v>
      </c>
      <c r="G8565" s="251">
        <f>SUM(C8565,C8541,C8517,C8493,C8469,C8445,C8421,C8397,C8373,C8349,C8325,C8301,C8277,C8253)/POBLA!$B$20*100000</f>
        <v>379.00125239952092</v>
      </c>
      <c r="H8565" s="252">
        <f t="shared" si="715"/>
        <v>0.6073619631901841</v>
      </c>
      <c r="I8565" s="267"/>
      <c r="J8565" s="267"/>
      <c r="K8565" s="267"/>
      <c r="L8565" s="267"/>
      <c r="M8565" s="40"/>
    </row>
    <row r="8566" spans="1:13" ht="15.75" thickBot="1" x14ac:dyDescent="0.3">
      <c r="A8566" s="105" t="s">
        <v>23</v>
      </c>
      <c r="B8566" s="102">
        <v>44249</v>
      </c>
      <c r="C8566" s="4">
        <v>330</v>
      </c>
      <c r="D8566" s="21">
        <f t="shared" si="713"/>
        <v>214388</v>
      </c>
      <c r="E8566" s="4">
        <v>9</v>
      </c>
      <c r="F8566" s="57">
        <f t="shared" si="714"/>
        <v>3851</v>
      </c>
      <c r="G8566" s="251">
        <f>SUM(C8566,C8542,C8518,C8494,C8470,C8446,C8422,C8398,C8374,C8350,C8326,C8302,C8278,C8254)/POBLA!$B$21*100000</f>
        <v>138.16240048546297</v>
      </c>
      <c r="H8566" s="252">
        <f t="shared" si="715"/>
        <v>0.66071670047329278</v>
      </c>
      <c r="I8566" s="267"/>
      <c r="J8566" s="267"/>
      <c r="K8566" s="267"/>
      <c r="L8566" s="267"/>
      <c r="M8566" s="40"/>
    </row>
    <row r="8567" spans="1:13" ht="15.75" thickBot="1" x14ac:dyDescent="0.3">
      <c r="A8567" s="105" t="s">
        <v>39</v>
      </c>
      <c r="B8567" s="102">
        <v>44249</v>
      </c>
      <c r="C8567" s="4">
        <v>36</v>
      </c>
      <c r="D8567" s="21">
        <f t="shared" si="713"/>
        <v>22217</v>
      </c>
      <c r="E8567" s="4">
        <v>2</v>
      </c>
      <c r="F8567" s="57">
        <f t="shared" si="714"/>
        <v>264</v>
      </c>
      <c r="G8567" s="251">
        <f>SUM(C8567,C8543,C8519,C8495,C8471,C8447,C8423,C8399,C8375,C8351,C8327,C8303,C8279,C8255)/POBLA!$B$22*100000</f>
        <v>74.107162022788216</v>
      </c>
      <c r="H8567" s="252">
        <f t="shared" si="715"/>
        <v>0.71078431372549022</v>
      </c>
      <c r="I8567" s="267"/>
      <c r="J8567" s="267"/>
      <c r="K8567" s="267"/>
      <c r="L8567" s="267"/>
      <c r="M8567" s="40"/>
    </row>
    <row r="8568" spans="1:13" ht="15.75" thickBot="1" x14ac:dyDescent="0.3">
      <c r="A8568" s="105" t="s">
        <v>40</v>
      </c>
      <c r="B8568" s="102">
        <v>44249</v>
      </c>
      <c r="C8568" s="4">
        <v>42</v>
      </c>
      <c r="D8568" s="21">
        <f t="shared" si="713"/>
        <v>22748</v>
      </c>
      <c r="E8568" s="4">
        <v>2</v>
      </c>
      <c r="F8568" s="57">
        <f t="shared" si="714"/>
        <v>349</v>
      </c>
      <c r="G8568" s="251">
        <f>SUM(C8568,C8544,C8520,C8496,C8472,C8448,C8424,C8400,C8376,C8352,C8328,C8304,C8280,C8256)/POBLA!$B$23*100000</f>
        <v>324.0400384550133</v>
      </c>
      <c r="H8568" s="252">
        <f t="shared" si="715"/>
        <v>0.8748091603053435</v>
      </c>
      <c r="I8568" s="267"/>
      <c r="J8568" s="267"/>
      <c r="K8568" s="267"/>
      <c r="L8568" s="267"/>
      <c r="M8568" s="40"/>
    </row>
    <row r="8569" spans="1:13" ht="15.75" thickBot="1" x14ac:dyDescent="0.3">
      <c r="A8569" s="106" t="s">
        <v>41</v>
      </c>
      <c r="B8569" s="109">
        <v>44249</v>
      </c>
      <c r="C8569" s="37">
        <v>151</v>
      </c>
      <c r="D8569" s="98">
        <f t="shared" si="713"/>
        <v>78917</v>
      </c>
      <c r="E8569" s="37"/>
      <c r="F8569" s="255">
        <f t="shared" si="714"/>
        <v>1464</v>
      </c>
      <c r="G8569" s="251">
        <f>SUM(C8569,C8545,C8521,C8497,C8473,C8449,C8425,C8401,C8377,C8353,C8329,C8305,C8281,C8257)/POBLA!$B$24*100000</f>
        <v>88.513539030930175</v>
      </c>
      <c r="H8569" s="257">
        <f t="shared" si="715"/>
        <v>0.75225677031093274</v>
      </c>
      <c r="I8569" s="284"/>
      <c r="J8569" s="40"/>
      <c r="K8569" s="40"/>
      <c r="L8569" s="40"/>
      <c r="M8569" s="40"/>
    </row>
    <row r="8570" spans="1:13" ht="15.75" thickBot="1" x14ac:dyDescent="0.3">
      <c r="A8570" s="45" t="s">
        <v>17</v>
      </c>
      <c r="B8570" s="109">
        <v>44250</v>
      </c>
      <c r="C8570" s="38">
        <v>3403</v>
      </c>
      <c r="D8570" s="97">
        <f t="shared" si="713"/>
        <v>867274</v>
      </c>
      <c r="E8570" s="31">
        <v>54</v>
      </c>
      <c r="F8570" s="250">
        <f t="shared" ref="F8570:F8576" si="716">E8570+F8546</f>
        <v>26072</v>
      </c>
      <c r="G8570" s="251">
        <f>SUM(C8570,C8546,C8522,C8498,C8474,C8450,C8426,C8402,C8378,C8354,C8330,C8306,C8282,C8258)/POBLA!$B$1*100000</f>
        <v>201.44071585765144</v>
      </c>
      <c r="H8570" s="230">
        <f t="shared" ref="H8570:H8576" si="717">SUM(C8570,C8546,C8522,C8498,C8474,C8450,C8426,C8402,C8378,C8354,C8330,C8306,C8282,C8258)/SUM(C8234,C8210,C8186,C8162,C8138,C8114,C8090,C8066,C8042,C8018,C7994,C7970,C7946,C7922)</f>
        <v>0.76836932176484662</v>
      </c>
      <c r="I8570" s="40"/>
      <c r="J8570" s="40"/>
      <c r="K8570" s="40"/>
      <c r="L8570" s="40"/>
      <c r="M8570" s="40"/>
    </row>
    <row r="8571" spans="1:13" ht="15.75" thickBot="1" x14ac:dyDescent="0.3">
      <c r="A8571" s="105" t="s">
        <v>44</v>
      </c>
      <c r="B8571" s="109">
        <v>44250</v>
      </c>
      <c r="C8571" s="38">
        <v>828</v>
      </c>
      <c r="D8571" s="21">
        <f t="shared" si="713"/>
        <v>228378</v>
      </c>
      <c r="E8571" s="4">
        <v>31</v>
      </c>
      <c r="F8571" s="57">
        <f t="shared" si="716"/>
        <v>6461</v>
      </c>
      <c r="G8571" s="251">
        <f>SUM(C8571,C8547,C8523,C8499,C8475,C8451,C8427,C8403,C8379,C8355,C8331,C8307,C8283,C8259)/POBLA!$B$2*100000</f>
        <v>312.97490023234144</v>
      </c>
      <c r="H8571" s="252">
        <f t="shared" si="717"/>
        <v>0.69981824790985092</v>
      </c>
      <c r="I8571" s="40"/>
      <c r="J8571" s="40"/>
      <c r="K8571" s="40"/>
      <c r="L8571" s="40"/>
      <c r="M8571" s="40"/>
    </row>
    <row r="8572" spans="1:13" ht="15.75" thickBot="1" x14ac:dyDescent="0.3">
      <c r="A8572" s="105" t="s">
        <v>29</v>
      </c>
      <c r="B8572" s="109">
        <v>44250</v>
      </c>
      <c r="C8572" s="38">
        <v>62</v>
      </c>
      <c r="D8572" s="21">
        <f t="shared" si="713"/>
        <v>7438</v>
      </c>
      <c r="F8572" s="57">
        <f t="shared" si="716"/>
        <v>17</v>
      </c>
      <c r="G8572" s="251">
        <f>SUM(C8572,C8548,C8524,C8500,C8476,C8452,C8428,C8404,C8380,C8356,C8332,C8308,C8284,C8260)/POBLA!$B$3*100000</f>
        <v>248.17180903046903</v>
      </c>
      <c r="H8572" s="252">
        <f t="shared" si="717"/>
        <v>0.65710643722116002</v>
      </c>
      <c r="I8572" s="40"/>
      <c r="J8572" s="40"/>
      <c r="K8572" s="40"/>
      <c r="L8572" s="40"/>
      <c r="M8572" s="40"/>
    </row>
    <row r="8573" spans="1:13" ht="15.75" thickBot="1" x14ac:dyDescent="0.3">
      <c r="A8573" s="105" t="s">
        <v>16</v>
      </c>
      <c r="B8573" s="109">
        <v>44250</v>
      </c>
      <c r="C8573" s="38">
        <v>191</v>
      </c>
      <c r="D8573" s="21">
        <f t="shared" si="713"/>
        <v>33521</v>
      </c>
      <c r="E8573" s="4">
        <v>3</v>
      </c>
      <c r="F8573" s="57">
        <f t="shared" si="716"/>
        <v>858</v>
      </c>
      <c r="G8573" s="251">
        <f>SUM(C8573,C8549,C8525,C8501,C8477,C8453,C8429,C8405,C8381,C8357,C8333,C8309,C8285,C8261)/POBLA!$B$4*100000</f>
        <v>135.32125515030208</v>
      </c>
      <c r="H8573" s="252">
        <f t="shared" si="717"/>
        <v>0.89364035087719296</v>
      </c>
      <c r="I8573" s="40"/>
      <c r="J8573" s="40"/>
      <c r="K8573" s="40"/>
      <c r="L8573" s="40"/>
      <c r="M8573" s="40"/>
    </row>
    <row r="8574" spans="1:13" ht="15.75" thickBot="1" x14ac:dyDescent="0.3">
      <c r="A8574" s="105" t="s">
        <v>30</v>
      </c>
      <c r="B8574" s="109">
        <v>44250</v>
      </c>
      <c r="C8574" s="38">
        <v>174</v>
      </c>
      <c r="D8574" s="21">
        <f t="shared" si="713"/>
        <v>46406</v>
      </c>
      <c r="E8574" s="4">
        <v>4</v>
      </c>
      <c r="F8574" s="57">
        <f t="shared" si="716"/>
        <v>757</v>
      </c>
      <c r="G8574" s="251">
        <f>SUM(C8574,C8550,C8526,C8502,C8478,C8454,C8430,C8406,C8382,C8358,C8334,C8310,C8286,C8262)/POBLA!$B$5*100000</f>
        <v>323.9126712052136</v>
      </c>
      <c r="H8574" s="252">
        <f t="shared" si="717"/>
        <v>0.56944049985799494</v>
      </c>
      <c r="I8574" s="40"/>
      <c r="J8574" s="40"/>
      <c r="K8574" s="40"/>
      <c r="L8574" s="40"/>
      <c r="M8574" s="40"/>
    </row>
    <row r="8575" spans="1:13" ht="15.75" thickBot="1" x14ac:dyDescent="0.3">
      <c r="A8575" s="105" t="s">
        <v>31</v>
      </c>
      <c r="B8575" s="109">
        <v>44250</v>
      </c>
      <c r="C8575" s="38">
        <v>79</v>
      </c>
      <c r="D8575" s="21">
        <f t="shared" si="713"/>
        <v>21181</v>
      </c>
      <c r="E8575" s="4">
        <v>1</v>
      </c>
      <c r="F8575" s="57">
        <f t="shared" si="716"/>
        <v>293</v>
      </c>
      <c r="G8575" s="251">
        <f>SUM(C8575,C8551,C8527,C8503,C8479,C8455,C8431,C8407,C8383,C8359,C8335,C8311,C8287,C8263)/POBLA!$B$7*100000</f>
        <v>58.689784467284497</v>
      </c>
      <c r="H8575" s="252">
        <f t="shared" si="717"/>
        <v>0.94155290102389078</v>
      </c>
      <c r="I8575" s="40"/>
      <c r="J8575" s="40"/>
      <c r="K8575" s="40"/>
      <c r="L8575" s="40"/>
      <c r="M8575" s="40"/>
    </row>
    <row r="8576" spans="1:13" ht="15.75" thickBot="1" x14ac:dyDescent="0.3">
      <c r="A8576" s="105" t="s">
        <v>21</v>
      </c>
      <c r="B8576" s="109">
        <v>44250</v>
      </c>
      <c r="C8576" s="63">
        <v>827</v>
      </c>
      <c r="D8576" s="21">
        <f t="shared" si="713"/>
        <v>156803</v>
      </c>
      <c r="E8576" s="4">
        <v>6</v>
      </c>
      <c r="F8576" s="57">
        <f t="shared" si="716"/>
        <v>2809</v>
      </c>
      <c r="G8576" s="251">
        <f>SUM(C8576,C8552,C8528,C8504,C8480,C8456,C8432,C8408,C8384,C8360,C8336,C8312,C8288,C8264)/POBLA!$B$6*100000</f>
        <v>682.90445850779929</v>
      </c>
      <c r="H8576" s="252">
        <f t="shared" si="717"/>
        <v>1.1487318024913702</v>
      </c>
    </row>
    <row r="8577" spans="1:8" ht="15.75" thickBot="1" x14ac:dyDescent="0.3">
      <c r="A8577" s="105" t="s">
        <v>32</v>
      </c>
      <c r="B8577" s="109">
        <v>44250</v>
      </c>
      <c r="C8577" s="63">
        <v>144</v>
      </c>
      <c r="D8577" s="21">
        <f t="shared" si="713"/>
        <v>44572</v>
      </c>
      <c r="E8577" s="4">
        <v>6</v>
      </c>
      <c r="F8577" s="57">
        <f t="shared" ref="F8577:F8593" si="718">E8577+F8553</f>
        <v>825</v>
      </c>
      <c r="G8577" s="251">
        <f>SUM(C8577,C8553,C8529,C8505,C8481,C8457,C8433,C8409,C8385,C8361,C8337,C8313,C8289,C8265)/POBLA!$B$8*100000</f>
        <v>128.4307422791839</v>
      </c>
      <c r="H8577" s="252">
        <f t="shared" ref="H8577:H8593" si="719">SUM(C8577,C8553,C8529,C8505,C8481,C8457,C8433,C8409,C8385,C8361,C8337,C8313,C8289,C8265)/SUM(C8241,C8217,C8193,C8169,C8145,C8121,C8097,C8073,C8049,C8025,C8001,C7977,C7953,C7929)</f>
        <v>0.57698541329011344</v>
      </c>
    </row>
    <row r="8578" spans="1:8" ht="15.75" thickBot="1" x14ac:dyDescent="0.3">
      <c r="A8578" s="105" t="s">
        <v>42</v>
      </c>
      <c r="B8578" s="109">
        <v>44250</v>
      </c>
      <c r="C8578" s="63">
        <v>32</v>
      </c>
      <c r="D8578" s="21">
        <f t="shared" si="713"/>
        <v>1168</v>
      </c>
      <c r="F8578" s="57">
        <f t="shared" si="718"/>
        <v>18</v>
      </c>
      <c r="G8578" s="251">
        <f>SUM(C8578,C8554,C8530,C8506,C8482,C8458,C8434,C8410,C8386,C8362,C8338,C8314,C8290,C8266)/POBLA!$B$9*100000</f>
        <v>46.266232425028051</v>
      </c>
      <c r="H8578" s="252">
        <f t="shared" si="719"/>
        <v>3.7837837837837838</v>
      </c>
    </row>
    <row r="8579" spans="1:8" ht="15.75" thickBot="1" x14ac:dyDescent="0.3">
      <c r="A8579" s="105" t="s">
        <v>33</v>
      </c>
      <c r="B8579" s="109">
        <v>44250</v>
      </c>
      <c r="C8579" s="63">
        <v>119</v>
      </c>
      <c r="D8579" s="21">
        <f t="shared" si="713"/>
        <v>20282</v>
      </c>
      <c r="E8579" s="4">
        <v>3</v>
      </c>
      <c r="F8579" s="57">
        <f t="shared" si="718"/>
        <v>901</v>
      </c>
      <c r="G8579" s="251">
        <f>SUM(C8579,C8555,C8531,C8507,C8483,C8459,C8435,C8411,C8387,C8363,C8339,C8315,C8291,C8267)/POBLA!$B$10*100000</f>
        <v>89.507978533651766</v>
      </c>
      <c r="H8579" s="252">
        <f t="shared" si="719"/>
        <v>1.5862068965517242</v>
      </c>
    </row>
    <row r="8580" spans="1:8" ht="15.75" thickBot="1" x14ac:dyDescent="0.3">
      <c r="A8580" s="105" t="s">
        <v>34</v>
      </c>
      <c r="B8580" s="109">
        <v>44250</v>
      </c>
      <c r="C8580" s="63">
        <v>63</v>
      </c>
      <c r="D8580" s="21">
        <f t="shared" si="713"/>
        <v>18224</v>
      </c>
      <c r="F8580" s="57">
        <f t="shared" si="718"/>
        <v>284</v>
      </c>
      <c r="G8580" s="251">
        <f>SUM(C8580,C8556,C8532,C8508,C8484,C8460,C8436,C8412,C8388,C8364,C8340,C8316,C8292,C8268)/POBLA!$B$11*100000</f>
        <v>260.58232057763342</v>
      </c>
      <c r="H8580" s="252">
        <f t="shared" si="719"/>
        <v>0.71846153846153848</v>
      </c>
    </row>
    <row r="8581" spans="1:8" ht="15.75" thickBot="1" x14ac:dyDescent="0.3">
      <c r="A8581" s="105" t="s">
        <v>22</v>
      </c>
      <c r="B8581" s="109">
        <v>44250</v>
      </c>
      <c r="C8581" s="63">
        <v>23</v>
      </c>
      <c r="D8581" s="21">
        <f t="shared" si="713"/>
        <v>10070</v>
      </c>
      <c r="F8581" s="57">
        <f t="shared" si="718"/>
        <v>435</v>
      </c>
      <c r="G8581" s="251">
        <f>SUM(C8581,C8557,C8533,C8509,C8485,C8461,C8437,C8413,C8389,C8365,C8341,C8317,C8293,C8269)/POBLA!$B$12*100000</f>
        <v>93.004108952026641</v>
      </c>
      <c r="H8581" s="252">
        <f t="shared" si="719"/>
        <v>1.4523809523809523</v>
      </c>
    </row>
    <row r="8582" spans="1:8" ht="15.75" thickBot="1" x14ac:dyDescent="0.3">
      <c r="A8582" s="105" t="s">
        <v>18</v>
      </c>
      <c r="B8582" s="109">
        <v>44250</v>
      </c>
      <c r="C8582" s="63">
        <v>131</v>
      </c>
      <c r="D8582" s="21">
        <f t="shared" si="713"/>
        <v>66542</v>
      </c>
      <c r="E8582" s="4">
        <v>6</v>
      </c>
      <c r="F8582" s="57">
        <f t="shared" si="718"/>
        <v>1431</v>
      </c>
      <c r="G8582" s="251">
        <f>SUM(C8582,C8558,C8534,C8510,C8486,C8462,C8438,C8414,C8390,C8366,C8342,C8318,C8294,C8270)/POBLA!$B$13*100000</f>
        <v>75.464569334454751</v>
      </c>
      <c r="H8582" s="252">
        <f t="shared" si="719"/>
        <v>0.8742724097788126</v>
      </c>
    </row>
    <row r="8583" spans="1:8" ht="15.75" thickBot="1" x14ac:dyDescent="0.3">
      <c r="A8583" s="105" t="s">
        <v>24</v>
      </c>
      <c r="B8583" s="109">
        <v>44250</v>
      </c>
      <c r="C8583" s="63">
        <v>110</v>
      </c>
      <c r="D8583" s="21">
        <f t="shared" si="713"/>
        <v>7719</v>
      </c>
      <c r="E8583" s="4">
        <v>1</v>
      </c>
      <c r="F8583" s="57">
        <f t="shared" si="718"/>
        <v>132</v>
      </c>
      <c r="G8583" s="251">
        <f>SUM(C8583,C8559,C8535,C8511,C8487,C8463,C8439,C8415,C8391,C8367,C8343,C8319,C8295,C8271)/POBLA!$B$14*100000</f>
        <v>119.24261908801597</v>
      </c>
      <c r="H8583" s="252">
        <f t="shared" si="719"/>
        <v>0.61791290057518489</v>
      </c>
    </row>
    <row r="8584" spans="1:8" ht="15.75" thickBot="1" x14ac:dyDescent="0.3">
      <c r="A8584" s="105" t="s">
        <v>20</v>
      </c>
      <c r="B8584" s="109">
        <v>44250</v>
      </c>
      <c r="C8584" s="63">
        <v>187</v>
      </c>
      <c r="D8584" s="21">
        <f t="shared" si="713"/>
        <v>60379</v>
      </c>
      <c r="E8584" s="4">
        <v>2</v>
      </c>
      <c r="F8584" s="57">
        <f t="shared" si="718"/>
        <v>893</v>
      </c>
      <c r="G8584" s="251">
        <f>SUM(C8584,C8560,C8536,C8512,C8488,C8464,C8440,C8416,C8392,C8368,C8344,C8320,C8296,C8272)/POBLA!$B$15*100000</f>
        <v>473.30274358978221</v>
      </c>
      <c r="H8584" s="252">
        <f t="shared" si="719"/>
        <v>0.60523782014249949</v>
      </c>
    </row>
    <row r="8585" spans="1:8" ht="15.75" thickBot="1" x14ac:dyDescent="0.3">
      <c r="A8585" s="105" t="s">
        <v>19</v>
      </c>
      <c r="B8585" s="109">
        <v>44250</v>
      </c>
      <c r="C8585" s="63">
        <v>170</v>
      </c>
      <c r="D8585" s="21">
        <f t="shared" si="713"/>
        <v>51743</v>
      </c>
      <c r="E8585" s="4">
        <v>9</v>
      </c>
      <c r="F8585" s="57">
        <f t="shared" si="718"/>
        <v>1166</v>
      </c>
      <c r="G8585" s="251">
        <f>SUM(C8585,C8561,C8537,C8513,C8489,C8465,C8441,C8417,C8393,C8369,C8345,C8321,C8297,C8273)/POBLA!$B$16*100000</f>
        <v>260.42990329182328</v>
      </c>
      <c r="H8585" s="252">
        <f t="shared" si="719"/>
        <v>0.61419558359621451</v>
      </c>
    </row>
    <row r="8586" spans="1:8" ht="15.75" thickBot="1" x14ac:dyDescent="0.3">
      <c r="A8586" s="105" t="s">
        <v>35</v>
      </c>
      <c r="B8586" s="109">
        <v>44250</v>
      </c>
      <c r="C8586" s="63">
        <v>98</v>
      </c>
      <c r="D8586" s="21">
        <f t="shared" si="713"/>
        <v>25577</v>
      </c>
      <c r="E8586" s="4">
        <v>5</v>
      </c>
      <c r="F8586" s="57">
        <f t="shared" si="718"/>
        <v>1085</v>
      </c>
      <c r="G8586" s="251">
        <f>SUM(C8586,C8562,C8538,C8514,C8490,C8466,C8442,C8418,C8394,C8370,C8346,C8322,C8298,C8274)/POBLA!$B$17*100000</f>
        <v>81.71879047765475</v>
      </c>
      <c r="H8586" s="252">
        <f t="shared" si="719"/>
        <v>1.318233295583239</v>
      </c>
    </row>
    <row r="8587" spans="1:8" ht="15.75" thickBot="1" x14ac:dyDescent="0.3">
      <c r="A8587" s="105" t="s">
        <v>36</v>
      </c>
      <c r="B8587" s="109">
        <v>44250</v>
      </c>
      <c r="C8587" s="63">
        <v>71</v>
      </c>
      <c r="D8587" s="21">
        <f t="shared" si="713"/>
        <v>15061</v>
      </c>
      <c r="E8587" s="4">
        <v>1</v>
      </c>
      <c r="F8587" s="57">
        <f t="shared" si="718"/>
        <v>207</v>
      </c>
      <c r="G8587" s="251">
        <f>SUM(C8587,C8563,C8539,C8515,C8491,C8467,C8443,C8419,C8395,C8371,C8347,C8323,C8299,C8275)/POBLA!$B$18*100000</f>
        <v>83.97154695814352</v>
      </c>
      <c r="H8587" s="252">
        <f t="shared" si="719"/>
        <v>0.93447293447293445</v>
      </c>
    </row>
    <row r="8588" spans="1:8" ht="15.75" thickBot="1" x14ac:dyDescent="0.3">
      <c r="A8588" s="105" t="s">
        <v>37</v>
      </c>
      <c r="B8588" s="109">
        <v>44250</v>
      </c>
      <c r="C8588" s="63">
        <v>11</v>
      </c>
      <c r="D8588" s="21">
        <f t="shared" si="713"/>
        <v>20553</v>
      </c>
      <c r="F8588" s="57">
        <f t="shared" si="718"/>
        <v>353</v>
      </c>
      <c r="G8588" s="251">
        <f>SUM(C8588,C8564,C8540,C8516,C8492,C8468,C8444,C8420,C8396,C8372,C8348,C8324,C8300,C8276)/POBLA!$B$19*100000</f>
        <v>282.10132040729604</v>
      </c>
      <c r="H8588" s="252">
        <f t="shared" si="719"/>
        <v>4.4672897196261685</v>
      </c>
    </row>
    <row r="8589" spans="1:8" ht="15.75" thickBot="1" x14ac:dyDescent="0.3">
      <c r="A8589" s="105" t="s">
        <v>38</v>
      </c>
      <c r="B8589" s="109">
        <v>44250</v>
      </c>
      <c r="C8589" s="63">
        <v>117</v>
      </c>
      <c r="D8589" s="21">
        <f t="shared" si="713"/>
        <v>35430</v>
      </c>
      <c r="E8589" s="4">
        <v>2</v>
      </c>
      <c r="F8589" s="57">
        <f t="shared" si="718"/>
        <v>569</v>
      </c>
      <c r="G8589" s="251">
        <f>SUM(C8589,C8565,C8541,C8517,C8493,C8469,C8445,C8421,C8397,C8373,C8349,C8325,C8301,C8277)/POBLA!$B$20*100000</f>
        <v>377.36055433718531</v>
      </c>
      <c r="H8589" s="252">
        <f t="shared" si="719"/>
        <v>0.62050359712230219</v>
      </c>
    </row>
    <row r="8590" spans="1:8" ht="15.75" thickBot="1" x14ac:dyDescent="0.3">
      <c r="A8590" s="105" t="s">
        <v>23</v>
      </c>
      <c r="B8590" s="109">
        <v>44250</v>
      </c>
      <c r="C8590" s="63">
        <v>394</v>
      </c>
      <c r="D8590" s="21">
        <f t="shared" si="713"/>
        <v>214782</v>
      </c>
      <c r="E8590" s="4">
        <v>17</v>
      </c>
      <c r="F8590" s="57">
        <f t="shared" si="718"/>
        <v>3868</v>
      </c>
      <c r="G8590" s="251">
        <f>SUM(C8590,C8566,C8542,C8518,C8494,C8470,C8446,C8422,C8398,C8374,C8350,C8326,C8302,C8278)/POBLA!$B$21*100000</f>
        <v>135.75883846310023</v>
      </c>
      <c r="H8590" s="252">
        <f t="shared" si="719"/>
        <v>0.67581644144144148</v>
      </c>
    </row>
    <row r="8591" spans="1:8" ht="15.75" thickBot="1" x14ac:dyDescent="0.3">
      <c r="A8591" s="105" t="s">
        <v>39</v>
      </c>
      <c r="B8591" s="109">
        <v>44250</v>
      </c>
      <c r="C8591" s="63">
        <v>58</v>
      </c>
      <c r="D8591" s="21">
        <f t="shared" si="713"/>
        <v>22275</v>
      </c>
      <c r="E8591" s="4">
        <v>1</v>
      </c>
      <c r="F8591" s="57">
        <f t="shared" si="718"/>
        <v>265</v>
      </c>
      <c r="G8591" s="251">
        <f>SUM(C8591,C8567,C8543,C8519,C8495,C8471,C8447,C8423,C8399,C8375,C8351,C8327,C8303,C8279)/POBLA!$B$22*100000</f>
        <v>74.924896224418973</v>
      </c>
      <c r="H8591" s="252">
        <f t="shared" si="719"/>
        <v>0.73965691220988905</v>
      </c>
    </row>
    <row r="8592" spans="1:8" ht="15.75" thickBot="1" x14ac:dyDescent="0.3">
      <c r="A8592" s="105" t="s">
        <v>40</v>
      </c>
      <c r="B8592" s="109">
        <v>44250</v>
      </c>
      <c r="C8592" s="63">
        <v>47</v>
      </c>
      <c r="D8592" s="21">
        <f t="shared" si="713"/>
        <v>22795</v>
      </c>
      <c r="F8592" s="57">
        <f t="shared" si="718"/>
        <v>349</v>
      </c>
      <c r="G8592" s="251">
        <f>SUM(C8592,C8568,C8544,C8520,C8496,C8472,C8448,C8424,C8400,C8376,C8352,C8328,C8304,C8280)/POBLA!$B$23*100000</f>
        <v>331.95724707346039</v>
      </c>
      <c r="H8592" s="252">
        <f t="shared" si="719"/>
        <v>0.92295597484276726</v>
      </c>
    </row>
    <row r="8593" spans="1:10" ht="15.75" thickBot="1" x14ac:dyDescent="0.3">
      <c r="A8593" s="107" t="s">
        <v>41</v>
      </c>
      <c r="B8593" s="103">
        <v>44250</v>
      </c>
      <c r="C8593" s="63">
        <v>138</v>
      </c>
      <c r="D8593" s="59">
        <f t="shared" si="713"/>
        <v>79055</v>
      </c>
      <c r="E8593" s="30">
        <v>2</v>
      </c>
      <c r="F8593" s="100">
        <f t="shared" si="718"/>
        <v>1466</v>
      </c>
      <c r="G8593" s="285">
        <f>SUM(C8593,C8569,C8545,C8521,C8497,C8473,C8449,C8425,C8401,C8377,C8353,C8329,C8305,C8281)/POBLA!$B$24*100000</f>
        <v>91.109936175837447</v>
      </c>
      <c r="H8593" s="264">
        <f t="shared" si="719"/>
        <v>0.81263157894736837</v>
      </c>
    </row>
    <row r="8594" spans="1:10" ht="15.75" thickBot="1" x14ac:dyDescent="0.3">
      <c r="A8594" s="45" t="s">
        <v>17</v>
      </c>
      <c r="B8594" s="32">
        <v>44251</v>
      </c>
      <c r="C8594" s="33">
        <v>3500</v>
      </c>
      <c r="D8594" s="97">
        <f t="shared" si="713"/>
        <v>870774</v>
      </c>
      <c r="E8594" s="33">
        <v>70</v>
      </c>
      <c r="F8594" s="250">
        <f t="shared" ref="F8594:F8600" si="720">E8594+F8570</f>
        <v>26142</v>
      </c>
      <c r="G8594" s="251">
        <f>SUM(C8594,C8570,C8546,C8522,C8498,C8474,C8450,C8426,C8402,C8378,C8354,C8330,C8306,C8282)/POBLA!$B$1*100000</f>
        <v>202.78042346276106</v>
      </c>
      <c r="H8594" s="230">
        <f t="shared" ref="H8594:H8600" si="721">SUM(C8594,C8570,C8546,C8522,C8498,C8474,C8450,C8426,C8402,C8378,C8354,C8330,C8306,C8282)/SUM(C8258,C8234,C8210,C8186,C8162,C8138,C8114,C8090,C8066,C8042,C8018,C7994,C7970,C7946)</f>
        <v>0.79384917535206556</v>
      </c>
      <c r="I8594" s="268"/>
      <c r="J8594" s="269"/>
    </row>
    <row r="8595" spans="1:10" ht="16.5" thickTop="1" thickBot="1" x14ac:dyDescent="0.3">
      <c r="A8595" s="105" t="s">
        <v>44</v>
      </c>
      <c r="B8595" s="19">
        <v>44251</v>
      </c>
      <c r="C8595" s="4">
        <v>1003</v>
      </c>
      <c r="D8595" s="21">
        <f t="shared" si="713"/>
        <v>229381</v>
      </c>
      <c r="E8595" s="4">
        <v>11</v>
      </c>
      <c r="F8595" s="57">
        <f t="shared" si="720"/>
        <v>6472</v>
      </c>
      <c r="G8595" s="238">
        <f>SUM(C8595,C8571,C8547,C8523,C8499,C8475,C8451,C8427,C8403,C8379,C8355,C8331,C8307,C8283)/POBLA!$B$2*100000</f>
        <v>315.8360877682282</v>
      </c>
      <c r="H8595" s="252">
        <f t="shared" si="721"/>
        <v>0.72368323027639125</v>
      </c>
      <c r="I8595" s="268"/>
      <c r="J8595" s="269"/>
    </row>
    <row r="8596" spans="1:10" ht="16.5" thickTop="1" thickBot="1" x14ac:dyDescent="0.3">
      <c r="A8596" s="105" t="s">
        <v>29</v>
      </c>
      <c r="B8596" s="19">
        <v>44251</v>
      </c>
      <c r="C8596" s="4">
        <v>74</v>
      </c>
      <c r="D8596" s="21">
        <f t="shared" si="713"/>
        <v>7512</v>
      </c>
      <c r="F8596" s="57">
        <f t="shared" si="720"/>
        <v>17</v>
      </c>
      <c r="G8596" s="238">
        <f>SUM(C8596,C8572,C8548,C8524,C8500,C8476,C8452,C8428,C8404,C8380,C8356,C8332,C8308,C8284)/POBLA!$B$3*100000</f>
        <v>252.98600513193304</v>
      </c>
      <c r="H8596" s="252">
        <f t="shared" si="721"/>
        <v>0.69741207697412078</v>
      </c>
      <c r="I8596" s="270"/>
      <c r="J8596" s="271"/>
    </row>
    <row r="8597" spans="1:10" ht="16.5" thickTop="1" thickBot="1" x14ac:dyDescent="0.3">
      <c r="A8597" s="105" t="s">
        <v>16</v>
      </c>
      <c r="B8597" s="19">
        <v>44251</v>
      </c>
      <c r="C8597" s="4">
        <v>156</v>
      </c>
      <c r="D8597" s="21">
        <f t="shared" si="713"/>
        <v>33677</v>
      </c>
      <c r="E8597" s="4">
        <v>3</v>
      </c>
      <c r="F8597" s="57">
        <f t="shared" si="720"/>
        <v>861</v>
      </c>
      <c r="G8597" s="238">
        <f>SUM(C8597,C8573,C8549,C8525,C8501,C8477,C8453,C8429,C8405,C8381,C8357,C8333,C8309,C8285)/POBLA!$B$4*100000</f>
        <v>136.40050442450695</v>
      </c>
      <c r="H8597" s="252">
        <f t="shared" si="721"/>
        <v>0.9022515101592532</v>
      </c>
      <c r="I8597" s="270"/>
      <c r="J8597" s="272"/>
    </row>
    <row r="8598" spans="1:10" ht="16.5" thickTop="1" thickBot="1" x14ac:dyDescent="0.3">
      <c r="A8598" s="105" t="s">
        <v>30</v>
      </c>
      <c r="B8598" s="19">
        <v>44251</v>
      </c>
      <c r="C8598" s="4">
        <v>186</v>
      </c>
      <c r="D8598" s="21">
        <f t="shared" si="713"/>
        <v>46592</v>
      </c>
      <c r="E8598" s="4">
        <v>3</v>
      </c>
      <c r="F8598" s="57">
        <f t="shared" si="720"/>
        <v>760</v>
      </c>
      <c r="G8598" s="238">
        <f>SUM(C8598,C8574,C8550,C8526,C8502,C8478,C8454,C8430,C8406,C8382,C8358,C8334,C8310,C8286)/POBLA!$B$5*100000</f>
        <v>327.46682520347531</v>
      </c>
      <c r="H8598" s="252">
        <f t="shared" si="721"/>
        <v>0.61610942249240119</v>
      </c>
      <c r="I8598" s="270"/>
      <c r="J8598" s="272"/>
    </row>
    <row r="8599" spans="1:10" ht="16.5" thickTop="1" thickBot="1" x14ac:dyDescent="0.3">
      <c r="A8599" s="105" t="s">
        <v>31</v>
      </c>
      <c r="B8599" s="19">
        <v>44251</v>
      </c>
      <c r="C8599" s="4">
        <v>127</v>
      </c>
      <c r="D8599" s="21">
        <f t="shared" si="713"/>
        <v>21308</v>
      </c>
      <c r="E8599" s="4">
        <v>3</v>
      </c>
      <c r="F8599" s="57">
        <f t="shared" si="720"/>
        <v>296</v>
      </c>
      <c r="G8599" s="238">
        <f>SUM(C8599,C8575,C8551,C8527,C8503,C8479,C8455,C8431,C8407,C8383,C8359,C8335,C8311,C8287)/POBLA!$B$7*100000</f>
        <v>59.168450584371556</v>
      </c>
      <c r="H8599" s="252">
        <f t="shared" si="721"/>
        <v>0.9982054733064154</v>
      </c>
      <c r="I8599" s="268"/>
      <c r="J8599" s="272"/>
    </row>
    <row r="8600" spans="1:10" ht="16.5" thickTop="1" thickBot="1" x14ac:dyDescent="0.3">
      <c r="A8600" s="105" t="s">
        <v>21</v>
      </c>
      <c r="B8600" s="19">
        <v>44251</v>
      </c>
      <c r="C8600" s="4">
        <v>716</v>
      </c>
      <c r="D8600" s="21">
        <f t="shared" si="713"/>
        <v>157519</v>
      </c>
      <c r="E8600" s="4">
        <v>5</v>
      </c>
      <c r="F8600" s="57">
        <f t="shared" si="720"/>
        <v>2814</v>
      </c>
      <c r="G8600" s="238">
        <f>SUM(C8600,C8576,C8552,C8528,C8504,C8480,C8456,C8432,C8408,C8384,C8360,C8336,C8312,C8288)/POBLA!$B$6*100000</f>
        <v>679.06791660607018</v>
      </c>
      <c r="H8600" s="252">
        <f t="shared" si="721"/>
        <v>1.1300668151447661</v>
      </c>
      <c r="I8600" s="268"/>
      <c r="J8600" s="269"/>
    </row>
    <row r="8601" spans="1:10" ht="16.5" thickTop="1" thickBot="1" x14ac:dyDescent="0.3">
      <c r="A8601" s="105" t="s">
        <v>32</v>
      </c>
      <c r="B8601" s="19">
        <v>44251</v>
      </c>
      <c r="C8601" s="4">
        <v>179</v>
      </c>
      <c r="D8601" s="21">
        <f t="shared" si="713"/>
        <v>44751</v>
      </c>
      <c r="E8601" s="4">
        <v>3</v>
      </c>
      <c r="F8601" s="57">
        <f t="shared" ref="F8601:F8617" si="722">E8601+F8577</f>
        <v>828</v>
      </c>
      <c r="G8601" s="238">
        <f>SUM(C8601,C8577,C8553,C8529,C8505,C8481,C8457,C8433,C8409,C8385,C8361,C8337,C8313,C8289)/POBLA!$B$8*100000</f>
        <v>127.27630864071934</v>
      </c>
      <c r="H8601" s="252">
        <f t="shared" ref="H8601:H8617" si="723">SUM(C8601,C8577,C8553,C8529,C8505,C8481,C8457,C8433,C8409,C8385,C8361,C8337,C8313,C8289)/SUM(C8265,C8241,C8217,C8193,C8169,C8145,C8121,C8097,C8073,C8049,C8025,C8001,C7977,C7953)</f>
        <v>0.59055908938734514</v>
      </c>
      <c r="I8601" s="270"/>
      <c r="J8601" s="272"/>
    </row>
    <row r="8602" spans="1:10" ht="16.5" thickTop="1" thickBot="1" x14ac:dyDescent="0.3">
      <c r="A8602" s="105" t="s">
        <v>42</v>
      </c>
      <c r="B8602" s="19">
        <v>44251</v>
      </c>
      <c r="C8602" s="4">
        <v>7</v>
      </c>
      <c r="D8602" s="21">
        <f t="shared" si="713"/>
        <v>1175</v>
      </c>
      <c r="E8602" s="4">
        <v>1</v>
      </c>
      <c r="F8602" s="57">
        <f t="shared" si="722"/>
        <v>19</v>
      </c>
      <c r="G8602" s="238">
        <f>SUM(C8602,C8578,C8554,C8530,C8506,C8482,C8458,C8434,C8410,C8386,C8362,C8338,C8314,C8290)/POBLA!$B$9*100000</f>
        <v>46.596705513778247</v>
      </c>
      <c r="H8602" s="252">
        <f t="shared" si="723"/>
        <v>4.3384615384615381</v>
      </c>
      <c r="I8602" s="273"/>
      <c r="J8602" s="271"/>
    </row>
    <row r="8603" spans="1:10" ht="16.5" thickTop="1" thickBot="1" x14ac:dyDescent="0.3">
      <c r="A8603" s="105" t="s">
        <v>33</v>
      </c>
      <c r="B8603" s="19">
        <v>44251</v>
      </c>
      <c r="C8603" s="4">
        <v>103</v>
      </c>
      <c r="D8603" s="21">
        <f t="shared" si="713"/>
        <v>20385</v>
      </c>
      <c r="E8603" s="4">
        <v>3</v>
      </c>
      <c r="F8603" s="57">
        <f t="shared" si="722"/>
        <v>904</v>
      </c>
      <c r="G8603" s="238">
        <f>SUM(C8603,C8579,C8555,C8531,C8507,C8483,C8459,C8435,C8411,C8387,C8363,C8339,C8315,C8291)/POBLA!$B$10*100000</f>
        <v>97.550724430878432</v>
      </c>
      <c r="H8603" s="252">
        <f t="shared" si="723"/>
        <v>1.7611241217798594</v>
      </c>
      <c r="I8603" s="273"/>
      <c r="J8603" s="272"/>
    </row>
    <row r="8604" spans="1:10" ht="16.5" thickTop="1" thickBot="1" x14ac:dyDescent="0.3">
      <c r="A8604" s="105" t="s">
        <v>34</v>
      </c>
      <c r="B8604" s="19">
        <v>44251</v>
      </c>
      <c r="C8604" s="4">
        <v>91</v>
      </c>
      <c r="D8604" s="21">
        <f t="shared" si="713"/>
        <v>18315</v>
      </c>
      <c r="F8604" s="57">
        <f t="shared" si="722"/>
        <v>284</v>
      </c>
      <c r="G8604" s="238">
        <f>SUM(C8604,C8580,C8556,C8532,C8508,C8484,C8460,C8436,C8412,C8388,C8364,C8340,C8316,C8292)/POBLA!$B$11*100000</f>
        <v>268.39421027375096</v>
      </c>
      <c r="H8604" s="252">
        <f t="shared" si="723"/>
        <v>0.78021086780210869</v>
      </c>
      <c r="I8604" s="273"/>
      <c r="J8604" s="272"/>
    </row>
    <row r="8605" spans="1:10" ht="16.5" thickTop="1" thickBot="1" x14ac:dyDescent="0.3">
      <c r="A8605" s="105" t="s">
        <v>22</v>
      </c>
      <c r="B8605" s="19">
        <v>44251</v>
      </c>
      <c r="C8605" s="4">
        <v>55</v>
      </c>
      <c r="D8605" s="21">
        <f t="shared" si="713"/>
        <v>10125</v>
      </c>
      <c r="F8605" s="57">
        <f t="shared" si="722"/>
        <v>435</v>
      </c>
      <c r="G8605" s="238">
        <f>SUM(C8605,C8581,C8557,C8533,C8509,C8485,C8461,C8437,C8413,C8389,C8365,C8341,C8317,C8293)/POBLA!$B$12*100000</f>
        <v>99.865067809143369</v>
      </c>
      <c r="H8605" s="252">
        <f t="shared" si="723"/>
        <v>1.610655737704918</v>
      </c>
      <c r="I8605" s="273"/>
      <c r="J8605" s="272"/>
    </row>
    <row r="8606" spans="1:10" ht="16.5" thickTop="1" thickBot="1" x14ac:dyDescent="0.3">
      <c r="A8606" s="105" t="s">
        <v>18</v>
      </c>
      <c r="B8606" s="19">
        <v>44251</v>
      </c>
      <c r="C8606" s="4">
        <v>165</v>
      </c>
      <c r="D8606" s="21">
        <f t="shared" si="713"/>
        <v>66707</v>
      </c>
      <c r="E8606" s="4">
        <v>4</v>
      </c>
      <c r="F8606" s="57">
        <f t="shared" si="722"/>
        <v>1435</v>
      </c>
      <c r="G8606" s="238">
        <f>SUM(C8606,C8582,C8558,C8534,C8510,C8486,C8462,C8438,C8414,C8390,C8366,C8342,C8318,C8294)/POBLA!$B$13*100000</f>
        <v>74.359229437412139</v>
      </c>
      <c r="H8606" s="252">
        <f t="shared" si="723"/>
        <v>0.84282460136674264</v>
      </c>
      <c r="I8606" s="268"/>
      <c r="J8606" s="269"/>
    </row>
    <row r="8607" spans="1:10" ht="16.5" thickTop="1" thickBot="1" x14ac:dyDescent="0.3">
      <c r="A8607" s="105" t="s">
        <v>24</v>
      </c>
      <c r="B8607" s="19">
        <v>44251</v>
      </c>
      <c r="C8607" s="4">
        <v>114</v>
      </c>
      <c r="D8607" s="21">
        <f t="shared" si="713"/>
        <v>7833</v>
      </c>
      <c r="E8607" s="4">
        <v>2</v>
      </c>
      <c r="F8607" s="57">
        <f t="shared" si="722"/>
        <v>134</v>
      </c>
      <c r="G8607" s="238">
        <f>SUM(C8607,C8583,C8559,C8535,C8511,C8487,C8463,C8439,C8415,C8391,C8367,C8343,C8319,C8295)/POBLA!$B$14*100000</f>
        <v>122.09683071512272</v>
      </c>
      <c r="H8607" s="252">
        <f t="shared" si="723"/>
        <v>0.67811536767943636</v>
      </c>
      <c r="I8607" s="273"/>
      <c r="J8607" s="271"/>
    </row>
    <row r="8608" spans="1:10" ht="16.5" thickTop="1" thickBot="1" x14ac:dyDescent="0.3">
      <c r="A8608" s="105" t="s">
        <v>20</v>
      </c>
      <c r="B8608" s="19">
        <v>44251</v>
      </c>
      <c r="C8608" s="4">
        <v>261</v>
      </c>
      <c r="D8608" s="21">
        <f t="shared" si="713"/>
        <v>60640</v>
      </c>
      <c r="F8608" s="57">
        <f t="shared" si="722"/>
        <v>893</v>
      </c>
      <c r="G8608" s="238">
        <f>SUM(C8608,C8584,C8560,C8536,C8512,C8488,C8464,C8440,C8416,C8392,C8368,C8344,C8320,C8296)/POBLA!$B$15*100000</f>
        <v>454.47905827361205</v>
      </c>
      <c r="H8608" s="252">
        <f t="shared" si="723"/>
        <v>0.59869073596508626</v>
      </c>
      <c r="I8608" s="268"/>
      <c r="J8608" s="269"/>
    </row>
    <row r="8609" spans="1:10" ht="16.5" thickTop="1" thickBot="1" x14ac:dyDescent="0.3">
      <c r="A8609" s="105" t="s">
        <v>19</v>
      </c>
      <c r="B8609" s="19">
        <v>44251</v>
      </c>
      <c r="C8609" s="4">
        <v>166</v>
      </c>
      <c r="D8609" s="21">
        <f t="shared" si="713"/>
        <v>51909</v>
      </c>
      <c r="E8609" s="4">
        <v>4</v>
      </c>
      <c r="F8609" s="57">
        <f t="shared" si="722"/>
        <v>1170</v>
      </c>
      <c r="G8609" s="238">
        <f>SUM(C8609,C8585,C8561,C8537,C8513,C8489,C8465,C8441,C8417,C8393,C8369,C8345,C8321,C8297)/POBLA!$B$16*100000</f>
        <v>253.07312636267571</v>
      </c>
      <c r="H8609" s="252">
        <f t="shared" si="723"/>
        <v>0.62524785194976862</v>
      </c>
      <c r="I8609" s="273"/>
      <c r="J8609" s="269"/>
    </row>
    <row r="8610" spans="1:10" ht="16.5" thickTop="1" thickBot="1" x14ac:dyDescent="0.3">
      <c r="A8610" s="105" t="s">
        <v>35</v>
      </c>
      <c r="B8610" s="19">
        <v>44251</v>
      </c>
      <c r="C8610" s="4">
        <v>163</v>
      </c>
      <c r="D8610" s="21">
        <f t="shared" si="713"/>
        <v>25740</v>
      </c>
      <c r="E8610" s="4">
        <v>3</v>
      </c>
      <c r="F8610" s="57">
        <f t="shared" si="722"/>
        <v>1088</v>
      </c>
      <c r="G8610" s="238">
        <f>SUM(C8610,C8586,C8562,C8538,C8514,C8490,C8466,C8442,C8418,C8394,C8370,C8346,C8322,C8298)/POBLA!$B$17*100000</f>
        <v>86.141714704538131</v>
      </c>
      <c r="H8610" s="252">
        <f t="shared" si="723"/>
        <v>1.3366013071895424</v>
      </c>
      <c r="I8610" s="270"/>
      <c r="J8610" s="272"/>
    </row>
    <row r="8611" spans="1:10" ht="16.5" thickTop="1" thickBot="1" x14ac:dyDescent="0.3">
      <c r="A8611" s="105" t="s">
        <v>36</v>
      </c>
      <c r="B8611" s="19">
        <v>44251</v>
      </c>
      <c r="C8611" s="4">
        <v>80</v>
      </c>
      <c r="D8611" s="21">
        <f t="shared" ref="D8611:D8641" si="724">C8611+D8587</f>
        <v>15141</v>
      </c>
      <c r="F8611" s="57">
        <f t="shared" si="722"/>
        <v>207</v>
      </c>
      <c r="G8611" s="238">
        <f>SUM(C8611,C8587,C8563,C8539,C8515,C8491,C8467,C8443,C8419,C8395,C8371,C8347,C8323,C8299)/POBLA!$B$18*100000</f>
        <v>87.555698352698414</v>
      </c>
      <c r="H8611" s="252">
        <f t="shared" si="723"/>
        <v>0.98275862068965514</v>
      </c>
      <c r="I8611" s="273"/>
      <c r="J8611" s="272"/>
    </row>
    <row r="8612" spans="1:10" ht="16.5" thickTop="1" thickBot="1" x14ac:dyDescent="0.3">
      <c r="A8612" s="105" t="s">
        <v>37</v>
      </c>
      <c r="B8612" s="19">
        <v>44251</v>
      </c>
      <c r="C8612" s="4">
        <v>32</v>
      </c>
      <c r="D8612" s="21">
        <f t="shared" si="724"/>
        <v>20585</v>
      </c>
      <c r="F8612" s="57">
        <f t="shared" si="722"/>
        <v>353</v>
      </c>
      <c r="G8612" s="238">
        <f>SUM(C8612,C8588,C8564,C8540,C8516,C8492,C8468,C8444,C8420,C8396,C8372,C8348,C8324,C8300)/POBLA!$B$19*100000</f>
        <v>287.41285154467192</v>
      </c>
      <c r="H8612" s="252">
        <f t="shared" si="723"/>
        <v>5.963265306122449</v>
      </c>
      <c r="I8612" s="273"/>
      <c r="J8612" s="272"/>
    </row>
    <row r="8613" spans="1:10" ht="16.5" thickTop="1" thickBot="1" x14ac:dyDescent="0.3">
      <c r="A8613" s="105" t="s">
        <v>38</v>
      </c>
      <c r="B8613" s="19">
        <v>44251</v>
      </c>
      <c r="C8613" s="4">
        <v>201</v>
      </c>
      <c r="D8613" s="21">
        <f t="shared" si="724"/>
        <v>35631</v>
      </c>
      <c r="E8613" s="4">
        <v>1</v>
      </c>
      <c r="F8613" s="57">
        <f t="shared" si="722"/>
        <v>570</v>
      </c>
      <c r="G8613" s="238">
        <f>SUM(C8613,C8589,C8565,C8541,C8517,C8493,C8469,C8445,C8421,C8397,C8373,C8349,C8325,C8301)/POBLA!$B$20*100000</f>
        <v>397.59583043932423</v>
      </c>
      <c r="H8613" s="252">
        <f t="shared" si="723"/>
        <v>0.66575091575091572</v>
      </c>
      <c r="I8613" s="270"/>
      <c r="J8613" s="272"/>
    </row>
    <row r="8614" spans="1:10" ht="16.5" thickTop="1" thickBot="1" x14ac:dyDescent="0.3">
      <c r="A8614" s="105" t="s">
        <v>23</v>
      </c>
      <c r="B8614" s="19">
        <v>44251</v>
      </c>
      <c r="C8614" s="4">
        <v>482</v>
      </c>
      <c r="D8614" s="21">
        <f t="shared" si="724"/>
        <v>215264</v>
      </c>
      <c r="E8614" s="4">
        <v>19</v>
      </c>
      <c r="F8614" s="57">
        <f t="shared" si="722"/>
        <v>3887</v>
      </c>
      <c r="G8614" s="238">
        <f>SUM(C8614,C8590,C8566,C8542,C8518,C8494,C8470,C8446,C8422,C8398,C8374,C8350,C8326,C8302)/POBLA!$B$21*100000</f>
        <v>134.31670124968261</v>
      </c>
      <c r="H8614" s="252">
        <f t="shared" si="723"/>
        <v>0.70758230299419034</v>
      </c>
      <c r="I8614" s="268"/>
      <c r="J8614" s="269"/>
    </row>
    <row r="8615" spans="1:10" ht="16.5" thickTop="1" thickBot="1" x14ac:dyDescent="0.3">
      <c r="A8615" s="105" t="s">
        <v>39</v>
      </c>
      <c r="B8615" s="19">
        <v>44251</v>
      </c>
      <c r="C8615" s="4">
        <v>65</v>
      </c>
      <c r="D8615" s="21">
        <f t="shared" si="724"/>
        <v>22340</v>
      </c>
      <c r="F8615" s="57">
        <f t="shared" si="722"/>
        <v>265</v>
      </c>
      <c r="G8615" s="238">
        <f>SUM(C8615,C8591,C8567,C8543,C8519,C8495,C8471,C8447,C8423,C8399,C8375,C8351,C8327,C8303)/POBLA!$B$22*100000</f>
        <v>72.26726006911899</v>
      </c>
      <c r="H8615" s="252">
        <f t="shared" si="723"/>
        <v>0.72069317023445467</v>
      </c>
      <c r="I8615" s="273"/>
      <c r="J8615" s="272"/>
    </row>
    <row r="8616" spans="1:10" ht="16.5" thickTop="1" thickBot="1" x14ac:dyDescent="0.3">
      <c r="A8616" s="105" t="s">
        <v>40</v>
      </c>
      <c r="B8616" s="19">
        <v>44251</v>
      </c>
      <c r="C8616" s="4">
        <v>38</v>
      </c>
      <c r="D8616" s="21">
        <f t="shared" si="724"/>
        <v>22833</v>
      </c>
      <c r="E8616" s="4">
        <v>1</v>
      </c>
      <c r="F8616" s="57">
        <f t="shared" si="722"/>
        <v>350</v>
      </c>
      <c r="G8616" s="238">
        <f>SUM(C8616,C8592,C8568,C8544,C8520,C8496,C8472,C8448,C8424,C8400,C8376,C8352,C8328,C8304)/POBLA!$B$23*100000</f>
        <v>291.2401741785896</v>
      </c>
      <c r="H8616" s="252">
        <f t="shared" si="723"/>
        <v>0.77912254160363081</v>
      </c>
      <c r="I8616" s="273"/>
      <c r="J8616" s="272"/>
    </row>
    <row r="8617" spans="1:10" ht="16.5" thickTop="1" thickBot="1" x14ac:dyDescent="0.3">
      <c r="A8617" s="106" t="s">
        <v>41</v>
      </c>
      <c r="B8617" s="36">
        <v>44251</v>
      </c>
      <c r="C8617" s="30">
        <v>219</v>
      </c>
      <c r="D8617" s="98">
        <f t="shared" si="724"/>
        <v>79274</v>
      </c>
      <c r="E8617" s="37">
        <v>5</v>
      </c>
      <c r="F8617" s="255">
        <f t="shared" si="722"/>
        <v>1471</v>
      </c>
      <c r="G8617" s="256">
        <f>SUM(C8617,C8593,C8569,C8545,C8521,C8497,C8473,C8449,C8425,C8401,C8377,C8353,C8329,C8305)/POBLA!$B$24*100000</f>
        <v>97.659938064126294</v>
      </c>
      <c r="H8617" s="257">
        <f t="shared" si="723"/>
        <v>0.96165020337013363</v>
      </c>
      <c r="I8617" s="270"/>
      <c r="J8617" s="269"/>
    </row>
    <row r="8618" spans="1:10" x14ac:dyDescent="0.25">
      <c r="A8618" s="45" t="s">
        <v>17</v>
      </c>
      <c r="B8618" s="102">
        <v>44252</v>
      </c>
      <c r="C8618" s="4">
        <v>3254</v>
      </c>
      <c r="D8618" s="97">
        <f t="shared" si="724"/>
        <v>874028</v>
      </c>
      <c r="E8618" s="31">
        <v>32</v>
      </c>
      <c r="F8618" s="250">
        <f t="shared" ref="F8618:F8624" si="725">E8618+F8594</f>
        <v>26174</v>
      </c>
      <c r="G8618" s="251">
        <f>SUM(C8618,C8594,C8570,C8546,C8522,C8498,C8474,C8450,C8426,C8402,C8378,C8354,C8330,C8306)/POBLA!$B$1*100000</f>
        <v>203.3733153390649</v>
      </c>
      <c r="H8618" s="230">
        <f t="shared" ref="H8618:H8624" si="726">SUM(C8618,C8594,C8570,C8546,C8522,C8498,C8474,C8450,C8426,C8402,C8378,C8354,C8330,C8306)/SUM(C8282,C8258,C8234,C8210,C8186,C8162,C8138,C8114,C8090,C8066,C8042,C8018,C7994,C7970)</f>
        <v>0.81480973916221278</v>
      </c>
    </row>
    <row r="8619" spans="1:10" x14ac:dyDescent="0.25">
      <c r="A8619" s="105" t="s">
        <v>44</v>
      </c>
      <c r="B8619" s="102">
        <v>44252</v>
      </c>
      <c r="C8619" s="4">
        <v>884</v>
      </c>
      <c r="D8619" s="21">
        <f t="shared" si="724"/>
        <v>230265</v>
      </c>
      <c r="E8619" s="4">
        <v>12</v>
      </c>
      <c r="F8619" s="57">
        <f t="shared" si="725"/>
        <v>6484</v>
      </c>
      <c r="G8619" s="238">
        <f>SUM(C8619,C8595,C8571,C8547,C8523,C8499,C8475,C8451,C8427,C8403,C8379,C8355,C8331,C8307)/POBLA!$B$2*100000</f>
        <v>319.67268014589456</v>
      </c>
      <c r="H8619" s="252">
        <f t="shared" si="726"/>
        <v>0.7512224938875306</v>
      </c>
    </row>
    <row r="8620" spans="1:10" x14ac:dyDescent="0.25">
      <c r="A8620" s="105" t="s">
        <v>29</v>
      </c>
      <c r="B8620" s="102">
        <v>44252</v>
      </c>
      <c r="C8620" s="4">
        <v>127</v>
      </c>
      <c r="D8620" s="21">
        <f t="shared" si="724"/>
        <v>7639</v>
      </c>
      <c r="F8620" s="57">
        <f t="shared" si="725"/>
        <v>17</v>
      </c>
      <c r="G8620" s="238">
        <f>SUM(C8620,C8596,C8572,C8548,C8524,C8500,C8476,C8452,C8428,C8404,C8380,C8356,C8332,C8308)/POBLA!$B$3*100000</f>
        <v>259.48516986890945</v>
      </c>
      <c r="H8620" s="252">
        <f t="shared" si="726"/>
        <v>0.70874424720578566</v>
      </c>
    </row>
    <row r="8621" spans="1:10" x14ac:dyDescent="0.25">
      <c r="A8621" s="105" t="s">
        <v>16</v>
      </c>
      <c r="B8621" s="102">
        <v>44252</v>
      </c>
      <c r="C8621" s="4">
        <v>174</v>
      </c>
      <c r="D8621" s="21">
        <f t="shared" si="724"/>
        <v>33851</v>
      </c>
      <c r="E8621" s="4">
        <v>1</v>
      </c>
      <c r="F8621" s="57">
        <f t="shared" si="725"/>
        <v>862</v>
      </c>
      <c r="G8621" s="238">
        <f>SUM(C8621,C8597,C8573,C8549,C8525,C8501,C8477,C8453,C8429,C8405,C8381,C8357,C8333,C8309)/POBLA!$B$4*100000</f>
        <v>139.38919472230501</v>
      </c>
      <c r="H8621" s="252">
        <f t="shared" si="726"/>
        <v>0.92151481888035125</v>
      </c>
    </row>
    <row r="8622" spans="1:10" x14ac:dyDescent="0.25">
      <c r="A8622" s="105" t="s">
        <v>30</v>
      </c>
      <c r="B8622" s="102">
        <v>44252</v>
      </c>
      <c r="C8622" s="4">
        <v>142</v>
      </c>
      <c r="D8622" s="21">
        <f t="shared" si="724"/>
        <v>46734</v>
      </c>
      <c r="E8622" s="4">
        <v>8</v>
      </c>
      <c r="F8622" s="57">
        <f t="shared" si="725"/>
        <v>768</v>
      </c>
      <c r="G8622" s="238">
        <f>SUM(C8622,C8598,C8574,C8550,C8526,C8502,C8478,C8454,C8430,C8406,C8382,C8358,C8334,C8310)/POBLA!$B$5*100000</f>
        <v>311.63468466576415</v>
      </c>
      <c r="H8622" s="252">
        <f t="shared" si="726"/>
        <v>0.60018668326073432</v>
      </c>
    </row>
    <row r="8623" spans="1:10" x14ac:dyDescent="0.25">
      <c r="A8623" s="105" t="s">
        <v>31</v>
      </c>
      <c r="B8623" s="102">
        <v>44252</v>
      </c>
      <c r="C8623" s="4">
        <v>95</v>
      </c>
      <c r="D8623" s="21">
        <f t="shared" si="724"/>
        <v>21403</v>
      </c>
      <c r="F8623" s="57">
        <f t="shared" si="725"/>
        <v>296</v>
      </c>
      <c r="G8623" s="238">
        <f>SUM(C8623,C8599,C8575,C8551,C8527,C8503,C8479,C8455,C8431,C8407,C8383,C8359,C8335,C8311)/POBLA!$B$7*100000</f>
        <v>59.859857197941736</v>
      </c>
      <c r="H8623" s="252">
        <f t="shared" si="726"/>
        <v>1.0278538812785387</v>
      </c>
    </row>
    <row r="8624" spans="1:10" x14ac:dyDescent="0.25">
      <c r="A8624" s="105" t="s">
        <v>21</v>
      </c>
      <c r="B8624" s="102">
        <v>44252</v>
      </c>
      <c r="C8624" s="4">
        <v>1076</v>
      </c>
      <c r="D8624" s="21">
        <f t="shared" si="724"/>
        <v>158595</v>
      </c>
      <c r="E8624" s="4">
        <v>10</v>
      </c>
      <c r="F8624" s="57">
        <f t="shared" si="725"/>
        <v>2824</v>
      </c>
      <c r="G8624" s="238">
        <f>SUM(C8624,C8600,C8576,C8552,C8528,C8504,C8480,C8456,C8432,C8408,C8384,C8360,C8336,C8312)/POBLA!$B$6*100000</f>
        <v>716.54111657644842</v>
      </c>
      <c r="H8624" s="252">
        <f t="shared" si="726"/>
        <v>1.1963354684939669</v>
      </c>
    </row>
    <row r="8625" spans="1:8" x14ac:dyDescent="0.25">
      <c r="A8625" s="105" t="s">
        <v>32</v>
      </c>
      <c r="B8625" s="102">
        <v>44252</v>
      </c>
      <c r="C8625" s="4">
        <v>160</v>
      </c>
      <c r="D8625" s="21">
        <f t="shared" si="724"/>
        <v>44911</v>
      </c>
      <c r="E8625" s="4">
        <v>6</v>
      </c>
      <c r="F8625" s="57">
        <f t="shared" ref="F8625:F8641" si="727">E8625+F8601</f>
        <v>834</v>
      </c>
      <c r="G8625" s="238">
        <f>SUM(C8625,C8601,C8577,C8553,C8529,C8505,C8481,C8457,C8433,C8409,C8385,C8361,C8337,C8313)/POBLA!$B$8*100000</f>
        <v>126.91554812869914</v>
      </c>
      <c r="H8625" s="252">
        <f t="shared" ref="H8625:H8641" si="728">SUM(C8625,C8601,C8577,C8553,C8529,C8505,C8481,C8457,C8433,C8409,C8385,C8361,C8337,C8313)/SUM(C8289,C8265,C8241,C8217,C8193,C8169,C8145,C8121,C8097,C8073,C8049,C8025,C8001,C7977)</f>
        <v>0.62023977433004229</v>
      </c>
    </row>
    <row r="8626" spans="1:8" x14ac:dyDescent="0.25">
      <c r="A8626" s="105" t="s">
        <v>42</v>
      </c>
      <c r="B8626" s="102">
        <v>44252</v>
      </c>
      <c r="C8626" s="4">
        <v>10</v>
      </c>
      <c r="D8626" s="21">
        <f t="shared" si="724"/>
        <v>1185</v>
      </c>
      <c r="F8626" s="57">
        <f t="shared" si="727"/>
        <v>19</v>
      </c>
      <c r="G8626" s="238">
        <f>SUM(C8626,C8602,C8578,C8554,C8530,C8506,C8482,C8458,C8434,C8410,C8386,C8362,C8338,C8314)/POBLA!$B$9*100000</f>
        <v>45.10957661440235</v>
      </c>
      <c r="H8626" s="252">
        <f t="shared" si="728"/>
        <v>3.4556962025316458</v>
      </c>
    </row>
    <row r="8627" spans="1:8" x14ac:dyDescent="0.25">
      <c r="A8627" s="105" t="s">
        <v>33</v>
      </c>
      <c r="B8627" s="102">
        <v>44252</v>
      </c>
      <c r="C8627" s="4">
        <v>106</v>
      </c>
      <c r="D8627" s="21">
        <f t="shared" si="724"/>
        <v>20491</v>
      </c>
      <c r="F8627" s="57">
        <f t="shared" si="727"/>
        <v>904</v>
      </c>
      <c r="G8627" s="238">
        <f>SUM(C8627,C8603,C8579,C8555,C8531,C8507,C8483,C8459,C8435,C8411,C8387,C8363,C8339,C8315)/POBLA!$B$10*100000</f>
        <v>107.79873936444147</v>
      </c>
      <c r="H8627" s="252">
        <f t="shared" si="728"/>
        <v>2.0072463768115942</v>
      </c>
    </row>
    <row r="8628" spans="1:8" x14ac:dyDescent="0.25">
      <c r="A8628" s="105" t="s">
        <v>34</v>
      </c>
      <c r="B8628" s="102">
        <v>44252</v>
      </c>
      <c r="C8628" s="4">
        <v>222</v>
      </c>
      <c r="D8628" s="21">
        <f t="shared" si="724"/>
        <v>18537</v>
      </c>
      <c r="E8628" s="4">
        <v>1</v>
      </c>
      <c r="F8628" s="57">
        <f t="shared" si="727"/>
        <v>285</v>
      </c>
      <c r="G8628" s="238">
        <f>SUM(C8628,C8604,C8580,C8556,C8532,C8508,C8484,C8460,C8436,C8412,C8388,C8364,C8340,C8316)/POBLA!$B$11*100000</f>
        <v>296.29381633131339</v>
      </c>
      <c r="H8628" s="252">
        <f t="shared" si="728"/>
        <v>0.85852869846402591</v>
      </c>
    </row>
    <row r="8629" spans="1:8" x14ac:dyDescent="0.25">
      <c r="A8629" s="105" t="s">
        <v>22</v>
      </c>
      <c r="B8629" s="102">
        <v>44252</v>
      </c>
      <c r="C8629" s="4">
        <v>23</v>
      </c>
      <c r="D8629" s="21">
        <f t="shared" si="724"/>
        <v>10148</v>
      </c>
      <c r="F8629" s="57">
        <f t="shared" si="727"/>
        <v>435</v>
      </c>
      <c r="G8629" s="238">
        <f>SUM(C8629,C8605,C8581,C8557,C8533,C8509,C8485,C8461,C8437,C8413,C8389,C8365,C8341,C8317)/POBLA!$B$12*100000</f>
        <v>99.865067809143369</v>
      </c>
      <c r="H8629" s="252">
        <f t="shared" si="728"/>
        <v>1.5291828793774318</v>
      </c>
    </row>
    <row r="8630" spans="1:8" x14ac:dyDescent="0.25">
      <c r="A8630" s="105" t="s">
        <v>18</v>
      </c>
      <c r="B8630" s="102">
        <v>44252</v>
      </c>
      <c r="C8630" s="4">
        <v>220</v>
      </c>
      <c r="D8630" s="21">
        <f t="shared" si="724"/>
        <v>66927</v>
      </c>
      <c r="E8630" s="4">
        <v>11</v>
      </c>
      <c r="F8630" s="57">
        <f t="shared" si="727"/>
        <v>1446</v>
      </c>
      <c r="G8630" s="238">
        <f>SUM(C8630,C8606,C8582,C8558,C8534,C8510,C8486,C8462,C8438,C8414,C8390,C8366,C8342,C8318)/POBLA!$B$13*100000</f>
        <v>77.976705464097051</v>
      </c>
      <c r="H8630" s="252">
        <f t="shared" si="728"/>
        <v>0.86078757626178592</v>
      </c>
    </row>
    <row r="8631" spans="1:8" x14ac:dyDescent="0.25">
      <c r="A8631" s="105" t="s">
        <v>24</v>
      </c>
      <c r="B8631" s="102">
        <v>44252</v>
      </c>
      <c r="C8631" s="4">
        <v>127</v>
      </c>
      <c r="D8631" s="21">
        <f t="shared" si="724"/>
        <v>7960</v>
      </c>
      <c r="E8631" s="4">
        <v>4</v>
      </c>
      <c r="F8631" s="57">
        <f t="shared" si="727"/>
        <v>138</v>
      </c>
      <c r="G8631" s="238">
        <f>SUM(C8631,C8607,C8583,C8559,C8535,C8511,C8487,C8463,C8439,C8415,C8391,C8367,C8343,C8319)/POBLA!$B$14*100000</f>
        <v>122.49324899666534</v>
      </c>
      <c r="H8631" s="252">
        <f t="shared" si="728"/>
        <v>0.68272205037560763</v>
      </c>
    </row>
    <row r="8632" spans="1:8" x14ac:dyDescent="0.25">
      <c r="A8632" s="105" t="s">
        <v>20</v>
      </c>
      <c r="B8632" s="102">
        <v>44252</v>
      </c>
      <c r="C8632" s="4">
        <v>201</v>
      </c>
      <c r="D8632" s="21">
        <f t="shared" si="724"/>
        <v>60841</v>
      </c>
      <c r="E8632" s="4">
        <v>1</v>
      </c>
      <c r="F8632" s="57">
        <f t="shared" si="727"/>
        <v>894</v>
      </c>
      <c r="G8632" s="238">
        <f>SUM(C8632,C8608,C8584,C8560,C8536,C8512,C8488,C8464,C8440,C8416,C8392,C8368,C8344,C8320)/POBLA!$B$15*100000</f>
        <v>437.16126778273554</v>
      </c>
      <c r="H8632" s="252">
        <f t="shared" si="728"/>
        <v>0.59317531671434409</v>
      </c>
    </row>
    <row r="8633" spans="1:8" x14ac:dyDescent="0.25">
      <c r="A8633" s="105" t="s">
        <v>19</v>
      </c>
      <c r="B8633" s="102">
        <v>44252</v>
      </c>
      <c r="C8633" s="4">
        <v>130</v>
      </c>
      <c r="D8633" s="21">
        <f t="shared" si="724"/>
        <v>52039</v>
      </c>
      <c r="E8633" s="4">
        <v>5</v>
      </c>
      <c r="F8633" s="57">
        <f t="shared" si="727"/>
        <v>1175</v>
      </c>
      <c r="G8633" s="238">
        <f>SUM(C8633,C8609,C8585,C8561,C8537,C8513,C8489,C8465,C8441,C8417,C8393,C8369,C8345,C8321)/POBLA!$B$16*100000</f>
        <v>240.63348537338987</v>
      </c>
      <c r="H8633" s="252">
        <f t="shared" si="728"/>
        <v>0.6123213070115725</v>
      </c>
    </row>
    <row r="8634" spans="1:8" x14ac:dyDescent="0.25">
      <c r="A8634" s="105" t="s">
        <v>35</v>
      </c>
      <c r="B8634" s="102">
        <v>44252</v>
      </c>
      <c r="C8634" s="4">
        <v>139</v>
      </c>
      <c r="D8634" s="21">
        <f t="shared" si="724"/>
        <v>25879</v>
      </c>
      <c r="E8634" s="4">
        <v>4</v>
      </c>
      <c r="F8634" s="57">
        <f t="shared" si="727"/>
        <v>1092</v>
      </c>
      <c r="G8634" s="238">
        <f>SUM(C8634,C8610,C8586,C8562,C8538,C8514,C8490,C8466,C8442,C8418,C8394,C8370,C8346,C8322)/POBLA!$B$17*100000</f>
        <v>89.160536002252186</v>
      </c>
      <c r="H8634" s="252">
        <f t="shared" si="728"/>
        <v>1.3670613562970937</v>
      </c>
    </row>
    <row r="8635" spans="1:8" x14ac:dyDescent="0.25">
      <c r="A8635" s="105" t="s">
        <v>36</v>
      </c>
      <c r="B8635" s="102">
        <v>44252</v>
      </c>
      <c r="C8635" s="4">
        <v>51</v>
      </c>
      <c r="D8635" s="21">
        <f t="shared" si="724"/>
        <v>15192</v>
      </c>
      <c r="F8635" s="57">
        <f t="shared" si="727"/>
        <v>207</v>
      </c>
      <c r="G8635" s="238">
        <f>SUM(C8635,C8611,C8587,C8563,C8539,C8515,C8491,C8467,C8443,C8419,C8395,C8371,C8347,C8323)/POBLA!$B$18*100000</f>
        <v>83.843541551195131</v>
      </c>
      <c r="H8635" s="252">
        <f t="shared" si="728"/>
        <v>0.9330484330484331</v>
      </c>
    </row>
    <row r="8636" spans="1:8" x14ac:dyDescent="0.25">
      <c r="A8636" s="105" t="s">
        <v>37</v>
      </c>
      <c r="B8636" s="102">
        <v>44252</v>
      </c>
      <c r="C8636" s="4">
        <v>168</v>
      </c>
      <c r="D8636" s="21">
        <f t="shared" si="724"/>
        <v>20753</v>
      </c>
      <c r="F8636" s="57">
        <f t="shared" si="727"/>
        <v>353</v>
      </c>
      <c r="G8636" s="238">
        <f>SUM(C8636,C8612,C8588,C8564,C8540,C8516,C8492,C8468,C8444,C8420,C8396,C8372,C8348,C8324)/POBLA!$B$19*100000</f>
        <v>316.33118773705166</v>
      </c>
      <c r="H8636" s="252">
        <f t="shared" si="728"/>
        <v>8.1212121212121211</v>
      </c>
    </row>
    <row r="8637" spans="1:8" x14ac:dyDescent="0.25">
      <c r="A8637" s="105" t="s">
        <v>38</v>
      </c>
      <c r="B8637" s="102">
        <v>44252</v>
      </c>
      <c r="C8637" s="4">
        <v>136</v>
      </c>
      <c r="D8637" s="21">
        <f t="shared" si="724"/>
        <v>35767</v>
      </c>
      <c r="E8637" s="4">
        <v>1</v>
      </c>
      <c r="F8637" s="57">
        <f t="shared" si="727"/>
        <v>571</v>
      </c>
      <c r="G8637" s="238">
        <f>SUM(C8637,C8613,C8589,C8565,C8541,C8517,C8493,C8469,C8445,C8421,C8397,C8373,C8349,C8325)/POBLA!$B$20*100000</f>
        <v>403.61172333455477</v>
      </c>
      <c r="H8637" s="252">
        <f t="shared" si="728"/>
        <v>0.68619246861924688</v>
      </c>
    </row>
    <row r="8638" spans="1:8" x14ac:dyDescent="0.25">
      <c r="A8638" s="105" t="s">
        <v>23</v>
      </c>
      <c r="B8638" s="102">
        <v>44252</v>
      </c>
      <c r="C8638" s="4">
        <v>438</v>
      </c>
      <c r="D8638" s="21">
        <f t="shared" si="724"/>
        <v>215702</v>
      </c>
      <c r="E8638" s="4">
        <v>47</v>
      </c>
      <c r="F8638" s="57">
        <f t="shared" si="727"/>
        <v>3934</v>
      </c>
      <c r="G8638" s="238">
        <f>SUM(C8638,C8614,C8590,C8566,C8542,C8518,C8494,C8470,C8446,C8422,C8398,C8374,C8350,C8326)/POBLA!$B$21*100000</f>
        <v>133.80771164494695</v>
      </c>
      <c r="H8638" s="252">
        <f t="shared" si="728"/>
        <v>0.72721684339941606</v>
      </c>
    </row>
    <row r="8639" spans="1:8" x14ac:dyDescent="0.25">
      <c r="A8639" s="105" t="s">
        <v>39</v>
      </c>
      <c r="B8639" s="102">
        <v>44252</v>
      </c>
      <c r="C8639" s="4">
        <v>78</v>
      </c>
      <c r="D8639" s="21">
        <f t="shared" si="724"/>
        <v>22418</v>
      </c>
      <c r="F8639" s="57">
        <f t="shared" si="727"/>
        <v>265</v>
      </c>
      <c r="G8639" s="238">
        <f>SUM(C8639,C8615,C8591,C8567,C8543,C8519,C8495,C8471,C8447,C8423,C8399,C8375,C8351,C8327)/POBLA!$B$22*100000</f>
        <v>71.142875541876677</v>
      </c>
      <c r="H8639" s="252">
        <f t="shared" si="728"/>
        <v>0.69669669669669665</v>
      </c>
    </row>
    <row r="8640" spans="1:8" x14ac:dyDescent="0.25">
      <c r="A8640" s="105" t="s">
        <v>40</v>
      </c>
      <c r="B8640" s="102">
        <v>44252</v>
      </c>
      <c r="C8640" s="4">
        <v>34</v>
      </c>
      <c r="D8640" s="21">
        <f t="shared" si="724"/>
        <v>22867</v>
      </c>
      <c r="F8640" s="57">
        <f t="shared" si="727"/>
        <v>350</v>
      </c>
      <c r="G8640" s="238">
        <f>SUM(C8640,C8616,C8592,C8568,C8544,C8520,C8496,C8472,C8448,C8424,C8400,C8376,C8352,C8328)/POBLA!$B$23*100000</f>
        <v>283.32296556014251</v>
      </c>
      <c r="H8640" s="252">
        <f t="shared" si="728"/>
        <v>0.7455357142857143</v>
      </c>
    </row>
    <row r="8641" spans="1:8" ht="15.75" thickBot="1" x14ac:dyDescent="0.3">
      <c r="A8641" s="106" t="s">
        <v>41</v>
      </c>
      <c r="B8641" s="102">
        <v>44252</v>
      </c>
      <c r="C8641" s="4">
        <v>239</v>
      </c>
      <c r="D8641" s="98">
        <f t="shared" si="724"/>
        <v>79513</v>
      </c>
      <c r="E8641" s="4">
        <v>2</v>
      </c>
      <c r="F8641" s="255">
        <f t="shared" si="727"/>
        <v>1473</v>
      </c>
      <c r="G8641" s="256">
        <f>SUM(C8641,C8617,C8593,C8569,C8545,C8521,C8497,C8473,C8449,C8425,C8401,C8377,C8353,C8329)/POBLA!$B$24*100000</f>
        <v>104.50498508251822</v>
      </c>
      <c r="H8641" s="257">
        <f t="shared" si="728"/>
        <v>1.0986352357320099</v>
      </c>
    </row>
    <row r="8642" spans="1:8" x14ac:dyDescent="0.25">
      <c r="A8642" s="45" t="s">
        <v>17</v>
      </c>
      <c r="B8642" s="102">
        <v>44253</v>
      </c>
      <c r="C8642" s="4">
        <v>2088</v>
      </c>
      <c r="D8642" s="97">
        <f t="shared" ref="D8642:D8705" si="729">C8642+D8618</f>
        <v>876116</v>
      </c>
      <c r="E8642" s="4">
        <v>30</v>
      </c>
      <c r="F8642" s="250">
        <f t="shared" ref="F8642:F8648" si="730">E8642+F8618</f>
        <v>26204</v>
      </c>
      <c r="G8642" s="251">
        <f>SUM(C8642,C8618,C8594,C8570,C8546,C8522,C8498,C8474,C8450,C8426,C8402,C8378,C8354,C8330)/POBLA!$B$1*100000</f>
        <v>196.99402678537274</v>
      </c>
      <c r="H8642" s="230">
        <f t="shared" ref="H8642:H8665" si="731">SUM(C8642,C8618,C8594,C8570,C8546,C8522,C8498,C8474,C8450,C8426,C8402,C8378,C8354,C8330)/SUM(C8306,C8282,C8258,C8234,C8210,C8186,C8162,C8138,C8114,C8090,C8066,C8042,C8018,C7994)</f>
        <v>0.81294405495694722</v>
      </c>
    </row>
    <row r="8643" spans="1:8" x14ac:dyDescent="0.25">
      <c r="A8643" s="105" t="s">
        <v>44</v>
      </c>
      <c r="B8643" s="102">
        <v>44253</v>
      </c>
      <c r="C8643" s="4">
        <v>607</v>
      </c>
      <c r="D8643" s="21">
        <f t="shared" si="729"/>
        <v>230872</v>
      </c>
      <c r="E8643" s="4">
        <v>24</v>
      </c>
      <c r="F8643" s="57">
        <f t="shared" si="730"/>
        <v>6508</v>
      </c>
      <c r="G8643" s="238">
        <f>SUM(C8643,C8619,C8595,C8571,C8547,C8523,C8499,C8475,C8451,C8427,C8403,C8379,C8355,C8331)/POBLA!$B$2*100000</f>
        <v>313.00741372706739</v>
      </c>
      <c r="H8643" s="252">
        <f t="shared" si="731"/>
        <v>0.75773317591499412</v>
      </c>
    </row>
    <row r="8644" spans="1:8" x14ac:dyDescent="0.25">
      <c r="A8644" s="105" t="s">
        <v>29</v>
      </c>
      <c r="B8644" s="102">
        <v>44253</v>
      </c>
      <c r="C8644" s="4">
        <v>83</v>
      </c>
      <c r="D8644" s="21">
        <f t="shared" si="729"/>
        <v>7722</v>
      </c>
      <c r="F8644" s="57">
        <f t="shared" si="730"/>
        <v>17</v>
      </c>
      <c r="G8644" s="238">
        <f>SUM(C8644,C8620,C8596,C8572,C8548,C8524,C8500,C8476,C8452,C8428,C8404,C8380,C8356,C8332)/POBLA!$B$3*100000</f>
        <v>250.09748747105465</v>
      </c>
      <c r="H8644" s="252">
        <f t="shared" si="731"/>
        <v>0.67997382198952883</v>
      </c>
    </row>
    <row r="8645" spans="1:8" x14ac:dyDescent="0.25">
      <c r="A8645" s="105" t="s">
        <v>16</v>
      </c>
      <c r="B8645" s="102">
        <v>44253</v>
      </c>
      <c r="C8645" s="4">
        <v>103</v>
      </c>
      <c r="D8645" s="21">
        <f t="shared" si="729"/>
        <v>33954</v>
      </c>
      <c r="E8645" s="4">
        <v>1</v>
      </c>
      <c r="F8645" s="57">
        <f t="shared" si="730"/>
        <v>863</v>
      </c>
      <c r="G8645" s="238">
        <f>SUM(C8645,C8621,C8597,C8573,C8549,C8525,C8501,C8477,C8453,C8429,C8405,C8381,C8357,C8333)/POBLA!$B$4*100000</f>
        <v>138.06088792328364</v>
      </c>
      <c r="H8645" s="252">
        <f t="shared" si="731"/>
        <v>0.95629672225416906</v>
      </c>
    </row>
    <row r="8646" spans="1:8" x14ac:dyDescent="0.25">
      <c r="A8646" s="105" t="s">
        <v>30</v>
      </c>
      <c r="B8646" s="102">
        <v>44253</v>
      </c>
      <c r="C8646" s="4">
        <v>71</v>
      </c>
      <c r="D8646" s="21">
        <f t="shared" si="729"/>
        <v>46805</v>
      </c>
      <c r="F8646" s="57">
        <f t="shared" si="730"/>
        <v>768</v>
      </c>
      <c r="G8646" s="238">
        <f>SUM(C8646,C8622,C8598,C8574,C8550,C8526,C8502,C8478,C8454,C8430,C8406,C8382,C8358,C8334)/POBLA!$B$5*100000</f>
        <v>285.62473949666719</v>
      </c>
      <c r="H8646" s="252">
        <f t="shared" si="731"/>
        <v>0.57891290111329408</v>
      </c>
    </row>
    <row r="8647" spans="1:8" x14ac:dyDescent="0.25">
      <c r="A8647" s="105" t="s">
        <v>31</v>
      </c>
      <c r="B8647" s="102">
        <v>44253</v>
      </c>
      <c r="C8647" s="4">
        <v>223</v>
      </c>
      <c r="D8647" s="21">
        <f t="shared" si="729"/>
        <v>21626</v>
      </c>
      <c r="E8647" s="4">
        <v>4</v>
      </c>
      <c r="F8647" s="57">
        <f t="shared" si="730"/>
        <v>300</v>
      </c>
      <c r="G8647" s="238">
        <f>SUM(C8647,C8623,C8599,C8575,C8551,C8527,C8503,C8479,C8455,C8431,C8407,C8383,C8359,C8335)/POBLA!$B$7*100000</f>
        <v>64.300815062027155</v>
      </c>
      <c r="H8647" s="252">
        <f t="shared" si="731"/>
        <v>1.1692456479690523</v>
      </c>
    </row>
    <row r="8648" spans="1:8" x14ac:dyDescent="0.25">
      <c r="A8648" s="105" t="s">
        <v>21</v>
      </c>
      <c r="B8648" s="102">
        <v>44253</v>
      </c>
      <c r="C8648" s="4">
        <v>416</v>
      </c>
      <c r="D8648" s="21">
        <f t="shared" si="729"/>
        <v>159011</v>
      </c>
      <c r="E8648" s="4">
        <v>4</v>
      </c>
      <c r="F8648" s="57">
        <f t="shared" si="730"/>
        <v>2828</v>
      </c>
      <c r="G8648" s="238">
        <f>SUM(C8648,C8624,C8600,C8576,C8552,C8528,C8504,C8480,C8456,C8432,C8408,C8384,C8360,C8336)/POBLA!$B$6*100000</f>
        <v>695.75241278335761</v>
      </c>
      <c r="H8648" s="252">
        <f t="shared" si="731"/>
        <v>1.1542332741267023</v>
      </c>
    </row>
    <row r="8649" spans="1:8" x14ac:dyDescent="0.25">
      <c r="A8649" s="105" t="s">
        <v>32</v>
      </c>
      <c r="B8649" s="102">
        <v>44253</v>
      </c>
      <c r="C8649" s="4">
        <v>92</v>
      </c>
      <c r="D8649" s="21">
        <f t="shared" si="729"/>
        <v>45003</v>
      </c>
      <c r="E8649" s="4">
        <v>2</v>
      </c>
      <c r="F8649" s="57">
        <f t="shared" ref="F8649:F8665" si="732">E8649+F8625</f>
        <v>836</v>
      </c>
      <c r="G8649" s="238">
        <f>SUM(C8649,C8625,C8601,C8577,C8553,C8529,C8505,C8481,C8457,C8433,C8409,C8385,C8361,C8337)/POBLA!$B$8*100000</f>
        <v>121.35983624358838</v>
      </c>
      <c r="H8649" s="252">
        <f t="shared" si="731"/>
        <v>0.62319377547239718</v>
      </c>
    </row>
    <row r="8650" spans="1:8" x14ac:dyDescent="0.25">
      <c r="A8650" s="105" t="s">
        <v>42</v>
      </c>
      <c r="B8650" s="102">
        <v>44253</v>
      </c>
      <c r="C8650" s="4">
        <v>23</v>
      </c>
      <c r="D8650" s="21">
        <f t="shared" si="729"/>
        <v>1208</v>
      </c>
      <c r="F8650" s="57">
        <f t="shared" si="732"/>
        <v>19</v>
      </c>
      <c r="G8650" s="238">
        <f>SUM(C8650,C8626,C8602,C8578,C8554,C8530,C8506,C8482,C8458,C8434,C8410,C8386,C8362,C8338)/POBLA!$B$9*100000</f>
        <v>44.779103525652147</v>
      </c>
      <c r="H8650" s="252">
        <f t="shared" si="731"/>
        <v>2.8229166666666665</v>
      </c>
    </row>
    <row r="8651" spans="1:8" x14ac:dyDescent="0.25">
      <c r="A8651" s="105" t="s">
        <v>33</v>
      </c>
      <c r="B8651" s="102">
        <v>44253</v>
      </c>
      <c r="C8651" s="4">
        <v>83</v>
      </c>
      <c r="D8651" s="21">
        <f t="shared" si="729"/>
        <v>20574</v>
      </c>
      <c r="F8651" s="57">
        <f t="shared" si="732"/>
        <v>904</v>
      </c>
      <c r="G8651" s="238">
        <f>SUM(C8651,C8627,C8603,C8579,C8555,C8531,C8507,C8483,C8459,C8435,C8411,C8387,C8363,C8339)/POBLA!$B$10*100000</f>
        <v>114.02538134939115</v>
      </c>
      <c r="H8651" s="252">
        <f t="shared" si="731"/>
        <v>2.092857142857143</v>
      </c>
    </row>
    <row r="8652" spans="1:8" x14ac:dyDescent="0.25">
      <c r="A8652" s="105" t="s">
        <v>34</v>
      </c>
      <c r="B8652" s="102">
        <v>44253</v>
      </c>
      <c r="C8652" s="4">
        <v>53</v>
      </c>
      <c r="D8652" s="21">
        <f t="shared" si="729"/>
        <v>18590</v>
      </c>
      <c r="F8652" s="57">
        <f t="shared" si="732"/>
        <v>285</v>
      </c>
      <c r="G8652" s="238">
        <f>SUM(C8652,C8628,C8604,C8580,C8556,C8532,C8508,C8484,C8460,C8436,C8412,C8388,C8364,C8340)/POBLA!$B$11*100000</f>
        <v>291.2718872409522</v>
      </c>
      <c r="H8652" s="252">
        <f t="shared" si="731"/>
        <v>0.85154975530179444</v>
      </c>
    </row>
    <row r="8653" spans="1:8" x14ac:dyDescent="0.25">
      <c r="A8653" s="105" t="s">
        <v>22</v>
      </c>
      <c r="B8653" s="102">
        <v>44253</v>
      </c>
      <c r="C8653" s="4">
        <v>21</v>
      </c>
      <c r="D8653" s="21">
        <f t="shared" si="729"/>
        <v>10169</v>
      </c>
      <c r="F8653" s="57">
        <f t="shared" si="732"/>
        <v>435</v>
      </c>
      <c r="G8653" s="238">
        <f>SUM(C8653,C8629,C8605,C8581,C8557,C8533,C8509,C8485,C8461,C8437,C8413,C8389,C8365,C8341)/POBLA!$B$12*100000</f>
        <v>97.832191110738407</v>
      </c>
      <c r="H8653" s="252">
        <f t="shared" si="731"/>
        <v>1.4312267657992566</v>
      </c>
    </row>
    <row r="8654" spans="1:8" x14ac:dyDescent="0.25">
      <c r="A8654" s="105" t="s">
        <v>18</v>
      </c>
      <c r="B8654" s="102">
        <v>44253</v>
      </c>
      <c r="C8654" s="4">
        <v>137</v>
      </c>
      <c r="D8654" s="21">
        <f t="shared" si="729"/>
        <v>67064</v>
      </c>
      <c r="E8654" s="4">
        <v>1</v>
      </c>
      <c r="F8654" s="57">
        <f t="shared" si="732"/>
        <v>1447</v>
      </c>
      <c r="G8654" s="238">
        <f>SUM(C8654,C8630,C8606,C8582,C8558,C8534,C8510,C8486,C8462,C8438,C8414,C8390,C8366,C8342)/POBLA!$B$13*100000</f>
        <v>77.625006405947133</v>
      </c>
      <c r="H8654" s="252">
        <f t="shared" si="731"/>
        <v>0.84472389283761617</v>
      </c>
    </row>
    <row r="8655" spans="1:8" x14ac:dyDescent="0.25">
      <c r="A8655" s="105" t="s">
        <v>24</v>
      </c>
      <c r="B8655" s="102">
        <v>44253</v>
      </c>
      <c r="C8655" s="4">
        <v>116</v>
      </c>
      <c r="D8655" s="21">
        <f t="shared" si="729"/>
        <v>8076</v>
      </c>
      <c r="E8655" s="4">
        <v>1</v>
      </c>
      <c r="F8655" s="57">
        <f t="shared" si="732"/>
        <v>139</v>
      </c>
      <c r="G8655" s="238">
        <f>SUM(C8655,C8631,C8607,C8583,C8559,C8535,C8511,C8487,C8463,C8439,C8415,C8391,C8367,C8343)/POBLA!$B$14*100000</f>
        <v>123.36536921605907</v>
      </c>
      <c r="H8655" s="252">
        <f t="shared" si="731"/>
        <v>0.72338447233844727</v>
      </c>
    </row>
    <row r="8656" spans="1:8" x14ac:dyDescent="0.25">
      <c r="A8656" s="105" t="s">
        <v>20</v>
      </c>
      <c r="B8656" s="102">
        <v>44253</v>
      </c>
      <c r="C8656" s="4">
        <v>173</v>
      </c>
      <c r="D8656" s="21">
        <f t="shared" si="729"/>
        <v>61014</v>
      </c>
      <c r="E8656" s="4">
        <v>2</v>
      </c>
      <c r="F8656" s="57">
        <f t="shared" si="732"/>
        <v>896</v>
      </c>
      <c r="G8656" s="238">
        <f>SUM(C8656,C8632,C8608,C8584,C8560,C8536,C8512,C8488,C8464,C8440,C8416,C8392,C8368,C8344)/POBLA!$B$15*100000</f>
        <v>416.53050867621306</v>
      </c>
      <c r="H8656" s="252">
        <f t="shared" si="731"/>
        <v>0.58614113159567705</v>
      </c>
    </row>
    <row r="8657" spans="1:8" x14ac:dyDescent="0.25">
      <c r="A8657" s="105" t="s">
        <v>19</v>
      </c>
      <c r="B8657" s="102">
        <v>44253</v>
      </c>
      <c r="C8657" s="4">
        <v>146</v>
      </c>
      <c r="D8657" s="21">
        <f t="shared" si="729"/>
        <v>52185</v>
      </c>
      <c r="E8657" s="4">
        <v>5</v>
      </c>
      <c r="F8657" s="57">
        <f t="shared" si="732"/>
        <v>1180</v>
      </c>
      <c r="G8657" s="238">
        <f>SUM(C8657,C8633,C8609,C8585,C8561,C8537,C8513,C8489,C8465,C8441,C8417,C8393,C8369,C8345)/POBLA!$B$16*100000</f>
        <v>239.42964914862026</v>
      </c>
      <c r="H8657" s="252">
        <f t="shared" si="731"/>
        <v>0.64784654361201588</v>
      </c>
    </row>
    <row r="8658" spans="1:8" x14ac:dyDescent="0.25">
      <c r="A8658" s="105" t="s">
        <v>35</v>
      </c>
      <c r="B8658" s="102">
        <v>44253</v>
      </c>
      <c r="C8658" s="4">
        <v>68</v>
      </c>
      <c r="D8658" s="21">
        <f t="shared" si="729"/>
        <v>25947</v>
      </c>
      <c r="F8658" s="57">
        <f t="shared" si="732"/>
        <v>1092</v>
      </c>
      <c r="G8658" s="238">
        <f>SUM(C8658,C8634,C8610,C8586,C8562,C8538,C8514,C8490,C8466,C8442,C8418,C8394,C8370,C8346)/POBLA!$B$17*100000</f>
        <v>87.545817633707458</v>
      </c>
      <c r="H8658" s="252">
        <f t="shared" si="731"/>
        <v>1.2776639344262295</v>
      </c>
    </row>
    <row r="8659" spans="1:8" x14ac:dyDescent="0.25">
      <c r="A8659" s="105" t="s">
        <v>36</v>
      </c>
      <c r="B8659" s="102">
        <v>44253</v>
      </c>
      <c r="C8659" s="4">
        <v>35</v>
      </c>
      <c r="D8659" s="21">
        <f t="shared" si="729"/>
        <v>15227</v>
      </c>
      <c r="E8659" s="4">
        <v>1</v>
      </c>
      <c r="F8659" s="57">
        <f t="shared" si="732"/>
        <v>208</v>
      </c>
      <c r="G8659" s="238">
        <f>SUM(C8659,C8635,C8611,C8587,C8563,C8539,C8515,C8491,C8467,C8443,C8419,C8395,C8371,C8347)/POBLA!$B$18*100000</f>
        <v>80.515400970537002</v>
      </c>
      <c r="H8659" s="252">
        <f t="shared" si="731"/>
        <v>0.90895953757225434</v>
      </c>
    </row>
    <row r="8660" spans="1:8" x14ac:dyDescent="0.25">
      <c r="A8660" s="105" t="s">
        <v>37</v>
      </c>
      <c r="B8660" s="102">
        <v>44253</v>
      </c>
      <c r="C8660" s="4">
        <v>3</v>
      </c>
      <c r="D8660" s="21">
        <f t="shared" si="729"/>
        <v>20756</v>
      </c>
      <c r="F8660" s="57">
        <f t="shared" si="732"/>
        <v>353</v>
      </c>
      <c r="G8660" s="238">
        <f>SUM(C8660,C8636,C8612,C8588,C8564,C8540,C8516,C8492,C8468,C8444,C8420,C8396,C8372,C8348)/POBLA!$B$19*100000</f>
        <v>314.95412410884308</v>
      </c>
      <c r="H8660" s="252">
        <f t="shared" si="731"/>
        <v>8.2525773195876297</v>
      </c>
    </row>
    <row r="8661" spans="1:8" x14ac:dyDescent="0.25">
      <c r="A8661" s="105" t="s">
        <v>38</v>
      </c>
      <c r="B8661" s="102">
        <v>44253</v>
      </c>
      <c r="C8661" s="4">
        <v>60</v>
      </c>
      <c r="D8661" s="21">
        <f t="shared" si="729"/>
        <v>35827</v>
      </c>
      <c r="E8661" s="4">
        <v>2</v>
      </c>
      <c r="F8661" s="57">
        <f t="shared" si="732"/>
        <v>573</v>
      </c>
      <c r="G8661" s="238">
        <f>SUM(C8661,C8637,C8613,C8589,C8565,C8541,C8517,C8493,C8469,C8445,C8421,C8397,C8373,C8349)/POBLA!$B$20*100000</f>
        <v>386.93129303414293</v>
      </c>
      <c r="H8661" s="252">
        <f t="shared" si="731"/>
        <v>0.67125237191650855</v>
      </c>
    </row>
    <row r="8662" spans="1:8" x14ac:dyDescent="0.25">
      <c r="A8662" s="105" t="s">
        <v>23</v>
      </c>
      <c r="B8662" s="102">
        <v>44253</v>
      </c>
      <c r="C8662" s="4">
        <v>261</v>
      </c>
      <c r="D8662" s="21">
        <f t="shared" si="729"/>
        <v>215963</v>
      </c>
      <c r="E8662" s="4">
        <v>10</v>
      </c>
      <c r="F8662" s="57">
        <f t="shared" si="732"/>
        <v>3944</v>
      </c>
      <c r="G8662" s="238">
        <f>SUM(C8662,C8638,C8614,C8590,C8566,C8542,C8518,C8494,C8470,C8446,C8422,C8398,C8374,C8350)/POBLA!$B$21*100000</f>
        <v>131.85658482679366</v>
      </c>
      <c r="H8662" s="252">
        <f t="shared" si="731"/>
        <v>0.75136964228166292</v>
      </c>
    </row>
    <row r="8663" spans="1:8" x14ac:dyDescent="0.25">
      <c r="A8663" s="105" t="s">
        <v>39</v>
      </c>
      <c r="B8663" s="102">
        <v>44253</v>
      </c>
      <c r="C8663" s="4">
        <v>67</v>
      </c>
      <c r="D8663" s="21">
        <f t="shared" si="729"/>
        <v>22485</v>
      </c>
      <c r="E8663" s="4">
        <v>2</v>
      </c>
      <c r="F8663" s="57">
        <f t="shared" si="732"/>
        <v>267</v>
      </c>
      <c r="G8663" s="238">
        <f>SUM(C8663,C8639,C8615,C8591,C8567,C8543,C8519,C8495,C8471,C8447,C8423,C8399,C8375,C8351)/POBLA!$B$22*100000</f>
        <v>72.676127169934375</v>
      </c>
      <c r="H8663" s="252">
        <f t="shared" si="731"/>
        <v>0.64402173913043481</v>
      </c>
    </row>
    <row r="8664" spans="1:8" x14ac:dyDescent="0.25">
      <c r="A8664" s="105" t="s">
        <v>40</v>
      </c>
      <c r="B8664" s="102">
        <v>44253</v>
      </c>
      <c r="C8664" s="4">
        <v>27</v>
      </c>
      <c r="D8664" s="21">
        <f t="shared" si="729"/>
        <v>22894</v>
      </c>
      <c r="E8664" s="4">
        <v>3</v>
      </c>
      <c r="F8664" s="57">
        <f t="shared" si="732"/>
        <v>353</v>
      </c>
      <c r="G8664" s="238">
        <f>SUM(C8664,C8640,C8616,C8592,C8568,C8544,C8520,C8496,C8472,C8448,C8424,C8400,C8376,C8352)/POBLA!$B$23*100000</f>
        <v>272.01266753378951</v>
      </c>
      <c r="H8664" s="252">
        <f t="shared" si="731"/>
        <v>0.73660030627871365</v>
      </c>
    </row>
    <row r="8665" spans="1:8" ht="15.75" thickBot="1" x14ac:dyDescent="0.3">
      <c r="A8665" s="106" t="s">
        <v>41</v>
      </c>
      <c r="B8665" s="102">
        <v>44253</v>
      </c>
      <c r="C8665" s="4">
        <v>127</v>
      </c>
      <c r="D8665" s="98">
        <f t="shared" si="729"/>
        <v>79640</v>
      </c>
      <c r="F8665" s="255">
        <f t="shared" si="732"/>
        <v>1473</v>
      </c>
      <c r="G8665" s="256">
        <f>SUM(C8665,C8641,C8617,C8593,C8569,C8545,C8521,C8497,C8473,C8449,C8425,C8401,C8377,C8353)/POBLA!$B$24*100000</f>
        <v>100.25633520903358</v>
      </c>
      <c r="H8665" s="257">
        <f t="shared" si="731"/>
        <v>1.0155409444112373</v>
      </c>
    </row>
    <row r="8666" spans="1:8" x14ac:dyDescent="0.25">
      <c r="A8666" s="45" t="s">
        <v>17</v>
      </c>
      <c r="B8666" s="102">
        <v>44254</v>
      </c>
      <c r="C8666" s="4">
        <v>2409</v>
      </c>
      <c r="D8666" s="97">
        <f t="shared" si="729"/>
        <v>878525</v>
      </c>
      <c r="E8666" s="4">
        <v>12</v>
      </c>
      <c r="F8666" s="250">
        <f t="shared" ref="F8666:F8672" si="733">E8666+F8642</f>
        <v>26216</v>
      </c>
      <c r="G8666" s="251">
        <f>SUM(C8666,C8642,C8618,C8594,C8570,C8546,C8522,C8498,C8474,C8450,C8426,C8402,C8378,C8354)/POBLA!$B$1*100000</f>
        <v>196.77169233175883</v>
      </c>
      <c r="H8666" s="230">
        <f t="shared" ref="H8666:H8689" si="734">SUM(C8666,C8642,C8618,C8594,C8570,C8546,C8522,C8498,C8474,C8450,C8426,C8402,C8378,C8354)/SUM(C8330,C8306,C8282,C8258,C8234,C8210,C8186,C8162,C8138,C8114,C8090,C8066,C8042,C8018)</f>
        <v>0.82400687547746376</v>
      </c>
    </row>
    <row r="8667" spans="1:8" x14ac:dyDescent="0.25">
      <c r="A8667" s="105" t="s">
        <v>44</v>
      </c>
      <c r="B8667" s="102">
        <v>44254</v>
      </c>
      <c r="C8667" s="4">
        <v>583</v>
      </c>
      <c r="D8667" s="21">
        <f t="shared" si="729"/>
        <v>231455</v>
      </c>
      <c r="E8667" s="4">
        <v>13</v>
      </c>
      <c r="F8667" s="57">
        <f t="shared" si="733"/>
        <v>6521</v>
      </c>
      <c r="G8667" s="238">
        <f>SUM(C8667,C8643,C8619,C8595,C8571,C8547,C8523,C8499,C8475,C8451,C8427,C8403,C8379,C8355)/POBLA!$B$2*100000</f>
        <v>314.37298050555881</v>
      </c>
      <c r="H8667" s="252">
        <f t="shared" si="734"/>
        <v>0.78641724278161851</v>
      </c>
    </row>
    <row r="8668" spans="1:8" x14ac:dyDescent="0.25">
      <c r="A8668" s="105" t="s">
        <v>29</v>
      </c>
      <c r="B8668" s="102">
        <v>44254</v>
      </c>
      <c r="C8668" s="4">
        <v>118</v>
      </c>
      <c r="D8668" s="21">
        <f t="shared" si="729"/>
        <v>7840</v>
      </c>
      <c r="F8668" s="57">
        <f t="shared" si="733"/>
        <v>17</v>
      </c>
      <c r="G8668" s="238">
        <f>SUM(C8668,C8644,C8620,C8596,C8572,C8548,C8524,C8500,C8476,C8452,C8428,C8404,C8380,C8356)/POBLA!$B$3*100000</f>
        <v>259.7258796739826</v>
      </c>
      <c r="H8668" s="252">
        <f t="shared" si="734"/>
        <v>0.70986842105263159</v>
      </c>
    </row>
    <row r="8669" spans="1:8" x14ac:dyDescent="0.25">
      <c r="A8669" s="105" t="s">
        <v>16</v>
      </c>
      <c r="B8669" s="102">
        <v>44254</v>
      </c>
      <c r="C8669" s="4">
        <v>105</v>
      </c>
      <c r="D8669" s="21">
        <f t="shared" si="729"/>
        <v>34059</v>
      </c>
      <c r="E8669" s="4">
        <v>2</v>
      </c>
      <c r="F8669" s="57">
        <f t="shared" si="733"/>
        <v>865</v>
      </c>
      <c r="G8669" s="238">
        <f>SUM(C8669,C8645,C8621,C8597,C8573,C8549,C8525,C8501,C8477,C8453,C8429,C8405,C8381,C8357)/POBLA!$B$4*100000</f>
        <v>140.55146317144869</v>
      </c>
      <c r="H8669" s="252">
        <f t="shared" si="734"/>
        <v>0.99705535924617195</v>
      </c>
    </row>
    <row r="8670" spans="1:8" x14ac:dyDescent="0.25">
      <c r="A8670" s="105" t="s">
        <v>30</v>
      </c>
      <c r="B8670" s="102">
        <v>44254</v>
      </c>
      <c r="C8670" s="4">
        <v>77</v>
      </c>
      <c r="D8670" s="21">
        <f t="shared" si="729"/>
        <v>46882</v>
      </c>
      <c r="E8670" s="4">
        <v>2</v>
      </c>
      <c r="F8670" s="57">
        <f t="shared" si="733"/>
        <v>770</v>
      </c>
      <c r="G8670" s="238">
        <f>SUM(C8670,C8646,C8622,C8598,C8574,C8550,C8526,C8502,C8478,C8454,C8430,C8406,C8382,C8358)/POBLA!$B$5*100000</f>
        <v>279.97040359034173</v>
      </c>
      <c r="H8670" s="252">
        <f t="shared" si="734"/>
        <v>0.59086259802250252</v>
      </c>
    </row>
    <row r="8671" spans="1:8" x14ac:dyDescent="0.25">
      <c r="A8671" s="105" t="s">
        <v>31</v>
      </c>
      <c r="B8671" s="102">
        <v>44254</v>
      </c>
      <c r="C8671" s="4">
        <v>172</v>
      </c>
      <c r="D8671" s="21">
        <f t="shared" si="729"/>
        <v>21798</v>
      </c>
      <c r="F8671" s="57">
        <f t="shared" si="733"/>
        <v>300</v>
      </c>
      <c r="G8671" s="238">
        <f>SUM(C8671,C8647,C8623,C8599,C8575,C8551,C8527,C8503,C8479,C8455,C8431,C8407,C8383,C8359)/POBLA!$B$7*100000</f>
        <v>67.46532994721376</v>
      </c>
      <c r="H8671" s="252">
        <f t="shared" si="734"/>
        <v>1.3151892172109902</v>
      </c>
    </row>
    <row r="8672" spans="1:8" x14ac:dyDescent="0.25">
      <c r="A8672" s="105" t="s">
        <v>21</v>
      </c>
      <c r="B8672" s="102">
        <v>44254</v>
      </c>
      <c r="C8672" s="4">
        <v>533</v>
      </c>
      <c r="D8672" s="21">
        <f t="shared" si="729"/>
        <v>159544</v>
      </c>
      <c r="E8672" s="4">
        <v>4</v>
      </c>
      <c r="F8672" s="57">
        <f t="shared" si="733"/>
        <v>2832</v>
      </c>
      <c r="G8672" s="238">
        <f>SUM(C8672,C8648,C8624,C8600,C8576,C8552,C8528,C8504,C8480,C8456,C8432,C8408,C8384,C8360)/POBLA!$B$6*100000</f>
        <v>693.87875278483864</v>
      </c>
      <c r="H8672" s="252">
        <f t="shared" si="734"/>
        <v>1.0998444350162637</v>
      </c>
    </row>
    <row r="8673" spans="1:8" x14ac:dyDescent="0.25">
      <c r="A8673" s="105" t="s">
        <v>32</v>
      </c>
      <c r="B8673" s="102">
        <v>44254</v>
      </c>
      <c r="C8673" s="4">
        <v>112</v>
      </c>
      <c r="D8673" s="21">
        <f t="shared" si="729"/>
        <v>45115</v>
      </c>
      <c r="E8673" s="4">
        <v>1</v>
      </c>
      <c r="F8673" s="57">
        <f t="shared" ref="F8673:F8689" si="735">E8673+F8649</f>
        <v>837</v>
      </c>
      <c r="G8673" s="238">
        <f>SUM(C8673,C8649,C8625,C8601,C8577,C8553,C8529,C8505,C8481,C8457,C8433,C8409,C8385,C8361)/POBLA!$B$8*100000</f>
        <v>121.50414044839646</v>
      </c>
      <c r="H8673" s="252">
        <f t="shared" si="734"/>
        <v>0.65550797975866093</v>
      </c>
    </row>
    <row r="8674" spans="1:8" x14ac:dyDescent="0.25">
      <c r="A8674" s="105" t="s">
        <v>42</v>
      </c>
      <c r="B8674" s="102">
        <v>44254</v>
      </c>
      <c r="C8674" s="4">
        <v>12</v>
      </c>
      <c r="D8674" s="21">
        <f t="shared" si="729"/>
        <v>1220</v>
      </c>
      <c r="F8674" s="57">
        <f t="shared" si="735"/>
        <v>19</v>
      </c>
      <c r="G8674" s="238">
        <f>SUM(C8674,C8650,C8626,C8602,C8578,C8554,C8530,C8506,C8482,C8458,C8434,C8410,C8386,C8362)/POBLA!$B$9*100000</f>
        <v>43.291974626276243</v>
      </c>
      <c r="H8674" s="252">
        <f t="shared" si="734"/>
        <v>2.2782608695652176</v>
      </c>
    </row>
    <row r="8675" spans="1:8" x14ac:dyDescent="0.25">
      <c r="A8675" s="105" t="s">
        <v>33</v>
      </c>
      <c r="B8675" s="102">
        <v>44254</v>
      </c>
      <c r="C8675" s="4">
        <v>93</v>
      </c>
      <c r="D8675" s="21">
        <f t="shared" si="729"/>
        <v>20667</v>
      </c>
      <c r="F8675" s="57">
        <f t="shared" si="735"/>
        <v>904</v>
      </c>
      <c r="G8675" s="238">
        <f>SUM(C8675,C8651,C8627,C8603,C8579,C8555,C8531,C8507,C8483,C8459,C8435,C8411,C8387,C8363)/POBLA!$B$10*100000</f>
        <v>122.84645749473654</v>
      </c>
      <c r="H8675" s="252">
        <f t="shared" si="734"/>
        <v>2.2126168224299065</v>
      </c>
    </row>
    <row r="8676" spans="1:8" x14ac:dyDescent="0.25">
      <c r="A8676" s="105" t="s">
        <v>34</v>
      </c>
      <c r="B8676" s="102">
        <v>44254</v>
      </c>
      <c r="C8676" s="4">
        <v>53</v>
      </c>
      <c r="D8676" s="21">
        <f t="shared" si="729"/>
        <v>18643</v>
      </c>
      <c r="F8676" s="57">
        <f t="shared" si="735"/>
        <v>285</v>
      </c>
      <c r="G8676" s="238">
        <f>SUM(C8676,C8652,C8628,C8604,C8580,C8556,C8532,C8508,C8484,C8460,C8436,C8412,C8388,C8364)/POBLA!$B$11*100000</f>
        <v>272.02115906123402</v>
      </c>
      <c r="H8676" s="252">
        <f t="shared" si="734"/>
        <v>0.76291079812206575</v>
      </c>
    </row>
    <row r="8677" spans="1:8" x14ac:dyDescent="0.25">
      <c r="A8677" s="105" t="s">
        <v>22</v>
      </c>
      <c r="B8677" s="102">
        <v>44254</v>
      </c>
      <c r="C8677" s="4">
        <v>5</v>
      </c>
      <c r="D8677" s="21">
        <f t="shared" si="729"/>
        <v>10174</v>
      </c>
      <c r="F8677" s="57">
        <f t="shared" si="735"/>
        <v>435</v>
      </c>
      <c r="G8677" s="238">
        <f>SUM(C8677,C8653,C8629,C8605,C8581,C8557,C8533,C8509,C8485,C8461,C8437,C8413,C8389,C8365)/POBLA!$B$12*100000</f>
        <v>90.971232253621693</v>
      </c>
      <c r="H8677" s="252">
        <f t="shared" si="734"/>
        <v>1.2605633802816902</v>
      </c>
    </row>
    <row r="8678" spans="1:8" x14ac:dyDescent="0.25">
      <c r="A8678" s="105" t="s">
        <v>18</v>
      </c>
      <c r="B8678" s="102">
        <v>44254</v>
      </c>
      <c r="C8678" s="4">
        <v>121</v>
      </c>
      <c r="D8678" s="21">
        <f t="shared" si="729"/>
        <v>67185</v>
      </c>
      <c r="F8678" s="57">
        <f t="shared" si="735"/>
        <v>1447</v>
      </c>
      <c r="G8678" s="238">
        <f>SUM(C8678,C8654,C8630,C8606,C8582,C8558,C8534,C8510,C8486,C8462,C8438,C8414,C8390,C8366)/POBLA!$B$13*100000</f>
        <v>78.629860857804061</v>
      </c>
      <c r="H8678" s="252">
        <f t="shared" si="734"/>
        <v>0.84503239740820735</v>
      </c>
    </row>
    <row r="8679" spans="1:8" x14ac:dyDescent="0.25">
      <c r="A8679" s="105" t="s">
        <v>24</v>
      </c>
      <c r="B8679" s="102">
        <v>44254</v>
      </c>
      <c r="C8679" s="4">
        <v>125</v>
      </c>
      <c r="D8679" s="21">
        <f t="shared" si="729"/>
        <v>8201</v>
      </c>
      <c r="E8679" s="4">
        <v>1</v>
      </c>
      <c r="F8679" s="57">
        <f t="shared" si="735"/>
        <v>140</v>
      </c>
      <c r="G8679" s="238">
        <f>SUM(C8679,C8655,C8631,C8607,C8583,C8559,C8535,C8511,C8487,C8463,C8439,C8415,C8391,C8367)/POBLA!$B$14*100000</f>
        <v>125.42674428008061</v>
      </c>
      <c r="H8679" s="252">
        <f t="shared" si="734"/>
        <v>0.77473065621939274</v>
      </c>
    </row>
    <row r="8680" spans="1:8" x14ac:dyDescent="0.25">
      <c r="A8680" s="105" t="s">
        <v>20</v>
      </c>
      <c r="B8680" s="102">
        <v>44254</v>
      </c>
      <c r="C8680" s="4">
        <v>83</v>
      </c>
      <c r="D8680" s="21">
        <f t="shared" si="729"/>
        <v>61097</v>
      </c>
      <c r="E8680" s="4">
        <v>4</v>
      </c>
      <c r="F8680" s="57">
        <f t="shared" si="735"/>
        <v>900</v>
      </c>
      <c r="G8680" s="238">
        <f>SUM(C8680,C8656,C8632,C8608,C8584,C8560,C8536,C8512,C8488,C8464,C8440,C8416,C8392,C8368)/POBLA!$B$15*100000</f>
        <v>401.47156042327691</v>
      </c>
      <c r="H8680" s="252">
        <f t="shared" si="734"/>
        <v>0.57618327209855202</v>
      </c>
    </row>
    <row r="8681" spans="1:8" x14ac:dyDescent="0.25">
      <c r="A8681" s="105" t="s">
        <v>19</v>
      </c>
      <c r="B8681" s="102">
        <v>44254</v>
      </c>
      <c r="C8681" s="4">
        <v>85</v>
      </c>
      <c r="D8681" s="21">
        <f t="shared" si="729"/>
        <v>52270</v>
      </c>
      <c r="E8681" s="4">
        <v>2</v>
      </c>
      <c r="F8681" s="57">
        <f t="shared" si="735"/>
        <v>1182</v>
      </c>
      <c r="G8681" s="238">
        <f>SUM(C8681,C8657,C8633,C8609,C8585,C8561,C8537,C8513,C8489,C8465,C8441,C8417,C8393,C8369)/POBLA!$B$16*100000</f>
        <v>235.4168617327216</v>
      </c>
      <c r="H8681" s="252">
        <f t="shared" si="734"/>
        <v>0.65281899109792285</v>
      </c>
    </row>
    <row r="8682" spans="1:8" x14ac:dyDescent="0.25">
      <c r="A8682" s="105" t="s">
        <v>35</v>
      </c>
      <c r="B8682" s="102">
        <v>44254</v>
      </c>
      <c r="C8682" s="4">
        <v>112</v>
      </c>
      <c r="D8682" s="21">
        <f t="shared" si="729"/>
        <v>26059</v>
      </c>
      <c r="E8682" s="4">
        <v>3</v>
      </c>
      <c r="F8682" s="57">
        <f t="shared" si="735"/>
        <v>1095</v>
      </c>
      <c r="G8682" s="238">
        <f>SUM(C8682,C8658,C8634,C8610,C8586,C8562,C8538,C8514,C8490,C8466,C8442,C8418,C8394,C8370)/POBLA!$B$17*100000</f>
        <v>88.177663951833651</v>
      </c>
      <c r="H8682" s="252">
        <f t="shared" si="734"/>
        <v>1.2253658536585366</v>
      </c>
    </row>
    <row r="8683" spans="1:8" x14ac:dyDescent="0.25">
      <c r="A8683" s="105" t="s">
        <v>36</v>
      </c>
      <c r="B8683" s="102">
        <v>44254</v>
      </c>
      <c r="C8683" s="4">
        <v>12</v>
      </c>
      <c r="D8683" s="21">
        <f t="shared" si="729"/>
        <v>15239</v>
      </c>
      <c r="F8683" s="57">
        <f t="shared" si="735"/>
        <v>208</v>
      </c>
      <c r="G8683" s="238">
        <f>SUM(C8683,C8659,C8635,C8611,C8587,C8563,C8539,C8515,C8491,C8467,C8443,C8419,C8395,C8371)/POBLA!$B$18*100000</f>
        <v>81.283433412227339</v>
      </c>
      <c r="H8683" s="252">
        <f t="shared" si="734"/>
        <v>0.95488721804511278</v>
      </c>
    </row>
    <row r="8684" spans="1:8" x14ac:dyDescent="0.25">
      <c r="A8684" s="105" t="s">
        <v>37</v>
      </c>
      <c r="B8684" s="102">
        <v>44254</v>
      </c>
      <c r="C8684" s="4">
        <v>16</v>
      </c>
      <c r="D8684" s="21">
        <f t="shared" si="729"/>
        <v>20772</v>
      </c>
      <c r="F8684" s="57">
        <f t="shared" si="735"/>
        <v>353</v>
      </c>
      <c r="G8684" s="238">
        <f>SUM(C8684,C8660,C8636,C8612,C8588,C8564,C8540,C8516,C8492,C8468,C8444,C8420,C8396,C8372)/POBLA!$B$19*100000</f>
        <v>194.75614170378182</v>
      </c>
      <c r="H8684" s="252">
        <f t="shared" si="734"/>
        <v>1.2468513853904282</v>
      </c>
    </row>
    <row r="8685" spans="1:8" x14ac:dyDescent="0.25">
      <c r="A8685" s="105" t="s">
        <v>38</v>
      </c>
      <c r="B8685" s="102">
        <v>44254</v>
      </c>
      <c r="C8685" s="4">
        <v>69</v>
      </c>
      <c r="D8685" s="21">
        <f t="shared" si="729"/>
        <v>35896</v>
      </c>
      <c r="F8685" s="57">
        <f t="shared" si="735"/>
        <v>573</v>
      </c>
      <c r="G8685" s="238">
        <f>SUM(C8685,C8661,C8637,C8613,C8589,C8565,C8541,C8517,C8493,C8469,C8445,C8421,C8397,C8373)/POBLA!$B$20*100000</f>
        <v>388.02509174236667</v>
      </c>
      <c r="H8685" s="252">
        <f t="shared" si="734"/>
        <v>0.69695481335952847</v>
      </c>
    </row>
    <row r="8686" spans="1:8" x14ac:dyDescent="0.25">
      <c r="A8686" s="105" t="s">
        <v>23</v>
      </c>
      <c r="B8686" s="102">
        <v>44254</v>
      </c>
      <c r="C8686" s="4">
        <v>379</v>
      </c>
      <c r="D8686" s="21">
        <f t="shared" si="729"/>
        <v>216342</v>
      </c>
      <c r="E8686" s="4">
        <v>14</v>
      </c>
      <c r="F8686" s="57">
        <f t="shared" si="735"/>
        <v>3958</v>
      </c>
      <c r="G8686" s="238">
        <f>SUM(C8686,C8662,C8638,C8614,C8590,C8566,C8542,C8518,C8494,C8470,C8446,C8422,C8398,C8374)/POBLA!$B$21*100000</f>
        <v>130.58411081495456</v>
      </c>
      <c r="H8686" s="252">
        <f t="shared" si="734"/>
        <v>0.75519215044971377</v>
      </c>
    </row>
    <row r="8687" spans="1:8" x14ac:dyDescent="0.25">
      <c r="A8687" s="105" t="s">
        <v>39</v>
      </c>
      <c r="B8687" s="102">
        <v>44254</v>
      </c>
      <c r="C8687" s="4">
        <v>83</v>
      </c>
      <c r="D8687" s="21">
        <f t="shared" si="729"/>
        <v>22568</v>
      </c>
      <c r="E8687" s="4">
        <v>1</v>
      </c>
      <c r="F8687" s="57">
        <f t="shared" si="735"/>
        <v>268</v>
      </c>
      <c r="G8687" s="238">
        <f>SUM(C8687,C8663,C8639,C8615,C8591,C8567,C8543,C8519,C8495,C8471,C8447,C8423,C8399,C8375)/POBLA!$B$22*100000</f>
        <v>75.129329774826672</v>
      </c>
      <c r="H8687" s="252">
        <f t="shared" si="734"/>
        <v>0.68627450980392157</v>
      </c>
    </row>
    <row r="8688" spans="1:8" x14ac:dyDescent="0.25">
      <c r="A8688" s="105" t="s">
        <v>40</v>
      </c>
      <c r="B8688" s="102">
        <v>44254</v>
      </c>
      <c r="C8688" s="4">
        <v>39</v>
      </c>
      <c r="D8688" s="21">
        <f t="shared" si="729"/>
        <v>22933</v>
      </c>
      <c r="F8688" s="57">
        <f t="shared" si="735"/>
        <v>353</v>
      </c>
      <c r="G8688" s="238">
        <f>SUM(C8688,C8664,C8640,C8616,C8592,C8568,C8544,C8520,C8496,C8472,C8448,C8424,C8400,C8376)/POBLA!$B$23*100000</f>
        <v>286.1505400667308</v>
      </c>
      <c r="H8688" s="252">
        <f t="shared" si="734"/>
        <v>0.7760736196319018</v>
      </c>
    </row>
    <row r="8689" spans="1:8" ht="15.75" thickBot="1" x14ac:dyDescent="0.3">
      <c r="A8689" s="106" t="s">
        <v>41</v>
      </c>
      <c r="B8689" s="102">
        <v>44254</v>
      </c>
      <c r="C8689" s="4">
        <v>73</v>
      </c>
      <c r="D8689" s="98">
        <f t="shared" si="729"/>
        <v>79713</v>
      </c>
      <c r="F8689" s="255">
        <f t="shared" si="735"/>
        <v>1473</v>
      </c>
      <c r="G8689" s="256">
        <f>SUM(C8689,C8665,C8641,C8617,C8593,C8569,C8545,C8521,C8497,C8473,C8449,C8425,C8401,C8377)/POBLA!$B$24*100000</f>
        <v>99.253181766683042</v>
      </c>
      <c r="H8689" s="257">
        <f t="shared" si="734"/>
        <v>0.98593200468933173</v>
      </c>
    </row>
    <row r="8690" spans="1:8" x14ac:dyDescent="0.25">
      <c r="A8690" s="45" t="s">
        <v>17</v>
      </c>
      <c r="B8690" s="102">
        <v>44255</v>
      </c>
      <c r="C8690" s="4">
        <v>1282</v>
      </c>
      <c r="D8690" s="97">
        <f t="shared" si="729"/>
        <v>879807</v>
      </c>
      <c r="E8690" s="4">
        <v>1</v>
      </c>
      <c r="F8690" s="250">
        <f t="shared" ref="F8690:F8696" si="736">E8690+F8666</f>
        <v>26217</v>
      </c>
      <c r="G8690" s="251">
        <f>SUM(C8690,C8666,C8642,C8618,C8594,C8570,C8546,C8522,C8498,C8474,C8450,C8426,C8402,C8378)/POBLA!$B$1*100000</f>
        <v>195.01582023655132</v>
      </c>
      <c r="H8690" s="230">
        <f t="shared" ref="H8690:H8713" si="737">SUM(C8690,C8666,C8642,C8618,C8594,C8570,C8546,C8522,C8498,C8474,C8450,C8426,C8402,C8378)/SUM(C8354,C8330,C8306,C8282,C8258,C8234,C8210,C8186,C8162,C8138,C8114,C8090,C8066,C8042)</f>
        <v>0.82926474509708858</v>
      </c>
    </row>
    <row r="8691" spans="1:8" x14ac:dyDescent="0.25">
      <c r="A8691" s="105" t="s">
        <v>44</v>
      </c>
      <c r="B8691" s="102">
        <v>44255</v>
      </c>
      <c r="C8691" s="4">
        <v>437</v>
      </c>
      <c r="D8691" s="21">
        <f t="shared" si="729"/>
        <v>231892</v>
      </c>
      <c r="E8691" s="4">
        <v>1</v>
      </c>
      <c r="F8691" s="57">
        <f t="shared" si="736"/>
        <v>6522</v>
      </c>
      <c r="G8691" s="238">
        <f>SUM(C8691,C8667,C8643,C8619,C8595,C8571,C8547,C8523,C8499,C8475,C8451,C8427,C8403,C8379)/POBLA!$B$2*100000</f>
        <v>307.22001166584192</v>
      </c>
      <c r="H8691" s="252">
        <f t="shared" si="737"/>
        <v>0.77482574825748263</v>
      </c>
    </row>
    <row r="8692" spans="1:8" x14ac:dyDescent="0.25">
      <c r="A8692" s="105" t="s">
        <v>29</v>
      </c>
      <c r="B8692" s="102">
        <v>44255</v>
      </c>
      <c r="C8692" s="4">
        <v>44</v>
      </c>
      <c r="D8692" s="21">
        <f t="shared" si="729"/>
        <v>7884</v>
      </c>
      <c r="F8692" s="57">
        <f t="shared" si="736"/>
        <v>17</v>
      </c>
      <c r="G8692" s="238">
        <f>SUM(C8692,C8668,C8644,C8620,C8596,C8572,C8548,C8524,C8500,C8476,C8452,C8428,C8404,C8380)/POBLA!$B$3*100000</f>
        <v>262.61439733486105</v>
      </c>
      <c r="H8692" s="252">
        <f t="shared" si="737"/>
        <v>0.7737588652482269</v>
      </c>
    </row>
    <row r="8693" spans="1:8" x14ac:dyDescent="0.25">
      <c r="A8693" s="105" t="s">
        <v>16</v>
      </c>
      <c r="B8693" s="102">
        <v>44255</v>
      </c>
      <c r="C8693" s="4">
        <v>84</v>
      </c>
      <c r="D8693" s="21">
        <f t="shared" si="729"/>
        <v>34143</v>
      </c>
      <c r="F8693" s="57">
        <f t="shared" si="736"/>
        <v>865</v>
      </c>
      <c r="G8693" s="238">
        <f>SUM(C8693,C8669,C8645,C8621,C8597,C8573,C8549,C8525,C8501,C8477,C8453,C8429,C8405,C8381)/POBLA!$B$4*100000</f>
        <v>140.88353987120405</v>
      </c>
      <c r="H8693" s="252">
        <f t="shared" si="737"/>
        <v>1.0029550827423168</v>
      </c>
    </row>
    <row r="8694" spans="1:8" x14ac:dyDescent="0.25">
      <c r="A8694" s="105" t="s">
        <v>30</v>
      </c>
      <c r="B8694" s="102">
        <v>44255</v>
      </c>
      <c r="C8694" s="4">
        <v>9</v>
      </c>
      <c r="D8694" s="21">
        <f t="shared" si="729"/>
        <v>46891</v>
      </c>
      <c r="F8694" s="57">
        <f t="shared" si="736"/>
        <v>770</v>
      </c>
      <c r="G8694" s="238">
        <f>SUM(C8694,C8670,C8646,C8622,C8598,C8574,C8550,C8526,C8502,C8478,C8454,C8430,C8406,C8382)/POBLA!$B$5*100000</f>
        <v>268.17707441429155</v>
      </c>
      <c r="H8694" s="252">
        <f t="shared" si="737"/>
        <v>0.5675213675213675</v>
      </c>
    </row>
    <row r="8695" spans="1:8" x14ac:dyDescent="0.25">
      <c r="A8695" s="105" t="s">
        <v>31</v>
      </c>
      <c r="B8695" s="102">
        <v>44255</v>
      </c>
      <c r="C8695" s="4">
        <v>58</v>
      </c>
      <c r="D8695" s="21">
        <f t="shared" si="729"/>
        <v>21856</v>
      </c>
      <c r="F8695" s="57">
        <f t="shared" si="736"/>
        <v>300</v>
      </c>
      <c r="G8695" s="238">
        <f>SUM(C8695,C8671,C8647,C8623,C8599,C8575,C8551,C8527,C8503,C8479,C8455,C8431,C8407,C8383)/POBLA!$B$7*100000</f>
        <v>66.66755308540202</v>
      </c>
      <c r="H8695" s="252">
        <f t="shared" si="737"/>
        <v>1.2687246963562753</v>
      </c>
    </row>
    <row r="8696" spans="1:8" x14ac:dyDescent="0.25">
      <c r="A8696" s="105" t="s">
        <v>21</v>
      </c>
      <c r="B8696" s="102">
        <v>44255</v>
      </c>
      <c r="C8696" s="4">
        <v>334</v>
      </c>
      <c r="D8696" s="21">
        <f t="shared" si="729"/>
        <v>159878</v>
      </c>
      <c r="E8696" s="4">
        <v>1</v>
      </c>
      <c r="F8696" s="57">
        <f t="shared" si="736"/>
        <v>2833</v>
      </c>
      <c r="G8696" s="238">
        <f>SUM(C8696,C8672,C8648,C8624,C8600,C8576,C8552,C8528,C8504,C8480,C8456,C8432,C8408,C8384)/POBLA!$B$6*100000</f>
        <v>698.87517944755575</v>
      </c>
      <c r="H8696" s="252">
        <f t="shared" si="737"/>
        <v>1.1182012847965739</v>
      </c>
    </row>
    <row r="8697" spans="1:8" x14ac:dyDescent="0.25">
      <c r="A8697" s="105" t="s">
        <v>32</v>
      </c>
      <c r="B8697" s="102">
        <v>44255</v>
      </c>
      <c r="C8697" s="4">
        <v>52</v>
      </c>
      <c r="D8697" s="21">
        <f t="shared" si="729"/>
        <v>45167</v>
      </c>
      <c r="E8697" s="4">
        <v>4</v>
      </c>
      <c r="F8697" s="57">
        <f t="shared" ref="F8697:F8713" si="738">E8697+F8673</f>
        <v>841</v>
      </c>
      <c r="G8697" s="238">
        <f>SUM(C8697,C8673,C8649,C8625,C8601,C8577,C8553,C8529,C8505,C8481,C8457,C8433,C8409,C8385)/POBLA!$B$8*100000</f>
        <v>116.9585579969422</v>
      </c>
      <c r="H8697" s="252">
        <f t="shared" si="737"/>
        <v>0.63394603050449749</v>
      </c>
    </row>
    <row r="8698" spans="1:8" x14ac:dyDescent="0.25">
      <c r="A8698" s="105" t="s">
        <v>42</v>
      </c>
      <c r="B8698" s="102">
        <v>44255</v>
      </c>
      <c r="C8698" s="4">
        <v>1</v>
      </c>
      <c r="D8698" s="21">
        <f t="shared" si="729"/>
        <v>1221</v>
      </c>
      <c r="F8698" s="57">
        <f t="shared" si="738"/>
        <v>19</v>
      </c>
      <c r="G8698" s="238">
        <f>SUM(C8698,C8674,C8650,C8626,C8602,C8578,C8554,C8530,C8506,C8482,C8458,C8434,C8410,C8386)/POBLA!$B$9*100000</f>
        <v>41.804845726900346</v>
      </c>
      <c r="H8698" s="252">
        <f t="shared" si="737"/>
        <v>2.024</v>
      </c>
    </row>
    <row r="8699" spans="1:8" x14ac:dyDescent="0.25">
      <c r="A8699" s="105" t="s">
        <v>33</v>
      </c>
      <c r="B8699" s="102">
        <v>44255</v>
      </c>
      <c r="C8699" s="4">
        <v>85</v>
      </c>
      <c r="D8699" s="21">
        <f t="shared" si="729"/>
        <v>20752</v>
      </c>
      <c r="E8699" s="4">
        <v>1</v>
      </c>
      <c r="F8699" s="57">
        <f t="shared" si="738"/>
        <v>905</v>
      </c>
      <c r="G8699" s="238">
        <f>SUM(C8699,C8675,C8651,C8627,C8603,C8579,C8555,C8531,C8507,C8483,C8459,C8435,C8411,C8387)/POBLA!$B$10*100000</f>
        <v>127.51643898344881</v>
      </c>
      <c r="H8699" s="252">
        <f t="shared" si="737"/>
        <v>2.1369565217391306</v>
      </c>
    </row>
    <row r="8700" spans="1:8" x14ac:dyDescent="0.25">
      <c r="A8700" s="105" t="s">
        <v>34</v>
      </c>
      <c r="B8700" s="102">
        <v>44255</v>
      </c>
      <c r="C8700" s="4">
        <v>47</v>
      </c>
      <c r="D8700" s="21">
        <f t="shared" si="729"/>
        <v>18690</v>
      </c>
      <c r="F8700" s="57">
        <f t="shared" si="738"/>
        <v>285</v>
      </c>
      <c r="G8700" s="238">
        <f>SUM(C8700,C8676,C8652,C8628,C8604,C8580,C8556,C8532,C8508,C8484,C8460,C8436,C8412,C8388)/POBLA!$B$11*100000</f>
        <v>272.30015512180967</v>
      </c>
      <c r="H8700" s="252">
        <f t="shared" si="737"/>
        <v>0.76549019607843138</v>
      </c>
    </row>
    <row r="8701" spans="1:8" x14ac:dyDescent="0.25">
      <c r="A8701" s="105" t="s">
        <v>22</v>
      </c>
      <c r="B8701" s="102">
        <v>44255</v>
      </c>
      <c r="C8701" s="4">
        <v>50</v>
      </c>
      <c r="D8701" s="21">
        <f t="shared" si="729"/>
        <v>10224</v>
      </c>
      <c r="E8701" s="4">
        <v>3</v>
      </c>
      <c r="F8701" s="57">
        <f t="shared" si="738"/>
        <v>438</v>
      </c>
      <c r="G8701" s="238">
        <f>SUM(C8701,C8677,C8653,C8629,C8605,C8581,C8557,C8533,C8509,C8485,C8461,C8437,C8413,C8389)/POBLA!$B$12*100000</f>
        <v>95.799314412333473</v>
      </c>
      <c r="H8701" s="252">
        <f t="shared" si="737"/>
        <v>1.2608695652173914</v>
      </c>
    </row>
    <row r="8702" spans="1:8" x14ac:dyDescent="0.25">
      <c r="A8702" s="105" t="s">
        <v>18</v>
      </c>
      <c r="B8702" s="102">
        <v>44255</v>
      </c>
      <c r="C8702" s="4">
        <v>51</v>
      </c>
      <c r="D8702" s="21">
        <f t="shared" si="729"/>
        <v>67236</v>
      </c>
      <c r="E8702" s="4">
        <v>1</v>
      </c>
      <c r="F8702" s="57">
        <f t="shared" si="738"/>
        <v>1448</v>
      </c>
      <c r="G8702" s="238">
        <f>SUM(C8702,C8678,C8654,C8630,C8606,C8582,C8558,C8534,C8510,C8486,C8462,C8438,C8414,C8390)/POBLA!$B$13*100000</f>
        <v>79.031802638546822</v>
      </c>
      <c r="H8702" s="252">
        <f t="shared" si="737"/>
        <v>0.85027027027027025</v>
      </c>
    </row>
    <row r="8703" spans="1:8" x14ac:dyDescent="0.25">
      <c r="A8703" s="105" t="s">
        <v>24</v>
      </c>
      <c r="B8703" s="102">
        <v>44255</v>
      </c>
      <c r="C8703" s="4">
        <v>73</v>
      </c>
      <c r="D8703" s="21">
        <f t="shared" si="729"/>
        <v>8274</v>
      </c>
      <c r="F8703" s="57">
        <f t="shared" si="738"/>
        <v>140</v>
      </c>
      <c r="G8703" s="238">
        <f>SUM(C8703,C8679,C8655,C8631,C8607,C8583,C8559,C8535,C8511,C8487,C8463,C8439,C8415,C8391)/POBLA!$B$14*100000</f>
        <v>121.93826340250568</v>
      </c>
      <c r="H8703" s="252">
        <f t="shared" si="737"/>
        <v>0.75875678342377895</v>
      </c>
    </row>
    <row r="8704" spans="1:8" x14ac:dyDescent="0.25">
      <c r="A8704" s="105" t="s">
        <v>20</v>
      </c>
      <c r="B8704" s="102">
        <v>44255</v>
      </c>
      <c r="C8704" s="4">
        <v>79</v>
      </c>
      <c r="D8704" s="21">
        <f t="shared" si="729"/>
        <v>61176</v>
      </c>
      <c r="E8704" s="4">
        <v>2</v>
      </c>
      <c r="F8704" s="57">
        <f t="shared" si="738"/>
        <v>902</v>
      </c>
      <c r="G8704" s="238">
        <f>SUM(C8704,C8680,C8656,C8632,C8608,C8584,C8560,C8536,C8512,C8488,C8464,C8440,C8416,C8392)/POBLA!$B$15*100000</f>
        <v>378.43136959628464</v>
      </c>
      <c r="H8704" s="252">
        <f t="shared" si="737"/>
        <v>0.54559270516717329</v>
      </c>
    </row>
    <row r="8705" spans="1:8" x14ac:dyDescent="0.25">
      <c r="A8705" s="105" t="s">
        <v>19</v>
      </c>
      <c r="B8705" s="102">
        <v>44255</v>
      </c>
      <c r="C8705" s="4">
        <v>56</v>
      </c>
      <c r="D8705" s="21">
        <f t="shared" si="729"/>
        <v>52326</v>
      </c>
      <c r="F8705" s="57">
        <f t="shared" si="738"/>
        <v>1182</v>
      </c>
      <c r="G8705" s="238">
        <f>SUM(C8705,C8681,C8657,C8633,C8609,C8585,C8561,C8537,C8513,C8489,C8465,C8441,C8417,C8393)/POBLA!$B$16*100000</f>
        <v>231.27031473629296</v>
      </c>
      <c r="H8705" s="252">
        <f t="shared" si="737"/>
        <v>0.63824289405684753</v>
      </c>
    </row>
    <row r="8706" spans="1:8" x14ac:dyDescent="0.25">
      <c r="A8706" s="105" t="s">
        <v>35</v>
      </c>
      <c r="B8706" s="102">
        <v>44255</v>
      </c>
      <c r="C8706" s="4">
        <v>82</v>
      </c>
      <c r="D8706" s="21">
        <f t="shared" ref="D8706:D8769" si="739">C8706+D8682</f>
        <v>26141</v>
      </c>
      <c r="F8706" s="57">
        <f t="shared" si="738"/>
        <v>1095</v>
      </c>
      <c r="G8706" s="238">
        <f>SUM(C8706,C8682,C8658,C8634,C8610,C8586,C8562,C8538,C8514,C8490,C8466,C8442,C8418,C8394)/POBLA!$B$17*100000</f>
        <v>91.547510981840034</v>
      </c>
      <c r="H8706" s="252">
        <f t="shared" si="737"/>
        <v>1.2647914645974783</v>
      </c>
    </row>
    <row r="8707" spans="1:8" x14ac:dyDescent="0.25">
      <c r="A8707" s="105" t="s">
        <v>36</v>
      </c>
      <c r="B8707" s="102">
        <v>44255</v>
      </c>
      <c r="C8707" s="4">
        <v>5</v>
      </c>
      <c r="D8707" s="21">
        <f t="shared" si="739"/>
        <v>15244</v>
      </c>
      <c r="F8707" s="57">
        <f t="shared" si="738"/>
        <v>208</v>
      </c>
      <c r="G8707" s="238">
        <f>SUM(C8707,C8683,C8659,C8635,C8611,C8587,C8563,C8539,C8515,C8491,C8467,C8443,C8419,C8395)/POBLA!$B$18*100000</f>
        <v>81.02742259833056</v>
      </c>
      <c r="H8707" s="252">
        <f t="shared" si="737"/>
        <v>0.95763993948562787</v>
      </c>
    </row>
    <row r="8708" spans="1:8" x14ac:dyDescent="0.25">
      <c r="A8708" s="105" t="s">
        <v>37</v>
      </c>
      <c r="B8708" s="102">
        <v>44255</v>
      </c>
      <c r="C8708" s="4">
        <v>1</v>
      </c>
      <c r="D8708" s="21">
        <f t="shared" si="739"/>
        <v>20773</v>
      </c>
      <c r="F8708" s="57">
        <f t="shared" si="738"/>
        <v>353</v>
      </c>
      <c r="G8708" s="238">
        <f>SUM(C8708,C8684,C8660,C8636,C8612,C8588,C8564,C8540,C8516,C8492,C8468,C8444,C8420,C8396)/POBLA!$B$19*100000</f>
        <v>137.31291606993909</v>
      </c>
      <c r="H8708" s="252">
        <f t="shared" si="737"/>
        <v>0.65539906103286383</v>
      </c>
    </row>
    <row r="8709" spans="1:8" x14ac:dyDescent="0.25">
      <c r="A8709" s="105" t="s">
        <v>38</v>
      </c>
      <c r="B8709" s="102">
        <v>44255</v>
      </c>
      <c r="C8709" s="4">
        <v>35</v>
      </c>
      <c r="D8709" s="21">
        <f t="shared" si="739"/>
        <v>35931</v>
      </c>
      <c r="E8709" s="4">
        <v>5</v>
      </c>
      <c r="F8709" s="57">
        <f t="shared" si="738"/>
        <v>578</v>
      </c>
      <c r="G8709" s="238">
        <f>SUM(C8709,C8685,C8661,C8637,C8613,C8589,C8565,C8541,C8517,C8493,C8469,C8445,C8421,C8397)/POBLA!$B$20*100000</f>
        <v>381.18884981596835</v>
      </c>
      <c r="H8709" s="252">
        <f t="shared" si="737"/>
        <v>0.69734867433716863</v>
      </c>
    </row>
    <row r="8710" spans="1:8" x14ac:dyDescent="0.25">
      <c r="A8710" s="105" t="s">
        <v>23</v>
      </c>
      <c r="B8710" s="102">
        <v>44255</v>
      </c>
      <c r="C8710" s="4">
        <v>123</v>
      </c>
      <c r="D8710" s="21">
        <f t="shared" si="739"/>
        <v>216465</v>
      </c>
      <c r="F8710" s="57">
        <f t="shared" si="738"/>
        <v>3958</v>
      </c>
      <c r="G8710" s="238">
        <f>SUM(C8710,C8686,C8662,C8638,C8614,C8590,C8566,C8542,C8518,C8494,C8470,C8446,C8422,C8398)/POBLA!$B$21*100000</f>
        <v>128.60470679653818</v>
      </c>
      <c r="H8710" s="252">
        <f t="shared" si="737"/>
        <v>0.7466754227548843</v>
      </c>
    </row>
    <row r="8711" spans="1:8" x14ac:dyDescent="0.25">
      <c r="A8711" s="105" t="s">
        <v>39</v>
      </c>
      <c r="B8711" s="102">
        <v>44255</v>
      </c>
      <c r="C8711" s="4">
        <v>90</v>
      </c>
      <c r="D8711" s="21">
        <f t="shared" si="739"/>
        <v>22658</v>
      </c>
      <c r="F8711" s="57">
        <f t="shared" si="738"/>
        <v>268</v>
      </c>
      <c r="G8711" s="238">
        <f>SUM(C8711,C8687,C8663,C8639,C8615,C8591,C8567,C8543,C8519,C8495,C8471,C8447,C8423,C8399)/POBLA!$B$22*100000</f>
        <v>81.364553062261251</v>
      </c>
      <c r="H8711" s="252">
        <f t="shared" si="737"/>
        <v>0.7865612648221344</v>
      </c>
    </row>
    <row r="8712" spans="1:8" x14ac:dyDescent="0.25">
      <c r="A8712" s="105" t="s">
        <v>40</v>
      </c>
      <c r="B8712" s="102">
        <v>44255</v>
      </c>
      <c r="C8712" s="4">
        <v>6</v>
      </c>
      <c r="D8712" s="21">
        <f t="shared" si="739"/>
        <v>22939</v>
      </c>
      <c r="F8712" s="57">
        <f t="shared" si="738"/>
        <v>353</v>
      </c>
      <c r="G8712" s="238">
        <f>SUM(C8712,C8688,C8664,C8640,C8616,C8592,C8568,C8544,C8520,C8496,C8472,C8448,C8424,C8400)/POBLA!$B$23*100000</f>
        <v>274.27472713906013</v>
      </c>
      <c r="H8712" s="252">
        <f t="shared" si="737"/>
        <v>0.7601880877742947</v>
      </c>
    </row>
    <row r="8713" spans="1:8" ht="15.75" thickBot="1" x14ac:dyDescent="0.3">
      <c r="A8713" s="106" t="s">
        <v>41</v>
      </c>
      <c r="B8713" s="102">
        <v>44255</v>
      </c>
      <c r="C8713" s="4">
        <v>84</v>
      </c>
      <c r="D8713" s="98">
        <f t="shared" si="739"/>
        <v>79797</v>
      </c>
      <c r="F8713" s="255">
        <f t="shared" si="738"/>
        <v>1473</v>
      </c>
      <c r="G8713" s="256">
        <f>SUM(C8713,C8689,C8665,C8641,C8617,C8593,C8569,C8545,C8521,C8497,C8473,C8449,C8425,C8401)/POBLA!$B$24*100000</f>
        <v>100.37435326107482</v>
      </c>
      <c r="H8713" s="257">
        <f t="shared" si="737"/>
        <v>1.0005882352941176</v>
      </c>
    </row>
    <row r="8714" spans="1:8" x14ac:dyDescent="0.25">
      <c r="A8714" s="45" t="s">
        <v>17</v>
      </c>
      <c r="B8714" s="102">
        <v>44256</v>
      </c>
      <c r="C8714" s="4">
        <v>2004</v>
      </c>
      <c r="D8714" s="97">
        <f t="shared" si="739"/>
        <v>881811</v>
      </c>
      <c r="E8714" s="4">
        <v>26</v>
      </c>
      <c r="F8714" s="250">
        <f t="shared" ref="F8714:F8720" si="740">E8714+F8690</f>
        <v>26243</v>
      </c>
      <c r="G8714" s="251">
        <f>SUM(C8714,C8690,C8666,C8642,C8618,C8594,C8570,C8546,C8522,C8498,C8474,C8450,C8426,C8402)/POBLA!$B$1*100000</f>
        <v>198.63588121206027</v>
      </c>
      <c r="H8714" s="230">
        <f t="shared" ref="H8714:H8737" si="741">SUM(C8714,C8690,C8666,C8642,C8618,C8594,C8570,C8546,C8522,C8498,C8474,C8450,C8426,C8402)/SUM(C8378,C8354,C8330,C8306,C8282,C8258,C8234,C8210,C8186,C8162,C8138,C8114,C8090,C8066)</f>
        <v>0.86990063414390573</v>
      </c>
    </row>
    <row r="8715" spans="1:8" x14ac:dyDescent="0.25">
      <c r="A8715" s="105" t="s">
        <v>44</v>
      </c>
      <c r="B8715" s="102">
        <v>44256</v>
      </c>
      <c r="C8715" s="4">
        <v>432</v>
      </c>
      <c r="D8715" s="21">
        <f t="shared" si="739"/>
        <v>232324</v>
      </c>
      <c r="E8715" s="4">
        <v>6</v>
      </c>
      <c r="F8715" s="57">
        <f t="shared" si="740"/>
        <v>6528</v>
      </c>
      <c r="G8715" s="238">
        <f>SUM(C8715,C8691,C8667,C8643,C8619,C8595,C8571,C8547,C8523,C8499,C8475,C8451,C8427,C8403)/POBLA!$B$2*100000</f>
        <v>305.30171547700871</v>
      </c>
      <c r="H8715" s="252">
        <f t="shared" si="741"/>
        <v>0.79455068539515994</v>
      </c>
    </row>
    <row r="8716" spans="1:8" x14ac:dyDescent="0.25">
      <c r="A8716" s="105" t="s">
        <v>29</v>
      </c>
      <c r="B8716" s="102">
        <v>44256</v>
      </c>
      <c r="C8716" s="4">
        <v>154</v>
      </c>
      <c r="D8716" s="21">
        <f t="shared" si="739"/>
        <v>8038</v>
      </c>
      <c r="F8716" s="57">
        <f t="shared" si="740"/>
        <v>17</v>
      </c>
      <c r="G8716" s="238">
        <f>SUM(C8716,C8692,C8668,C8644,C8620,C8596,C8572,C8548,C8524,C8500,C8476,C8452,C8428,C8404)/POBLA!$B$3*100000</f>
        <v>279.22337388491184</v>
      </c>
      <c r="H8716" s="252">
        <f t="shared" si="741"/>
        <v>0.86891385767790263</v>
      </c>
    </row>
    <row r="8717" spans="1:8" x14ac:dyDescent="0.25">
      <c r="A8717" s="105" t="s">
        <v>16</v>
      </c>
      <c r="B8717" s="102">
        <v>44256</v>
      </c>
      <c r="C8717" s="4">
        <v>74</v>
      </c>
      <c r="D8717" s="21">
        <f t="shared" si="739"/>
        <v>34217</v>
      </c>
      <c r="E8717" s="4">
        <v>2</v>
      </c>
      <c r="F8717" s="57">
        <f t="shared" si="740"/>
        <v>867</v>
      </c>
      <c r="G8717" s="238">
        <f>SUM(C8717,C8693,C8669,C8645,C8621,C8597,C8573,C8549,C8525,C8501,C8477,C8453,C8429,C8405)/POBLA!$B$4*100000</f>
        <v>141.79675079553124</v>
      </c>
      <c r="H8717" s="252">
        <f t="shared" si="741"/>
        <v>1.0276774969915765</v>
      </c>
    </row>
    <row r="8718" spans="1:8" x14ac:dyDescent="0.25">
      <c r="A8718" s="105" t="s">
        <v>30</v>
      </c>
      <c r="B8718" s="102">
        <v>44256</v>
      </c>
      <c r="C8718" s="4">
        <v>117</v>
      </c>
      <c r="D8718" s="21">
        <f t="shared" si="739"/>
        <v>47008</v>
      </c>
      <c r="E8718" s="4">
        <v>5</v>
      </c>
      <c r="F8718" s="57">
        <f t="shared" si="740"/>
        <v>775</v>
      </c>
      <c r="G8718" s="238">
        <f>SUM(C8718,C8694,C8670,C8646,C8622,C8598,C8574,C8550,C8526,C8502,C8478,C8454,C8430,C8406)/POBLA!$B$5*100000</f>
        <v>277.22401186441226</v>
      </c>
      <c r="H8718" s="252">
        <f t="shared" si="741"/>
        <v>0.61949458483754516</v>
      </c>
    </row>
    <row r="8719" spans="1:8" x14ac:dyDescent="0.25">
      <c r="A8719" s="105" t="s">
        <v>31</v>
      </c>
      <c r="B8719" s="102">
        <v>44256</v>
      </c>
      <c r="C8719" s="4">
        <v>93</v>
      </c>
      <c r="D8719" s="21">
        <f t="shared" si="739"/>
        <v>21949</v>
      </c>
      <c r="F8719" s="57">
        <f t="shared" si="740"/>
        <v>300</v>
      </c>
      <c r="G8719" s="238">
        <f>SUM(C8719,C8695,C8671,C8647,C8623,C8599,C8575,C8551,C8527,C8503,C8479,C8455,C8431,C8407)/POBLA!$B$7*100000</f>
        <v>61.24267042508211</v>
      </c>
      <c r="H8719" s="252">
        <f t="shared" si="741"/>
        <v>1.1056168987037926</v>
      </c>
    </row>
    <row r="8720" spans="1:8" x14ac:dyDescent="0.25">
      <c r="A8720" s="105" t="s">
        <v>21</v>
      </c>
      <c r="B8720" s="102">
        <v>44256</v>
      </c>
      <c r="C8720" s="4">
        <v>393</v>
      </c>
      <c r="D8720" s="21">
        <f t="shared" si="739"/>
        <v>160271</v>
      </c>
      <c r="E8720" s="4">
        <v>12</v>
      </c>
      <c r="F8720" s="57">
        <f t="shared" si="740"/>
        <v>2845</v>
      </c>
      <c r="G8720" s="238">
        <f>SUM(C8720,C8696,C8672,C8648,C8624,C8600,C8576,C8552,C8528,C8504,C8480,C8456,C8432,C8408)/POBLA!$B$6*100000</f>
        <v>722.78664990484492</v>
      </c>
      <c r="H8720" s="252">
        <f t="shared" si="741"/>
        <v>1.1857435597189696</v>
      </c>
    </row>
    <row r="8721" spans="1:8" x14ac:dyDescent="0.25">
      <c r="A8721" s="105" t="s">
        <v>32</v>
      </c>
      <c r="B8721" s="102">
        <v>44256</v>
      </c>
      <c r="C8721" s="4">
        <v>92</v>
      </c>
      <c r="D8721" s="21">
        <f t="shared" si="739"/>
        <v>45259</v>
      </c>
      <c r="E8721" s="4">
        <v>12</v>
      </c>
      <c r="F8721" s="57">
        <f t="shared" ref="F8721:F8737" si="742">E8721+F8697</f>
        <v>853</v>
      </c>
      <c r="G8721" s="238">
        <f>SUM(C8721,C8697,C8673,C8649,C8625,C8601,C8577,C8553,C8529,C8505,C8481,C8457,C8433,C8409)/POBLA!$B$8*100000</f>
        <v>121.21553203878032</v>
      </c>
      <c r="H8721" s="252">
        <f t="shared" si="741"/>
        <v>0.69680630443799252</v>
      </c>
    </row>
    <row r="8722" spans="1:8" x14ac:dyDescent="0.25">
      <c r="A8722" s="105" t="s">
        <v>42</v>
      </c>
      <c r="B8722" s="102">
        <v>44256</v>
      </c>
      <c r="C8722" s="4">
        <v>22</v>
      </c>
      <c r="D8722" s="21">
        <f t="shared" si="739"/>
        <v>1243</v>
      </c>
      <c r="F8722" s="57">
        <f t="shared" si="742"/>
        <v>19</v>
      </c>
      <c r="G8722" s="238">
        <f>SUM(C8722,C8698,C8674,C8650,C8626,C8602,C8578,C8554,C8530,C8506,C8482,C8458,C8434,C8410)/POBLA!$B$9*100000</f>
        <v>44.448630436901951</v>
      </c>
      <c r="H8722" s="252">
        <f t="shared" si="741"/>
        <v>2.1181102362204722</v>
      </c>
    </row>
    <row r="8723" spans="1:8" x14ac:dyDescent="0.25">
      <c r="A8723" s="105" t="s">
        <v>33</v>
      </c>
      <c r="B8723" s="102">
        <v>44256</v>
      </c>
      <c r="C8723" s="4">
        <v>44</v>
      </c>
      <c r="D8723" s="21">
        <f t="shared" si="739"/>
        <v>20796</v>
      </c>
      <c r="F8723" s="57">
        <f t="shared" si="742"/>
        <v>905</v>
      </c>
      <c r="G8723" s="238">
        <f>SUM(C8723,C8699,C8675,C8651,C8627,C8603,C8579,C8555,C8531,C8507,C8483,C8459,C8435,C8411)/POBLA!$B$10*100000</f>
        <v>129.46226460374558</v>
      </c>
      <c r="H8723" s="252">
        <f t="shared" si="741"/>
        <v>2.22271714922049</v>
      </c>
    </row>
    <row r="8724" spans="1:8" x14ac:dyDescent="0.25">
      <c r="A8724" s="105" t="s">
        <v>34</v>
      </c>
      <c r="B8724" s="102">
        <v>44256</v>
      </c>
      <c r="C8724" s="4">
        <v>75</v>
      </c>
      <c r="D8724" s="21">
        <f t="shared" si="739"/>
        <v>18765</v>
      </c>
      <c r="E8724" s="4">
        <v>4</v>
      </c>
      <c r="F8724" s="57">
        <f t="shared" si="742"/>
        <v>289</v>
      </c>
      <c r="G8724" s="238">
        <f>SUM(C8724,C8700,C8676,C8652,C8628,C8604,C8580,C8556,C8532,C8508,C8484,C8460,C8436,C8412)/POBLA!$B$11*100000</f>
        <v>284.57598178713715</v>
      </c>
      <c r="H8724" s="252">
        <f t="shared" si="741"/>
        <v>0.82792207792207795</v>
      </c>
    </row>
    <row r="8725" spans="1:8" x14ac:dyDescent="0.25">
      <c r="A8725" s="105" t="s">
        <v>22</v>
      </c>
      <c r="B8725" s="102">
        <v>44256</v>
      </c>
      <c r="C8725" s="4">
        <v>17</v>
      </c>
      <c r="D8725" s="21">
        <f t="shared" si="739"/>
        <v>10241</v>
      </c>
      <c r="E8725" s="4">
        <v>1</v>
      </c>
      <c r="F8725" s="57">
        <f t="shared" si="742"/>
        <v>439</v>
      </c>
      <c r="G8725" s="238">
        <f>SUM(C8725,C8701,C8677,C8653,C8629,C8605,C8581,C8557,C8533,C8509,C8485,C8461,C8437,C8413)/POBLA!$B$12*100000</f>
        <v>96.561643174235329</v>
      </c>
      <c r="H8725" s="252">
        <f t="shared" si="741"/>
        <v>1.2582781456953642</v>
      </c>
    </row>
    <row r="8726" spans="1:8" x14ac:dyDescent="0.25">
      <c r="A8726" s="105" t="s">
        <v>18</v>
      </c>
      <c r="B8726" s="102">
        <v>44256</v>
      </c>
      <c r="C8726" s="4">
        <v>98</v>
      </c>
      <c r="D8726" s="21">
        <f t="shared" si="739"/>
        <v>67334</v>
      </c>
      <c r="E8726" s="4">
        <v>1</v>
      </c>
      <c r="F8726" s="57">
        <f t="shared" si="742"/>
        <v>1449</v>
      </c>
      <c r="G8726" s="238">
        <f>SUM(C8726,C8702,C8678,C8654,C8630,C8606,C8582,C8558,C8534,C8510,C8486,C8462,C8438,C8414)/POBLA!$B$13*100000</f>
        <v>82.900492278195955</v>
      </c>
      <c r="H8726" s="252">
        <f t="shared" si="741"/>
        <v>0.92230296254890998</v>
      </c>
    </row>
    <row r="8727" spans="1:8" x14ac:dyDescent="0.25">
      <c r="A8727" s="105" t="s">
        <v>24</v>
      </c>
      <c r="B8727" s="102">
        <v>44256</v>
      </c>
      <c r="C8727" s="4">
        <v>106</v>
      </c>
      <c r="D8727" s="21">
        <f t="shared" si="739"/>
        <v>8380</v>
      </c>
      <c r="E8727" s="4">
        <v>3</v>
      </c>
      <c r="F8727" s="57">
        <f t="shared" si="742"/>
        <v>143</v>
      </c>
      <c r="G8727" s="238">
        <f>SUM(C8727,C8703,C8679,C8655,C8631,C8607,C8583,C8559,C8535,C8511,C8487,C8463,C8439,C8415)/POBLA!$B$14*100000</f>
        <v>121.38327780834602</v>
      </c>
      <c r="H8727" s="252">
        <f t="shared" si="741"/>
        <v>0.76934673366834172</v>
      </c>
    </row>
    <row r="8728" spans="1:8" x14ac:dyDescent="0.25">
      <c r="A8728" s="105" t="s">
        <v>20</v>
      </c>
      <c r="B8728" s="102">
        <v>44256</v>
      </c>
      <c r="C8728" s="4">
        <v>147</v>
      </c>
      <c r="D8728" s="21">
        <f t="shared" si="739"/>
        <v>61323</v>
      </c>
      <c r="E8728" s="4">
        <v>4</v>
      </c>
      <c r="F8728" s="57">
        <f t="shared" si="742"/>
        <v>906</v>
      </c>
      <c r="G8728" s="238">
        <f>SUM(C8728,C8704,C8680,C8656,C8632,C8608,C8584,C8560,C8536,C8512,C8488,C8464,C8440,C8416)/POBLA!$B$15*100000</f>
        <v>378.28078011375533</v>
      </c>
      <c r="H8728" s="252">
        <f t="shared" si="741"/>
        <v>0.57338507190139243</v>
      </c>
    </row>
    <row r="8729" spans="1:8" x14ac:dyDescent="0.25">
      <c r="A8729" s="105" t="s">
        <v>19</v>
      </c>
      <c r="B8729" s="102">
        <v>44256</v>
      </c>
      <c r="C8729" s="4">
        <v>111</v>
      </c>
      <c r="D8729" s="21">
        <f t="shared" si="739"/>
        <v>52437</v>
      </c>
      <c r="E8729" s="4">
        <v>6</v>
      </c>
      <c r="F8729" s="57">
        <f t="shared" si="742"/>
        <v>1188</v>
      </c>
      <c r="G8729" s="238">
        <f>SUM(C8729,C8705,C8681,C8657,C8633,C8609,C8585,C8561,C8537,C8513,C8489,C8465,C8441,C8417)/POBLA!$B$16*100000</f>
        <v>234.48054466901192</v>
      </c>
      <c r="H8729" s="252">
        <f t="shared" si="741"/>
        <v>0.70176140912730189</v>
      </c>
    </row>
    <row r="8730" spans="1:8" x14ac:dyDescent="0.25">
      <c r="A8730" s="105" t="s">
        <v>35</v>
      </c>
      <c r="B8730" s="102">
        <v>44256</v>
      </c>
      <c r="C8730" s="4">
        <v>56</v>
      </c>
      <c r="D8730" s="21">
        <f t="shared" si="739"/>
        <v>26197</v>
      </c>
      <c r="E8730" s="4">
        <v>2</v>
      </c>
      <c r="F8730" s="57">
        <f t="shared" si="742"/>
        <v>1097</v>
      </c>
      <c r="G8730" s="238">
        <f>SUM(C8730,C8706,C8682,C8658,C8634,C8610,C8586,C8562,C8538,C8514,C8490,C8466,C8442,C8418)/POBLA!$B$17*100000</f>
        <v>94.215306547261747</v>
      </c>
      <c r="H8730" s="252">
        <f t="shared" si="741"/>
        <v>1.3041788143828961</v>
      </c>
    </row>
    <row r="8731" spans="1:8" x14ac:dyDescent="0.25">
      <c r="A8731" s="105" t="s">
        <v>36</v>
      </c>
      <c r="B8731" s="102">
        <v>44256</v>
      </c>
      <c r="C8731" s="4">
        <v>48</v>
      </c>
      <c r="D8731" s="21">
        <f t="shared" si="739"/>
        <v>15292</v>
      </c>
      <c r="E8731" s="4">
        <v>3</v>
      </c>
      <c r="F8731" s="57">
        <f t="shared" si="742"/>
        <v>211</v>
      </c>
      <c r="G8731" s="238">
        <f>SUM(C8731,C8707,C8683,C8659,C8635,C8611,C8587,C8563,C8539,C8515,C8491,C8467,C8443,C8419)/POBLA!$B$18*100000</f>
        <v>86.531655097111297</v>
      </c>
      <c r="H8731" s="252">
        <f t="shared" si="741"/>
        <v>1.0920840064620356</v>
      </c>
    </row>
    <row r="8732" spans="1:8" x14ac:dyDescent="0.25">
      <c r="A8732" s="105" t="s">
        <v>37</v>
      </c>
      <c r="B8732" s="102">
        <v>44256</v>
      </c>
      <c r="C8732" s="4">
        <v>3</v>
      </c>
      <c r="D8732" s="21">
        <f t="shared" si="739"/>
        <v>20776</v>
      </c>
      <c r="E8732" s="4">
        <v>2</v>
      </c>
      <c r="F8732" s="57">
        <f t="shared" si="742"/>
        <v>355</v>
      </c>
      <c r="G8732" s="238">
        <f>SUM(C8732,C8708,C8684,C8660,C8636,C8612,C8588,C8564,C8540,C8516,C8492,C8468,C8444,C8420)/POBLA!$B$19*100000</f>
        <v>136.32929919264728</v>
      </c>
      <c r="H8732" s="252">
        <f t="shared" si="741"/>
        <v>0.64948453608247425</v>
      </c>
    </row>
    <row r="8733" spans="1:8" x14ac:dyDescent="0.25">
      <c r="A8733" s="105" t="s">
        <v>38</v>
      </c>
      <c r="B8733" s="102">
        <v>44256</v>
      </c>
      <c r="C8733" s="4">
        <v>63</v>
      </c>
      <c r="D8733" s="21">
        <f t="shared" si="739"/>
        <v>35994</v>
      </c>
      <c r="E8733" s="4">
        <v>6</v>
      </c>
      <c r="F8733" s="57">
        <f t="shared" si="742"/>
        <v>584</v>
      </c>
      <c r="G8733" s="238">
        <f>SUM(C8733,C8709,C8685,C8661,C8637,C8613,C8589,C8565,C8541,C8517,C8493,C8469,C8445,C8421)/POBLA!$B$20*100000</f>
        <v>386.38439368003105</v>
      </c>
      <c r="H8733" s="252">
        <f t="shared" si="741"/>
        <v>0.74251182343667887</v>
      </c>
    </row>
    <row r="8734" spans="1:8" x14ac:dyDescent="0.25">
      <c r="A8734" s="105" t="s">
        <v>23</v>
      </c>
      <c r="B8734" s="102">
        <v>44256</v>
      </c>
      <c r="C8734" s="4">
        <v>314</v>
      </c>
      <c r="D8734" s="21">
        <f t="shared" si="739"/>
        <v>216779</v>
      </c>
      <c r="E8734" s="4">
        <v>11</v>
      </c>
      <c r="F8734" s="57">
        <f t="shared" si="742"/>
        <v>3969</v>
      </c>
      <c r="G8734" s="238">
        <f>SUM(C8734,C8710,C8686,C8662,C8638,C8614,C8590,C8566,C8542,C8518,C8494,C8470,C8446,C8422)/POBLA!$B$21*100000</f>
        <v>133.24216763968514</v>
      </c>
      <c r="H8734" s="252">
        <f t="shared" si="741"/>
        <v>0.82406435816719137</v>
      </c>
    </row>
    <row r="8735" spans="1:8" x14ac:dyDescent="0.25">
      <c r="A8735" s="105" t="s">
        <v>39</v>
      </c>
      <c r="B8735" s="102">
        <v>44256</v>
      </c>
      <c r="C8735" s="4">
        <v>34</v>
      </c>
      <c r="D8735" s="21">
        <f t="shared" si="739"/>
        <v>22692</v>
      </c>
      <c r="E8735" s="4">
        <v>1</v>
      </c>
      <c r="F8735" s="57">
        <f t="shared" si="742"/>
        <v>269</v>
      </c>
      <c r="G8735" s="238">
        <f>SUM(C8735,C8711,C8687,C8663,C8639,C8615,C8591,C8567,C8543,C8519,C8495,C8471,C8447,C8423)/POBLA!$B$22*100000</f>
        <v>82.488937589503564</v>
      </c>
      <c r="H8735" s="252">
        <f t="shared" si="741"/>
        <v>0.86680988184747587</v>
      </c>
    </row>
    <row r="8736" spans="1:8" x14ac:dyDescent="0.25">
      <c r="A8736" s="105" t="s">
        <v>40</v>
      </c>
      <c r="B8736" s="102">
        <v>44256</v>
      </c>
      <c r="C8736" s="4">
        <v>32</v>
      </c>
      <c r="D8736" s="21">
        <f t="shared" si="739"/>
        <v>22971</v>
      </c>
      <c r="E8736" s="4">
        <v>2</v>
      </c>
      <c r="F8736" s="57">
        <f t="shared" si="742"/>
        <v>355</v>
      </c>
      <c r="G8736" s="238">
        <f>SUM(C8736,C8712,C8688,C8664,C8640,C8616,C8592,C8568,C8544,C8520,C8496,C8472,C8448,C8424)/POBLA!$B$23*100000</f>
        <v>288.41259967200136</v>
      </c>
      <c r="H8736" s="252">
        <f t="shared" si="741"/>
        <v>0.83743842364532017</v>
      </c>
    </row>
    <row r="8737" spans="1:8" ht="15.75" thickBot="1" x14ac:dyDescent="0.3">
      <c r="A8737" s="106" t="s">
        <v>41</v>
      </c>
      <c r="B8737" s="102">
        <v>44256</v>
      </c>
      <c r="C8737" s="4">
        <v>129</v>
      </c>
      <c r="D8737" s="98">
        <f t="shared" si="739"/>
        <v>79926</v>
      </c>
      <c r="E8737" s="4">
        <v>3</v>
      </c>
      <c r="F8737" s="255">
        <f t="shared" si="742"/>
        <v>1476</v>
      </c>
      <c r="G8737" s="256">
        <f>SUM(C8737,C8713,C8689,C8665,C8641,C8617,C8593,C8569,C8545,C8521,C8497,C8473,C8449,C8425)/POBLA!$B$24*100000</f>
        <v>106.1572378110956</v>
      </c>
      <c r="H8737" s="257">
        <f t="shared" si="741"/>
        <v>1.1278996865203761</v>
      </c>
    </row>
    <row r="8738" spans="1:8" x14ac:dyDescent="0.25">
      <c r="A8738" s="45" t="s">
        <v>17</v>
      </c>
      <c r="B8738" s="102">
        <v>44257</v>
      </c>
      <c r="C8738" s="4">
        <v>2926</v>
      </c>
      <c r="D8738" s="97">
        <f t="shared" si="739"/>
        <v>884737</v>
      </c>
      <c r="E8738" s="4">
        <v>36</v>
      </c>
      <c r="F8738" s="250">
        <f t="shared" ref="F8738:F8744" si="743">E8738+F8714</f>
        <v>26279</v>
      </c>
      <c r="G8738" s="251">
        <f>SUM(C8738,C8714,C8690,C8666,C8642,C8618,C8594,C8570,C8546,C8522,C8498,C8474,C8450,C8426)/POBLA!$B$1*100000</f>
        <v>206.84515334549786</v>
      </c>
      <c r="H8738" s="230">
        <f t="shared" ref="H8738:H8761" si="744">SUM(C8738,C8714,C8690,C8666,C8642,C8618,C8594,C8570,C8546,C8522,C8498,C8474,C8450,C8426)/SUM(C8402,C8378,C8354,C8330,C8306,C8282,C8258,C8234,C8210,C8186,C8162,C8138,C8114,C8090)</f>
        <v>0.97281282676890901</v>
      </c>
    </row>
    <row r="8739" spans="1:8" x14ac:dyDescent="0.25">
      <c r="A8739" s="105" t="s">
        <v>44</v>
      </c>
      <c r="B8739" s="102">
        <v>44257</v>
      </c>
      <c r="C8739" s="4">
        <v>652</v>
      </c>
      <c r="D8739" s="21">
        <f t="shared" si="739"/>
        <v>232976</v>
      </c>
      <c r="E8739" s="4">
        <v>9</v>
      </c>
      <c r="F8739" s="57">
        <f t="shared" si="743"/>
        <v>6537</v>
      </c>
      <c r="G8739" s="238">
        <f>SUM(C8739,C8715,C8691,C8667,C8643,C8619,C8595,C8571,C8547,C8523,C8499,C8475,C8451,C8427)/POBLA!$B$2*100000</f>
        <v>312.22708985364375</v>
      </c>
      <c r="H8739" s="252">
        <f t="shared" si="744"/>
        <v>0.87403294802948939</v>
      </c>
    </row>
    <row r="8740" spans="1:8" x14ac:dyDescent="0.25">
      <c r="A8740" s="105" t="s">
        <v>29</v>
      </c>
      <c r="B8740" s="102">
        <v>44257</v>
      </c>
      <c r="C8740" s="4">
        <v>93</v>
      </c>
      <c r="D8740" s="21">
        <f t="shared" si="739"/>
        <v>8131</v>
      </c>
      <c r="F8740" s="57">
        <f t="shared" si="743"/>
        <v>17</v>
      </c>
      <c r="G8740" s="238">
        <f>SUM(C8740,C8716,C8692,C8668,C8644,C8620,C8596,C8572,C8548,C8524,C8500,C8476,C8452,C8428)/POBLA!$B$3*100000</f>
        <v>300.64654653642663</v>
      </c>
      <c r="H8740" s="252">
        <f t="shared" si="744"/>
        <v>1.037375415282392</v>
      </c>
    </row>
    <row r="8741" spans="1:8" x14ac:dyDescent="0.25">
      <c r="A8741" s="105" t="s">
        <v>16</v>
      </c>
      <c r="B8741" s="102">
        <v>44257</v>
      </c>
      <c r="C8741" s="4">
        <v>113</v>
      </c>
      <c r="D8741" s="21">
        <f t="shared" si="739"/>
        <v>34330</v>
      </c>
      <c r="E8741" s="4">
        <v>2</v>
      </c>
      <c r="F8741" s="57">
        <f t="shared" si="743"/>
        <v>869</v>
      </c>
      <c r="G8741" s="238">
        <f>SUM(C8741,C8717,C8693,C8669,C8645,C8621,C8597,C8573,C8549,C8525,C8501,C8477,C8453,C8429)/POBLA!$B$4*100000</f>
        <v>145.28355614296234</v>
      </c>
      <c r="H8741" s="252">
        <f t="shared" si="744"/>
        <v>1.11323155216285</v>
      </c>
    </row>
    <row r="8742" spans="1:8" x14ac:dyDescent="0.25">
      <c r="A8742" s="105" t="s">
        <v>30</v>
      </c>
      <c r="B8742" s="102">
        <v>44257</v>
      </c>
      <c r="C8742" s="4">
        <v>131</v>
      </c>
      <c r="D8742" s="21">
        <f t="shared" si="739"/>
        <v>47139</v>
      </c>
      <c r="F8742" s="57">
        <f t="shared" si="743"/>
        <v>775</v>
      </c>
      <c r="G8742" s="238">
        <f>SUM(C8742,C8718,C8694,C8670,C8646,C8622,C8598,C8574,C8550,C8526,C8502,C8478,C8454,C8430)/POBLA!$B$5*100000</f>
        <v>291.76373276639191</v>
      </c>
      <c r="H8742" s="252">
        <f t="shared" si="744"/>
        <v>0.72705314009661837</v>
      </c>
    </row>
    <row r="8743" spans="1:8" x14ac:dyDescent="0.25">
      <c r="A8743" s="105" t="s">
        <v>31</v>
      </c>
      <c r="B8743" s="102">
        <v>44257</v>
      </c>
      <c r="C8743" s="4">
        <v>111</v>
      </c>
      <c r="D8743" s="21">
        <f t="shared" si="739"/>
        <v>22060</v>
      </c>
      <c r="F8743" s="57">
        <f t="shared" si="743"/>
        <v>300</v>
      </c>
      <c r="G8743" s="238">
        <f>SUM(C8743,C8719,C8695,C8671,C8647,C8623,C8599,C8575,C8551,C8527,C8503,C8479,C8455,C8431)/POBLA!$B$7*100000</f>
        <v>51.270459652435214</v>
      </c>
      <c r="H8743" s="252">
        <f t="shared" si="744"/>
        <v>0.80534670008354214</v>
      </c>
    </row>
    <row r="8744" spans="1:8" x14ac:dyDescent="0.25">
      <c r="A8744" s="105" t="s">
        <v>21</v>
      </c>
      <c r="B8744" s="102">
        <v>44257</v>
      </c>
      <c r="C8744" s="4">
        <v>778</v>
      </c>
      <c r="D8744" s="21">
        <f t="shared" si="739"/>
        <v>161049</v>
      </c>
      <c r="E8744" s="4">
        <v>8</v>
      </c>
      <c r="F8744" s="57">
        <f t="shared" si="743"/>
        <v>2853</v>
      </c>
      <c r="G8744" s="238">
        <f>SUM(C8744,C8720,C8696,C8672,C8648,C8624,C8600,C8576,C8552,C8528,C8504,C8480,C8456,C8432)/POBLA!$B$6*100000</f>
        <v>765.16705463324888</v>
      </c>
      <c r="H8744" s="252">
        <f t="shared" si="744"/>
        <v>1.3065204143814748</v>
      </c>
    </row>
    <row r="8745" spans="1:8" x14ac:dyDescent="0.25">
      <c r="A8745" s="105" t="s">
        <v>32</v>
      </c>
      <c r="B8745" s="102">
        <v>44257</v>
      </c>
      <c r="C8745" s="4">
        <v>99</v>
      </c>
      <c r="D8745" s="21">
        <f t="shared" si="739"/>
        <v>45358</v>
      </c>
      <c r="E8745" s="4">
        <v>13</v>
      </c>
      <c r="F8745" s="57">
        <f t="shared" ref="F8745:F8761" si="745">E8745+F8721</f>
        <v>866</v>
      </c>
      <c r="G8745" s="238">
        <f>SUM(C8745,C8721,C8697,C8673,C8649,C8625,C8601,C8577,C8553,C8529,C8505,C8481,C8457,C8433)/POBLA!$B$8*100000</f>
        <v>120.92692362916416</v>
      </c>
      <c r="H8745" s="252">
        <f t="shared" si="744"/>
        <v>0.75156950672645739</v>
      </c>
    </row>
    <row r="8746" spans="1:8" x14ac:dyDescent="0.25">
      <c r="A8746" s="105" t="s">
        <v>42</v>
      </c>
      <c r="B8746" s="102">
        <v>44257</v>
      </c>
      <c r="C8746" s="4">
        <v>14</v>
      </c>
      <c r="D8746" s="21">
        <f t="shared" si="739"/>
        <v>1257</v>
      </c>
      <c r="F8746" s="57">
        <f t="shared" si="745"/>
        <v>19</v>
      </c>
      <c r="G8746" s="238">
        <f>SUM(C8746,C8722,C8698,C8674,C8650,C8626,C8602,C8578,C8554,C8530,C8506,C8482,C8458,C8434)/POBLA!$B$9*100000</f>
        <v>46.100995880652945</v>
      </c>
      <c r="H8746" s="252">
        <f t="shared" si="744"/>
        <v>2.1968503937007875</v>
      </c>
    </row>
    <row r="8747" spans="1:8" x14ac:dyDescent="0.25">
      <c r="A8747" s="105" t="s">
        <v>33</v>
      </c>
      <c r="B8747" s="102">
        <v>44257</v>
      </c>
      <c r="C8747" s="4">
        <v>92</v>
      </c>
      <c r="D8747" s="21">
        <f t="shared" si="739"/>
        <v>20888</v>
      </c>
      <c r="E8747" s="4">
        <v>4</v>
      </c>
      <c r="F8747" s="57">
        <f t="shared" si="745"/>
        <v>909</v>
      </c>
      <c r="G8747" s="238">
        <f>SUM(C8747,C8723,C8699,C8675,C8651,C8627,C8603,C8579,C8555,C8531,C8507,C8483,C8459,C8435)/POBLA!$B$10*100000</f>
        <v>137.63473220899203</v>
      </c>
      <c r="H8747" s="252">
        <f t="shared" si="744"/>
        <v>2.3267543859649122</v>
      </c>
    </row>
    <row r="8748" spans="1:8" x14ac:dyDescent="0.25">
      <c r="A8748" s="105" t="s">
        <v>34</v>
      </c>
      <c r="B8748" s="102">
        <v>44257</v>
      </c>
      <c r="C8748" s="4">
        <v>84</v>
      </c>
      <c r="D8748" s="21">
        <f t="shared" si="739"/>
        <v>18849</v>
      </c>
      <c r="F8748" s="57">
        <f t="shared" si="745"/>
        <v>289</v>
      </c>
      <c r="G8748" s="238">
        <f>SUM(C8748,C8724,C8700,C8676,C8652,C8628,C8604,C8580,C8556,C8532,C8508,C8484,C8460,C8436)/POBLA!$B$11*100000</f>
        <v>293.22485966498152</v>
      </c>
      <c r="H8748" s="252">
        <f t="shared" si="744"/>
        <v>0.87802840434419382</v>
      </c>
    </row>
    <row r="8749" spans="1:8" x14ac:dyDescent="0.25">
      <c r="A8749" s="105" t="s">
        <v>22</v>
      </c>
      <c r="B8749" s="102">
        <v>44257</v>
      </c>
      <c r="C8749" s="4">
        <v>23</v>
      </c>
      <c r="D8749" s="21">
        <f t="shared" si="739"/>
        <v>10264</v>
      </c>
      <c r="F8749" s="57">
        <f t="shared" si="745"/>
        <v>439</v>
      </c>
      <c r="G8749" s="238">
        <f>SUM(C8749,C8725,C8701,C8677,C8653,C8629,C8605,C8581,C8557,C8533,C8509,C8485,C8461,C8437)/POBLA!$B$12*100000</f>
        <v>97.323971936137184</v>
      </c>
      <c r="H8749" s="252">
        <f t="shared" si="744"/>
        <v>1.2120253164556962</v>
      </c>
    </row>
    <row r="8750" spans="1:8" x14ac:dyDescent="0.25">
      <c r="A8750" s="105" t="s">
        <v>18</v>
      </c>
      <c r="B8750" s="102">
        <v>44257</v>
      </c>
      <c r="C8750" s="4">
        <v>146</v>
      </c>
      <c r="D8750" s="21">
        <f t="shared" si="739"/>
        <v>67480</v>
      </c>
      <c r="F8750" s="57">
        <f t="shared" si="745"/>
        <v>1449</v>
      </c>
      <c r="G8750" s="238">
        <f>SUM(C8750,C8726,C8702,C8678,C8654,C8630,C8606,C8582,C8558,C8534,C8510,C8486,C8462,C8438)/POBLA!$B$13*100000</f>
        <v>87.92476453748057</v>
      </c>
      <c r="H8750" s="252">
        <f t="shared" si="744"/>
        <v>1.0361160449970397</v>
      </c>
    </row>
    <row r="8751" spans="1:8" x14ac:dyDescent="0.25">
      <c r="A8751" s="105" t="s">
        <v>24</v>
      </c>
      <c r="B8751" s="102">
        <v>44257</v>
      </c>
      <c r="C8751" s="4">
        <v>154</v>
      </c>
      <c r="D8751" s="21">
        <f t="shared" si="739"/>
        <v>8534</v>
      </c>
      <c r="E8751" s="4">
        <v>3</v>
      </c>
      <c r="F8751" s="57">
        <f t="shared" si="745"/>
        <v>146</v>
      </c>
      <c r="G8751" s="238">
        <f>SUM(C8751,C8727,C8703,C8679,C8655,C8631,C8607,C8583,C8559,C8535,C8511,C8487,C8463,C8439)/POBLA!$B$14*100000</f>
        <v>124.47534040437836</v>
      </c>
      <c r="H8751" s="252">
        <f t="shared" si="744"/>
        <v>0.86216364634816034</v>
      </c>
    </row>
    <row r="8752" spans="1:8" x14ac:dyDescent="0.25">
      <c r="A8752" s="105" t="s">
        <v>20</v>
      </c>
      <c r="B8752" s="102">
        <v>44257</v>
      </c>
      <c r="C8752" s="4">
        <v>176</v>
      </c>
      <c r="D8752" s="21">
        <f t="shared" si="739"/>
        <v>61499</v>
      </c>
      <c r="E8752" s="4">
        <v>4</v>
      </c>
      <c r="F8752" s="57">
        <f t="shared" si="745"/>
        <v>910</v>
      </c>
      <c r="G8752" s="238">
        <f>SUM(C8752,C8728,C8704,C8680,C8656,C8632,C8608,C8584,C8560,C8536,C8512,C8488,C8464,C8440)/POBLA!$B$15*100000</f>
        <v>387.9185069956344</v>
      </c>
      <c r="H8752" s="252">
        <f t="shared" si="744"/>
        <v>0.64496745117676513</v>
      </c>
    </row>
    <row r="8753" spans="1:8" x14ac:dyDescent="0.25">
      <c r="A8753" s="105" t="s">
        <v>19</v>
      </c>
      <c r="B8753" s="102">
        <v>44257</v>
      </c>
      <c r="C8753" s="4">
        <v>120</v>
      </c>
      <c r="D8753" s="21">
        <f t="shared" si="739"/>
        <v>52557</v>
      </c>
      <c r="E8753" s="4">
        <v>5</v>
      </c>
      <c r="F8753" s="57">
        <f t="shared" si="745"/>
        <v>1193</v>
      </c>
      <c r="G8753" s="238">
        <f>SUM(C8753,C8729,C8705,C8681,C8657,C8633,C8609,C8585,C8561,C8537,C8513,C8489,C8465,C8441)/POBLA!$B$16*100000</f>
        <v>235.4168617327216</v>
      </c>
      <c r="H8753" s="252">
        <f t="shared" si="744"/>
        <v>0.7596029348295209</v>
      </c>
    </row>
    <row r="8754" spans="1:8" x14ac:dyDescent="0.25">
      <c r="A8754" s="105" t="s">
        <v>35</v>
      </c>
      <c r="B8754" s="102">
        <v>44257</v>
      </c>
      <c r="C8754" s="4">
        <v>103</v>
      </c>
      <c r="D8754" s="21">
        <f t="shared" si="739"/>
        <v>26300</v>
      </c>
      <c r="E8754" s="4">
        <v>5</v>
      </c>
      <c r="F8754" s="57">
        <f t="shared" si="745"/>
        <v>1102</v>
      </c>
      <c r="G8754" s="238">
        <f>SUM(C8754,C8730,C8706,C8682,C8658,C8634,C8610,C8586,C8562,C8538,C8514,C8490,C8466,C8442)/POBLA!$B$17*100000</f>
        <v>98.216999895394338</v>
      </c>
      <c r="H8754" s="252">
        <f t="shared" si="744"/>
        <v>1.3742632612966601</v>
      </c>
    </row>
    <row r="8755" spans="1:8" x14ac:dyDescent="0.25">
      <c r="A8755" s="105" t="s">
        <v>36</v>
      </c>
      <c r="B8755" s="102">
        <v>44257</v>
      </c>
      <c r="C8755" s="4">
        <v>51</v>
      </c>
      <c r="D8755" s="21">
        <f t="shared" si="739"/>
        <v>15343</v>
      </c>
      <c r="E8755" s="4">
        <v>1</v>
      </c>
      <c r="F8755" s="57">
        <f t="shared" si="745"/>
        <v>212</v>
      </c>
      <c r="G8755" s="238">
        <f>SUM(C8755,C8731,C8707,C8683,C8659,C8635,C8611,C8587,C8563,C8539,C8515,C8491,C8467,C8443)/POBLA!$B$18*100000</f>
        <v>87.427692945750039</v>
      </c>
      <c r="H8755" s="252">
        <f t="shared" si="744"/>
        <v>1.1775862068965517</v>
      </c>
    </row>
    <row r="8756" spans="1:8" x14ac:dyDescent="0.25">
      <c r="A8756" s="105" t="s">
        <v>37</v>
      </c>
      <c r="B8756" s="102">
        <v>44257</v>
      </c>
      <c r="C8756" s="4">
        <v>6</v>
      </c>
      <c r="D8756" s="21">
        <f t="shared" si="739"/>
        <v>20782</v>
      </c>
      <c r="E8756" s="4">
        <v>1</v>
      </c>
      <c r="F8756" s="57">
        <f t="shared" si="745"/>
        <v>356</v>
      </c>
      <c r="G8756" s="238">
        <f>SUM(C8756,C8732,C8708,C8684,C8660,C8636,C8612,C8588,C8564,C8540,C8516,C8492,C8468,C8444)/POBLA!$B$19*100000</f>
        <v>110.36181363214303</v>
      </c>
      <c r="H8756" s="252">
        <f t="shared" si="744"/>
        <v>0.49124343257443082</v>
      </c>
    </row>
    <row r="8757" spans="1:8" x14ac:dyDescent="0.25">
      <c r="A8757" s="105" t="s">
        <v>38</v>
      </c>
      <c r="B8757" s="102">
        <v>44257</v>
      </c>
      <c r="C8757" s="4">
        <v>104</v>
      </c>
      <c r="D8757" s="21">
        <f t="shared" si="739"/>
        <v>36098</v>
      </c>
      <c r="E8757" s="4">
        <v>4</v>
      </c>
      <c r="F8757" s="57">
        <f t="shared" si="745"/>
        <v>588</v>
      </c>
      <c r="G8757" s="238">
        <f>SUM(C8757,C8733,C8709,C8685,C8661,C8637,C8613,C8589,C8565,C8541,C8517,C8493,C8469,C8445)/POBLA!$B$20*100000</f>
        <v>400.6037768869395</v>
      </c>
      <c r="H8757" s="252">
        <f t="shared" si="744"/>
        <v>0.81524763494713415</v>
      </c>
    </row>
    <row r="8758" spans="1:8" x14ac:dyDescent="0.25">
      <c r="A8758" s="105" t="s">
        <v>23</v>
      </c>
      <c r="B8758" s="102">
        <v>44257</v>
      </c>
      <c r="C8758" s="4">
        <v>409</v>
      </c>
      <c r="D8758" s="21">
        <f t="shared" si="739"/>
        <v>217188</v>
      </c>
      <c r="E8758" s="4">
        <v>20</v>
      </c>
      <c r="F8758" s="57">
        <f t="shared" si="745"/>
        <v>3989</v>
      </c>
      <c r="G8758" s="238">
        <f>SUM(C8758,C8734,C8710,C8686,C8662,C8638,C8614,C8590,C8566,C8542,C8518,C8494,C8470,C8446)/POBLA!$B$21*100000</f>
        <v>139.71764649993298</v>
      </c>
      <c r="H8758" s="252">
        <f t="shared" si="744"/>
        <v>0.91788965261006872</v>
      </c>
    </row>
    <row r="8759" spans="1:8" x14ac:dyDescent="0.25">
      <c r="A8759" s="105" t="s">
        <v>39</v>
      </c>
      <c r="B8759" s="102">
        <v>44257</v>
      </c>
      <c r="C8759" s="4">
        <v>40</v>
      </c>
      <c r="D8759" s="21">
        <f t="shared" si="739"/>
        <v>22732</v>
      </c>
      <c r="F8759" s="57">
        <f t="shared" si="745"/>
        <v>269</v>
      </c>
      <c r="G8759" s="238">
        <f>SUM(C8759,C8735,C8711,C8687,C8663,C8639,C8615,C8591,C8567,C8543,C8519,C8495,C8471,C8447)/POBLA!$B$22*100000</f>
        <v>83.613322116745863</v>
      </c>
      <c r="H8759" s="252">
        <f t="shared" si="744"/>
        <v>0.91806958473625144</v>
      </c>
    </row>
    <row r="8760" spans="1:8" x14ac:dyDescent="0.25">
      <c r="A8760" s="105" t="s">
        <v>40</v>
      </c>
      <c r="B8760" s="102">
        <v>44257</v>
      </c>
      <c r="C8760" s="4">
        <v>55</v>
      </c>
      <c r="D8760" s="21">
        <f t="shared" si="739"/>
        <v>23026</v>
      </c>
      <c r="E8760" s="4">
        <v>1</v>
      </c>
      <c r="F8760" s="57">
        <f t="shared" si="745"/>
        <v>356</v>
      </c>
      <c r="G8760" s="238">
        <f>SUM(C8760,C8736,C8712,C8688,C8664,C8640,C8616,C8592,C8568,C8544,C8520,C8496,C8472,C8448)/POBLA!$B$23*100000</f>
        <v>307.07459141548378</v>
      </c>
      <c r="H8760" s="252">
        <f t="shared" si="744"/>
        <v>0.94764397905759157</v>
      </c>
    </row>
    <row r="8761" spans="1:8" ht="15.75" thickBot="1" x14ac:dyDescent="0.3">
      <c r="A8761" s="106" t="s">
        <v>41</v>
      </c>
      <c r="B8761" s="102">
        <v>44257</v>
      </c>
      <c r="C8761" s="4">
        <v>173</v>
      </c>
      <c r="D8761" s="98">
        <f t="shared" si="739"/>
        <v>80099</v>
      </c>
      <c r="F8761" s="255">
        <f t="shared" si="745"/>
        <v>1476</v>
      </c>
      <c r="G8761" s="256">
        <f>SUM(C8761,C8737,C8713,C8689,C8665,C8641,C8617,C8593,C8569,C8545,C8521,C8497,C8473,C8449)/POBLA!$B$24*100000</f>
        <v>112.41219456928131</v>
      </c>
      <c r="H8761" s="257">
        <f t="shared" si="744"/>
        <v>1.2880324543610548</v>
      </c>
    </row>
    <row r="8762" spans="1:8" x14ac:dyDescent="0.25">
      <c r="A8762" s="45" t="s">
        <v>17</v>
      </c>
      <c r="B8762" s="102">
        <v>44258</v>
      </c>
      <c r="C8762" s="4">
        <v>3460</v>
      </c>
      <c r="D8762" s="97">
        <f t="shared" si="739"/>
        <v>888197</v>
      </c>
      <c r="E8762" s="4">
        <v>169</v>
      </c>
      <c r="F8762" s="250">
        <f t="shared" ref="F8762:F8768" si="746">E8762+F8738</f>
        <v>26448</v>
      </c>
      <c r="G8762" s="251">
        <f>SUM(C8762,C8738,C8714,C8690,C8666,C8642,C8618,C8594,C8570,C8546,C8522,C8498,C8474,C8450)/POBLA!$B$1*100000</f>
        <v>211.73651132500447</v>
      </c>
      <c r="H8762" s="230">
        <f t="shared" ref="H8762:H8785" si="747">SUM(C8762,C8738,C8714,C8690,C8666,C8642,C8618,C8594,C8570,C8546,C8522,C8498,C8474,C8450)/SUM(C8426,C8402,C8378,C8354,C8330,C8306,C8282,C8258,C8234,C8210,C8186,C8162,C8138,C8114)</f>
        <v>1.0256828035679766</v>
      </c>
    </row>
    <row r="8763" spans="1:8" x14ac:dyDescent="0.25">
      <c r="A8763" s="105" t="s">
        <v>44</v>
      </c>
      <c r="B8763" s="102">
        <v>44258</v>
      </c>
      <c r="C8763" s="4">
        <v>859</v>
      </c>
      <c r="D8763" s="21">
        <f t="shared" si="739"/>
        <v>233835</v>
      </c>
      <c r="E8763" s="4">
        <v>18</v>
      </c>
      <c r="F8763" s="57">
        <f t="shared" si="746"/>
        <v>6555</v>
      </c>
      <c r="G8763" s="238">
        <f>SUM(C8763,C8739,C8715,C8691,C8667,C8643,C8619,C8595,C8571,C8547,C8523,C8499,C8475,C8451)/POBLA!$B$2*100000</f>
        <v>315.31587185261242</v>
      </c>
      <c r="H8763" s="252">
        <f t="shared" si="747"/>
        <v>0.90805243445692885</v>
      </c>
    </row>
    <row r="8764" spans="1:8" x14ac:dyDescent="0.25">
      <c r="A8764" s="105" t="s">
        <v>29</v>
      </c>
      <c r="B8764" s="102">
        <v>44258</v>
      </c>
      <c r="C8764" s="4">
        <v>53</v>
      </c>
      <c r="D8764" s="21">
        <f t="shared" si="739"/>
        <v>8184</v>
      </c>
      <c r="F8764" s="57">
        <f t="shared" si="746"/>
        <v>17</v>
      </c>
      <c r="G8764" s="238">
        <f>SUM(C8764,C8740,C8716,C8692,C8668,C8644,C8620,C8596,C8572,C8548,C8524,C8500,C8476,C8452)/POBLA!$B$3*100000</f>
        <v>293.90667199437701</v>
      </c>
      <c r="H8764" s="252">
        <f t="shared" si="747"/>
        <v>1.0654450261780104</v>
      </c>
    </row>
    <row r="8765" spans="1:8" x14ac:dyDescent="0.25">
      <c r="A8765" s="105" t="s">
        <v>16</v>
      </c>
      <c r="B8765" s="102">
        <v>44258</v>
      </c>
      <c r="C8765" s="4">
        <v>174</v>
      </c>
      <c r="D8765" s="21">
        <f t="shared" si="739"/>
        <v>34504</v>
      </c>
      <c r="E8765" s="4">
        <v>1</v>
      </c>
      <c r="F8765" s="57">
        <f t="shared" si="746"/>
        <v>870</v>
      </c>
      <c r="G8765" s="238">
        <f>SUM(C8765,C8741,C8717,C8693,C8669,C8645,C8621,C8597,C8573,C8549,C8525,C8501,C8477,C8453)/POBLA!$B$4*100000</f>
        <v>151.09489838868083</v>
      </c>
      <c r="H8765" s="252">
        <f t="shared" si="747"/>
        <v>1.1674150096215523</v>
      </c>
    </row>
    <row r="8766" spans="1:8" x14ac:dyDescent="0.25">
      <c r="A8766" s="105" t="s">
        <v>30</v>
      </c>
      <c r="B8766" s="102">
        <v>44258</v>
      </c>
      <c r="C8766" s="4">
        <v>131</v>
      </c>
      <c r="D8766" s="21">
        <f t="shared" si="739"/>
        <v>47270</v>
      </c>
      <c r="E8766" s="4">
        <v>2</v>
      </c>
      <c r="F8766" s="57">
        <f t="shared" si="746"/>
        <v>777</v>
      </c>
      <c r="G8766" s="238">
        <f>SUM(C8766,C8742,C8718,C8694,C8670,C8646,C8622,C8598,C8574,C8550,C8526,C8502,C8478,C8454)/POBLA!$B$5*100000</f>
        <v>284.65542476986855</v>
      </c>
      <c r="H8766" s="252">
        <f t="shared" si="747"/>
        <v>0.74661016949152548</v>
      </c>
    </row>
    <row r="8767" spans="1:8" x14ac:dyDescent="0.25">
      <c r="A8767" s="105" t="s">
        <v>31</v>
      </c>
      <c r="B8767" s="102">
        <v>44258</v>
      </c>
      <c r="C8767" s="4">
        <v>253</v>
      </c>
      <c r="D8767" s="21">
        <f t="shared" si="739"/>
        <v>22313</v>
      </c>
      <c r="F8767" s="57">
        <f t="shared" si="746"/>
        <v>300</v>
      </c>
      <c r="G8767" s="238">
        <f>SUM(C8767,C8743,C8719,C8695,C8671,C8647,C8623,C8599,C8575,C8551,C8527,C8503,C8479,C8455)/POBLA!$B$7*100000</f>
        <v>50.313127418261118</v>
      </c>
      <c r="H8767" s="252">
        <f t="shared" si="747"/>
        <v>0.77192982456140347</v>
      </c>
    </row>
    <row r="8768" spans="1:8" x14ac:dyDescent="0.25">
      <c r="A8768" s="105" t="s">
        <v>21</v>
      </c>
      <c r="B8768" s="102">
        <v>44258</v>
      </c>
      <c r="C8768" s="4">
        <v>699</v>
      </c>
      <c r="D8768" s="21">
        <f t="shared" si="739"/>
        <v>161748</v>
      </c>
      <c r="E8768" s="4">
        <v>9</v>
      </c>
      <c r="F8768" s="57">
        <f t="shared" si="746"/>
        <v>2862</v>
      </c>
      <c r="G8768" s="238">
        <f>SUM(C8768,C8744,C8720,C8696,C8672,C8648,C8624,C8600,C8576,C8552,C8528,C8504,C8480,C8456)/POBLA!$B$6*100000</f>
        <v>788.45397175769835</v>
      </c>
      <c r="H8768" s="252">
        <f t="shared" si="747"/>
        <v>1.3809970307860604</v>
      </c>
    </row>
    <row r="8769" spans="1:8" x14ac:dyDescent="0.25">
      <c r="A8769" s="105" t="s">
        <v>32</v>
      </c>
      <c r="B8769" s="102">
        <v>44258</v>
      </c>
      <c r="C8769" s="4">
        <v>161</v>
      </c>
      <c r="D8769" s="21">
        <f t="shared" si="739"/>
        <v>45519</v>
      </c>
      <c r="E8769" s="4">
        <v>3</v>
      </c>
      <c r="F8769" s="57">
        <f t="shared" ref="F8769:F8792" si="748">E8769+F8745</f>
        <v>869</v>
      </c>
      <c r="G8769" s="238">
        <f>SUM(C8769,C8745,C8721,C8697,C8673,C8649,C8625,C8601,C8577,C8553,C8529,C8505,C8481,C8457)/POBLA!$B$8*100000</f>
        <v>126.4104834118709</v>
      </c>
      <c r="H8769" s="252">
        <f t="shared" si="747"/>
        <v>0.8546341463414634</v>
      </c>
    </row>
    <row r="8770" spans="1:8" x14ac:dyDescent="0.25">
      <c r="A8770" s="105" t="s">
        <v>42</v>
      </c>
      <c r="B8770" s="102">
        <v>44258</v>
      </c>
      <c r="C8770" s="4">
        <v>29</v>
      </c>
      <c r="D8770" s="21">
        <f t="shared" ref="D8770:D8809" si="749">C8770+D8746</f>
        <v>1286</v>
      </c>
      <c r="F8770" s="57">
        <f t="shared" si="748"/>
        <v>19</v>
      </c>
      <c r="G8770" s="238">
        <f>SUM(C8770,C8746,C8722,C8698,C8674,C8650,C8626,C8602,C8578,C8554,C8530,C8506,C8482,C8458)/POBLA!$B$9*100000</f>
        <v>49.240490223779844</v>
      </c>
      <c r="H8770" s="252">
        <f t="shared" si="747"/>
        <v>2.2406015037593985</v>
      </c>
    </row>
    <row r="8771" spans="1:8" x14ac:dyDescent="0.25">
      <c r="A8771" s="105" t="s">
        <v>33</v>
      </c>
      <c r="B8771" s="102">
        <v>44258</v>
      </c>
      <c r="C8771" s="4">
        <v>94</v>
      </c>
      <c r="D8771" s="21">
        <f t="shared" si="749"/>
        <v>20982</v>
      </c>
      <c r="E8771" s="4">
        <v>2</v>
      </c>
      <c r="F8771" s="57">
        <f t="shared" si="748"/>
        <v>911</v>
      </c>
      <c r="G8771" s="238">
        <f>SUM(C8771,C8747,C8723,C8699,C8675,C8651,C8627,C8603,C8579,C8555,C8531,C8507,C8483,C8459)/POBLA!$B$10*100000</f>
        <v>143.21276565384281</v>
      </c>
      <c r="H8771" s="252">
        <f t="shared" si="747"/>
        <v>2.3340380549682873</v>
      </c>
    </row>
    <row r="8772" spans="1:8" x14ac:dyDescent="0.25">
      <c r="A8772" s="105" t="s">
        <v>34</v>
      </c>
      <c r="B8772" s="102">
        <v>44258</v>
      </c>
      <c r="C8772" s="4">
        <v>104</v>
      </c>
      <c r="D8772" s="21">
        <f t="shared" si="749"/>
        <v>18953</v>
      </c>
      <c r="F8772" s="57">
        <f t="shared" si="748"/>
        <v>289</v>
      </c>
      <c r="G8772" s="238">
        <f>SUM(C8772,C8748,C8724,C8700,C8676,C8652,C8628,C8604,C8580,C8556,C8532,C8508,C8484,C8460)/POBLA!$B$11*100000</f>
        <v>310.24361936009467</v>
      </c>
      <c r="H8772" s="252">
        <f t="shared" si="747"/>
        <v>0.9754385964912281</v>
      </c>
    </row>
    <row r="8773" spans="1:8" x14ac:dyDescent="0.25">
      <c r="A8773" s="105" t="s">
        <v>22</v>
      </c>
      <c r="B8773" s="102">
        <v>44258</v>
      </c>
      <c r="C8773" s="4">
        <v>23</v>
      </c>
      <c r="D8773" s="21">
        <f t="shared" si="749"/>
        <v>10287</v>
      </c>
      <c r="F8773" s="57">
        <f t="shared" si="748"/>
        <v>439</v>
      </c>
      <c r="G8773" s="238">
        <f>SUM(C8773,C8749,C8725,C8701,C8677,C8653,C8629,C8605,C8581,C8557,C8533,C8509,C8485,C8461)/POBLA!$B$12*100000</f>
        <v>94.274656888529748</v>
      </c>
      <c r="H8773" s="252">
        <f t="shared" si="747"/>
        <v>1.1208459214501512</v>
      </c>
    </row>
    <row r="8774" spans="1:8" x14ac:dyDescent="0.25">
      <c r="A8774" s="105" t="s">
        <v>18</v>
      </c>
      <c r="B8774" s="102">
        <v>44258</v>
      </c>
      <c r="C8774" s="4">
        <v>207</v>
      </c>
      <c r="D8774" s="21">
        <f t="shared" si="749"/>
        <v>67687</v>
      </c>
      <c r="E8774" s="4">
        <v>4</v>
      </c>
      <c r="F8774" s="57">
        <f t="shared" si="748"/>
        <v>1453</v>
      </c>
      <c r="G8774" s="238">
        <f>SUM(C8774,C8750,C8726,C8702,C8678,C8654,C8630,C8606,C8582,C8558,C8534,C8510,C8486,C8462)/POBLA!$B$13*100000</f>
        <v>91.592483286758338</v>
      </c>
      <c r="H8774" s="252">
        <f t="shared" si="747"/>
        <v>1.0948948948948949</v>
      </c>
    </row>
    <row r="8775" spans="1:8" x14ac:dyDescent="0.25">
      <c r="A8775" s="105" t="s">
        <v>24</v>
      </c>
      <c r="B8775" s="102">
        <v>44258</v>
      </c>
      <c r="C8775" s="4">
        <v>116</v>
      </c>
      <c r="D8775" s="21">
        <f t="shared" si="749"/>
        <v>8650</v>
      </c>
      <c r="E8775" s="4">
        <v>2</v>
      </c>
      <c r="F8775" s="57">
        <f t="shared" si="748"/>
        <v>148</v>
      </c>
      <c r="G8775" s="238">
        <f>SUM(C8775,C8751,C8727,C8703,C8679,C8655,C8631,C8607,C8583,C8559,C8535,C8511,C8487,C8463)/POBLA!$B$14*100000</f>
        <v>126.14029718685731</v>
      </c>
      <c r="H8775" s="252">
        <f t="shared" si="747"/>
        <v>0.921784472769409</v>
      </c>
    </row>
    <row r="8776" spans="1:8" x14ac:dyDescent="0.25">
      <c r="A8776" s="105" t="s">
        <v>20</v>
      </c>
      <c r="B8776" s="102">
        <v>44258</v>
      </c>
      <c r="C8776" s="4">
        <v>176</v>
      </c>
      <c r="D8776" s="21">
        <f t="shared" si="749"/>
        <v>61675</v>
      </c>
      <c r="E8776" s="4">
        <v>28</v>
      </c>
      <c r="F8776" s="57">
        <f t="shared" si="748"/>
        <v>938</v>
      </c>
      <c r="G8776" s="238">
        <f>SUM(C8776,C8752,C8728,C8704,C8680,C8656,C8632,C8608,C8584,C8560,C8536,C8512,C8488,C8464)/POBLA!$B$15*100000</f>
        <v>380.5396223516957</v>
      </c>
      <c r="H8776" s="252">
        <f t="shared" si="747"/>
        <v>0.67153866595801226</v>
      </c>
    </row>
    <row r="8777" spans="1:8" x14ac:dyDescent="0.25">
      <c r="A8777" s="105" t="s">
        <v>19</v>
      </c>
      <c r="B8777" s="102">
        <v>44258</v>
      </c>
      <c r="C8777" s="4">
        <v>185</v>
      </c>
      <c r="D8777" s="21">
        <f t="shared" si="749"/>
        <v>52742</v>
      </c>
      <c r="E8777" s="4">
        <v>4</v>
      </c>
      <c r="F8777" s="57">
        <f t="shared" si="748"/>
        <v>1197</v>
      </c>
      <c r="G8777" s="238">
        <f>SUM(C8777,C8753,C8729,C8705,C8681,C8657,C8633,C8609,C8585,C8561,C8537,C8513,C8489,C8465)/POBLA!$B$16*100000</f>
        <v>239.96468747074007</v>
      </c>
      <c r="H8777" s="252">
        <f t="shared" si="747"/>
        <v>0.81992687385740404</v>
      </c>
    </row>
    <row r="8778" spans="1:8" x14ac:dyDescent="0.25">
      <c r="A8778" s="105" t="s">
        <v>35</v>
      </c>
      <c r="B8778" s="102">
        <v>44258</v>
      </c>
      <c r="C8778" s="4">
        <v>140</v>
      </c>
      <c r="D8778" s="21">
        <f t="shared" si="749"/>
        <v>26440</v>
      </c>
      <c r="E8778" s="4">
        <v>3</v>
      </c>
      <c r="F8778" s="57">
        <f t="shared" si="748"/>
        <v>1105</v>
      </c>
      <c r="G8778" s="238">
        <f>SUM(C8778,C8754,C8730,C8706,C8682,C8658,C8634,C8610,C8586,C8562,C8538,C8514,C8490,C8466)/POBLA!$B$17*100000</f>
        <v>105.65874541999176</v>
      </c>
      <c r="H8778" s="252">
        <f t="shared" si="747"/>
        <v>1.5644490644490645</v>
      </c>
    </row>
    <row r="8779" spans="1:8" x14ac:dyDescent="0.25">
      <c r="A8779" s="105" t="s">
        <v>36</v>
      </c>
      <c r="B8779" s="102">
        <v>44258</v>
      </c>
      <c r="C8779" s="4">
        <v>61</v>
      </c>
      <c r="D8779" s="21">
        <f t="shared" si="749"/>
        <v>15404</v>
      </c>
      <c r="F8779" s="57">
        <f t="shared" si="748"/>
        <v>212</v>
      </c>
      <c r="G8779" s="238">
        <f>SUM(C8779,C8755,C8731,C8707,C8683,C8659,C8635,C8611,C8587,C8563,C8539,C8515,C8491,C8467)/POBLA!$B$18*100000</f>
        <v>84.739579399833843</v>
      </c>
      <c r="H8779" s="252">
        <f t="shared" si="747"/>
        <v>1.097844112769486</v>
      </c>
    </row>
    <row r="8780" spans="1:8" x14ac:dyDescent="0.25">
      <c r="A8780" s="105" t="s">
        <v>37</v>
      </c>
      <c r="B8780" s="102">
        <v>44258</v>
      </c>
      <c r="C8780" s="4">
        <v>6</v>
      </c>
      <c r="D8780" s="21">
        <f t="shared" si="749"/>
        <v>20788</v>
      </c>
      <c r="F8780" s="57">
        <f t="shared" si="748"/>
        <v>356</v>
      </c>
      <c r="G8780" s="238">
        <f>SUM(C8780,C8756,C8732,C8708,C8684,C8660,C8636,C8612,C8588,C8564,C8540,C8516,C8492,C8468)/POBLA!$B$19*100000</f>
        <v>110.36181363214303</v>
      </c>
      <c r="H8780" s="252">
        <f t="shared" si="747"/>
        <v>0.4925373134328358</v>
      </c>
    </row>
    <row r="8781" spans="1:8" x14ac:dyDescent="0.25">
      <c r="A8781" s="105" t="s">
        <v>38</v>
      </c>
      <c r="B8781" s="102">
        <v>44258</v>
      </c>
      <c r="C8781" s="4">
        <v>139</v>
      </c>
      <c r="D8781" s="21">
        <f t="shared" si="749"/>
        <v>36237</v>
      </c>
      <c r="E8781" s="4">
        <v>5</v>
      </c>
      <c r="F8781" s="57">
        <f t="shared" si="748"/>
        <v>593</v>
      </c>
      <c r="G8781" s="238">
        <f>SUM(C8781,C8757,C8733,C8709,C8685,C8661,C8637,C8613,C8589,C8565,C8541,C8517,C8493,C8469)/POBLA!$B$20*100000</f>
        <v>406.61966978216998</v>
      </c>
      <c r="H8781" s="252">
        <f t="shared" si="747"/>
        <v>0.99598124581379777</v>
      </c>
    </row>
    <row r="8782" spans="1:8" x14ac:dyDescent="0.25">
      <c r="A8782" s="105" t="s">
        <v>23</v>
      </c>
      <c r="B8782" s="102">
        <v>44258</v>
      </c>
      <c r="C8782" s="4">
        <v>503</v>
      </c>
      <c r="D8782" s="21">
        <f t="shared" si="749"/>
        <v>217691</v>
      </c>
      <c r="E8782" s="4">
        <v>10</v>
      </c>
      <c r="F8782" s="57">
        <f t="shared" si="748"/>
        <v>3999</v>
      </c>
      <c r="G8782" s="238">
        <f>SUM(C8782,C8758,C8734,C8710,C8686,C8662,C8638,C8614,C8590,C8566,C8542,C8518,C8494,C8470)/POBLA!$B$21*100000</f>
        <v>144.89237414807866</v>
      </c>
      <c r="H8782" s="252">
        <f t="shared" si="747"/>
        <v>1.0217347956131606</v>
      </c>
    </row>
    <row r="8783" spans="1:8" x14ac:dyDescent="0.25">
      <c r="A8783" s="105" t="s">
        <v>39</v>
      </c>
      <c r="B8783" s="102">
        <v>44258</v>
      </c>
      <c r="C8783" s="4">
        <v>55</v>
      </c>
      <c r="D8783" s="21">
        <f t="shared" si="749"/>
        <v>22787</v>
      </c>
      <c r="F8783" s="57">
        <f t="shared" si="748"/>
        <v>269</v>
      </c>
      <c r="G8783" s="238">
        <f>SUM(C8783,C8759,C8735,C8711,C8687,C8663,C8639,C8615,C8591,C8567,C8543,C8519,C8495,C8471)/POBLA!$B$22*100000</f>
        <v>84.328839543172791</v>
      </c>
      <c r="H8783" s="252">
        <f t="shared" si="747"/>
        <v>0.972877358490566</v>
      </c>
    </row>
    <row r="8784" spans="1:8" x14ac:dyDescent="0.25">
      <c r="A8784" s="105" t="s">
        <v>40</v>
      </c>
      <c r="B8784" s="102">
        <v>44258</v>
      </c>
      <c r="C8784" s="4">
        <v>22</v>
      </c>
      <c r="D8784" s="21">
        <f t="shared" si="749"/>
        <v>23048</v>
      </c>
      <c r="F8784" s="57">
        <f t="shared" si="748"/>
        <v>356</v>
      </c>
      <c r="G8784" s="238">
        <f>SUM(C8784,C8760,C8736,C8712,C8688,C8664,C8640,C8616,C8592,C8568,C8544,C8520,C8496,C8472)/POBLA!$B$23*100000</f>
        <v>293.50223378386022</v>
      </c>
      <c r="H8784" s="252">
        <f t="shared" si="747"/>
        <v>0.92348754448398573</v>
      </c>
    </row>
    <row r="8785" spans="1:8" ht="15.75" thickBot="1" x14ac:dyDescent="0.3">
      <c r="A8785" s="106" t="s">
        <v>41</v>
      </c>
      <c r="B8785" s="102">
        <v>44258</v>
      </c>
      <c r="C8785" s="4">
        <v>205</v>
      </c>
      <c r="D8785" s="98">
        <f t="shared" si="749"/>
        <v>80304</v>
      </c>
      <c r="E8785" s="4">
        <v>2</v>
      </c>
      <c r="F8785" s="255">
        <f t="shared" si="748"/>
        <v>1478</v>
      </c>
      <c r="G8785" s="256">
        <f>SUM(C8785,C8761,C8737,C8713,C8689,C8665,C8641,C8617,C8593,C8569,C8545,C8521,C8497,C8473)/POBLA!$B$24*100000</f>
        <v>116.89688054684845</v>
      </c>
      <c r="H8785" s="257">
        <f t="shared" si="747"/>
        <v>1.3358057990559675</v>
      </c>
    </row>
    <row r="8786" spans="1:8" x14ac:dyDescent="0.25">
      <c r="A8786" s="45" t="s">
        <v>17</v>
      </c>
      <c r="B8786" s="102">
        <v>44259</v>
      </c>
      <c r="C8786" s="4">
        <v>3066</v>
      </c>
      <c r="D8786" s="97">
        <f t="shared" si="749"/>
        <v>891263</v>
      </c>
      <c r="E8786" s="4">
        <v>113</v>
      </c>
      <c r="F8786" s="250">
        <f t="shared" si="748"/>
        <v>26561</v>
      </c>
      <c r="G8786" s="251">
        <f>SUM(C8786,C8762,C8738,C8714,C8690,C8666,C8642,C8618,C8594,C8570,C8546,C8522,C8498,C8474)/POBLA!$B$1*100000</f>
        <v>210.66474524091674</v>
      </c>
      <c r="H8786" s="230">
        <f t="shared" ref="H8786:H8809" si="750">SUM(C8786,C8762,C8738,C8714,C8690,C8666,C8642,C8618,C8594,C8570,C8546,C8522,C8498,C8474)/SUM(C8450,C8426,C8402,C8378,C8354,C8330,C8306,C8282,C8258,C8234,C8210,C8186,C8162,C8138)</f>
        <v>1.0334768989819891</v>
      </c>
    </row>
    <row r="8787" spans="1:8" x14ac:dyDescent="0.25">
      <c r="A8787" s="105" t="s">
        <v>44</v>
      </c>
      <c r="B8787" s="102">
        <v>44259</v>
      </c>
      <c r="C8787" s="4">
        <v>668</v>
      </c>
      <c r="D8787" s="21">
        <f t="shared" si="749"/>
        <v>234503</v>
      </c>
      <c r="E8787" s="4">
        <v>18</v>
      </c>
      <c r="F8787" s="57">
        <f t="shared" si="748"/>
        <v>6573</v>
      </c>
      <c r="G8787" s="238">
        <f>SUM(C8787,C8763,C8739,C8715,C8691,C8667,C8643,C8619,C8595,C8571,C8547,C8523,C8499,C8475)/POBLA!$B$2*100000</f>
        <v>311.21917151713819</v>
      </c>
      <c r="H8787" s="252">
        <f t="shared" si="750"/>
        <v>0.93294346978557507</v>
      </c>
    </row>
    <row r="8788" spans="1:8" x14ac:dyDescent="0.25">
      <c r="A8788" s="105" t="s">
        <v>29</v>
      </c>
      <c r="B8788" s="102">
        <v>44259</v>
      </c>
      <c r="C8788" s="4">
        <v>59</v>
      </c>
      <c r="D8788" s="21">
        <f t="shared" si="749"/>
        <v>8243</v>
      </c>
      <c r="F8788" s="57">
        <f t="shared" si="748"/>
        <v>17</v>
      </c>
      <c r="G8788" s="238">
        <f>SUM(C8788,C8764,C8740,C8716,C8692,C8668,C8644,C8620,C8596,C8572,C8548,C8524,C8500,C8476)/POBLA!$B$3*100000</f>
        <v>291.74028374871824</v>
      </c>
      <c r="H8788" s="252">
        <f t="shared" si="750"/>
        <v>1.1119266055045871</v>
      </c>
    </row>
    <row r="8789" spans="1:8" x14ac:dyDescent="0.25">
      <c r="A8789" s="105" t="s">
        <v>16</v>
      </c>
      <c r="B8789" s="102">
        <v>44259</v>
      </c>
      <c r="C8789" s="4">
        <v>181</v>
      </c>
      <c r="D8789" s="21">
        <f t="shared" si="749"/>
        <v>34685</v>
      </c>
      <c r="E8789" s="4">
        <v>1</v>
      </c>
      <c r="F8789" s="57">
        <f t="shared" si="748"/>
        <v>871</v>
      </c>
      <c r="G8789" s="238">
        <f>SUM(C8789,C8765,C8741,C8717,C8693,C8669,C8645,C8621,C8597,C8573,C8549,C8525,C8501,C8477)/POBLA!$B$4*100000</f>
        <v>157.81945155872651</v>
      </c>
      <c r="H8789" s="252">
        <f t="shared" si="750"/>
        <v>1.245740498034076</v>
      </c>
    </row>
    <row r="8790" spans="1:8" x14ac:dyDescent="0.25">
      <c r="A8790" s="105" t="s">
        <v>30</v>
      </c>
      <c r="B8790" s="102">
        <v>44259</v>
      </c>
      <c r="C8790" s="4">
        <v>83</v>
      </c>
      <c r="D8790" s="21">
        <f t="shared" si="749"/>
        <v>47353</v>
      </c>
      <c r="F8790" s="57">
        <f t="shared" si="748"/>
        <v>777</v>
      </c>
      <c r="G8790" s="238">
        <f>SUM(C8790,C8766,C8742,C8718,C8694,C8670,C8646,C8622,C8598,C8574,C8550,C8526,C8502,C8478)/POBLA!$B$5*100000</f>
        <v>247.33680778812072</v>
      </c>
      <c r="H8790" s="252">
        <f t="shared" si="750"/>
        <v>0.63791666666666669</v>
      </c>
    </row>
    <row r="8791" spans="1:8" x14ac:dyDescent="0.25">
      <c r="A8791" s="105" t="s">
        <v>31</v>
      </c>
      <c r="B8791" s="102">
        <v>44259</v>
      </c>
      <c r="C8791" s="4">
        <v>396</v>
      </c>
      <c r="D8791" s="21">
        <f t="shared" si="749"/>
        <v>22709</v>
      </c>
      <c r="F8791" s="57">
        <f t="shared" si="748"/>
        <v>300</v>
      </c>
      <c r="G8791" s="238">
        <f>SUM(C8791,C8767,C8743,C8719,C8695,C8671,C8647,C8623,C8599,C8575,C8551,C8527,C8503,C8479)/POBLA!$B$7*100000</f>
        <v>56.934675371298646</v>
      </c>
      <c r="H8791" s="252">
        <f t="shared" si="750"/>
        <v>0.89134054954204833</v>
      </c>
    </row>
    <row r="8792" spans="1:8" x14ac:dyDescent="0.25">
      <c r="A8792" s="105" t="s">
        <v>21</v>
      </c>
      <c r="B8792" s="102">
        <v>44259</v>
      </c>
      <c r="C8792" s="4">
        <v>696</v>
      </c>
      <c r="D8792" s="21">
        <f t="shared" si="749"/>
        <v>162444</v>
      </c>
      <c r="E8792" s="4">
        <v>2</v>
      </c>
      <c r="F8792" s="57">
        <f t="shared" si="748"/>
        <v>2864</v>
      </c>
      <c r="G8792" s="238">
        <f>SUM(C8792,C8768,C8744,C8720,C8696,C8672,C8648,C8624,C8600,C8576,C8552,C8528,C8504,C8480)/POBLA!$B$6*100000</f>
        <v>774.89224224460895</v>
      </c>
      <c r="H8792" s="252">
        <f t="shared" si="750"/>
        <v>1.2933730454207</v>
      </c>
    </row>
    <row r="8793" spans="1:8" x14ac:dyDescent="0.25">
      <c r="A8793" s="105" t="s">
        <v>32</v>
      </c>
      <c r="B8793" s="102">
        <v>44259</v>
      </c>
      <c r="C8793" s="4">
        <v>197</v>
      </c>
      <c r="D8793" s="21">
        <f t="shared" si="749"/>
        <v>45716</v>
      </c>
      <c r="E8793" s="4">
        <v>1</v>
      </c>
      <c r="F8793" s="57">
        <f t="shared" ref="F8793:F8816" si="751">E8793+F8769</f>
        <v>870</v>
      </c>
      <c r="G8793" s="238">
        <f>SUM(C8793,C8769,C8745,C8721,C8697,C8673,C8649,C8625,C8601,C8577,C8553,C8529,C8505,C8481)/POBLA!$B$8*100000</f>
        <v>126.69909182148704</v>
      </c>
      <c r="H8793" s="252">
        <f t="shared" si="750"/>
        <v>0.86716049382716054</v>
      </c>
    </row>
    <row r="8794" spans="1:8" x14ac:dyDescent="0.25">
      <c r="A8794" s="105" t="s">
        <v>42</v>
      </c>
      <c r="B8794" s="102">
        <v>44259</v>
      </c>
      <c r="C8794" s="4">
        <v>23</v>
      </c>
      <c r="D8794" s="21">
        <f t="shared" si="749"/>
        <v>1309</v>
      </c>
      <c r="E8794" s="4">
        <v>1</v>
      </c>
      <c r="F8794" s="57">
        <f t="shared" si="751"/>
        <v>20</v>
      </c>
      <c r="G8794" s="238">
        <f>SUM(C8794,C8770,C8746,C8722,C8698,C8674,C8650,C8626,C8602,C8578,C8554,C8530,C8506,C8482)/POBLA!$B$9*100000</f>
        <v>44.448630436901951</v>
      </c>
      <c r="H8794" s="252">
        <f t="shared" si="750"/>
        <v>1.4780219780219781</v>
      </c>
    </row>
    <row r="8795" spans="1:8" x14ac:dyDescent="0.25">
      <c r="A8795" s="105" t="s">
        <v>33</v>
      </c>
      <c r="B8795" s="102">
        <v>44259</v>
      </c>
      <c r="C8795" s="4">
        <v>87</v>
      </c>
      <c r="D8795" s="21">
        <f t="shared" si="749"/>
        <v>21069</v>
      </c>
      <c r="F8795" s="57">
        <f t="shared" si="751"/>
        <v>911</v>
      </c>
      <c r="G8795" s="238">
        <f>SUM(C8795,C8771,C8747,C8723,C8699,C8675,C8651,C8627,C8603,C8579,C8555,C8531,C8507,C8483)/POBLA!$B$10*100000</f>
        <v>148.6610773906738</v>
      </c>
      <c r="H8795" s="252">
        <f t="shared" si="750"/>
        <v>2.3387755102040817</v>
      </c>
    </row>
    <row r="8796" spans="1:8" x14ac:dyDescent="0.25">
      <c r="A8796" s="105" t="s">
        <v>34</v>
      </c>
      <c r="B8796" s="102">
        <v>44259</v>
      </c>
      <c r="C8796" s="4">
        <v>101</v>
      </c>
      <c r="D8796" s="21">
        <f t="shared" si="749"/>
        <v>19054</v>
      </c>
      <c r="F8796" s="57">
        <f t="shared" si="751"/>
        <v>289</v>
      </c>
      <c r="G8796" s="238">
        <f>SUM(C8796,C8772,C8748,C8724,C8700,C8676,C8652,C8628,C8604,C8580,C8556,C8532,C8508,C8484)/POBLA!$B$11*100000</f>
        <v>310.52261542067026</v>
      </c>
      <c r="H8796" s="252">
        <f t="shared" si="750"/>
        <v>1.0440900562851783</v>
      </c>
    </row>
    <row r="8797" spans="1:8" x14ac:dyDescent="0.25">
      <c r="A8797" s="105" t="s">
        <v>22</v>
      </c>
      <c r="B8797" s="102">
        <v>44259</v>
      </c>
      <c r="C8797" s="4">
        <v>19</v>
      </c>
      <c r="D8797" s="21">
        <f t="shared" si="749"/>
        <v>10306</v>
      </c>
      <c r="F8797" s="57">
        <f t="shared" si="751"/>
        <v>439</v>
      </c>
      <c r="G8797" s="238">
        <f>SUM(C8797,C8773,C8749,C8725,C8701,C8677,C8653,C8629,C8605,C8581,C8557,C8533,C8509,C8485)/POBLA!$B$12*100000</f>
        <v>91.733561015523549</v>
      </c>
      <c r="H8797" s="252">
        <f t="shared" si="750"/>
        <v>1.0403458213256485</v>
      </c>
    </row>
    <row r="8798" spans="1:8" x14ac:dyDescent="0.25">
      <c r="A8798" s="105" t="s">
        <v>18</v>
      </c>
      <c r="B8798" s="102">
        <v>44259</v>
      </c>
      <c r="C8798" s="4">
        <v>199</v>
      </c>
      <c r="D8798" s="21">
        <f t="shared" si="749"/>
        <v>67886</v>
      </c>
      <c r="E8798" s="4">
        <v>3</v>
      </c>
      <c r="F8798" s="57">
        <f t="shared" si="751"/>
        <v>1456</v>
      </c>
      <c r="G8798" s="238">
        <f>SUM(C8798,C8774,C8750,C8726,C8702,C8678,C8654,C8630,C8606,C8582,C8558,C8534,C8510,C8486)/POBLA!$B$13*100000</f>
        <v>93.350978577507945</v>
      </c>
      <c r="H8798" s="252">
        <f t="shared" si="750"/>
        <v>1.1336180597925565</v>
      </c>
    </row>
    <row r="8799" spans="1:8" x14ac:dyDescent="0.25">
      <c r="A8799" s="105" t="s">
        <v>24</v>
      </c>
      <c r="B8799" s="102">
        <v>44259</v>
      </c>
      <c r="C8799" s="4">
        <v>145</v>
      </c>
      <c r="D8799" s="21">
        <f t="shared" si="749"/>
        <v>8795</v>
      </c>
      <c r="E8799" s="4">
        <v>3</v>
      </c>
      <c r="F8799" s="57">
        <f t="shared" si="751"/>
        <v>151</v>
      </c>
      <c r="G8799" s="238">
        <f>SUM(C8799,C8775,C8751,C8727,C8703,C8679,C8655,C8631,C8607,C8583,C8559,C8535,C8511,C8487)/POBLA!$B$14*100000</f>
        <v>129.54949440812371</v>
      </c>
      <c r="H8799" s="252">
        <f t="shared" si="750"/>
        <v>1.0036855036855037</v>
      </c>
    </row>
    <row r="8800" spans="1:8" x14ac:dyDescent="0.25">
      <c r="A8800" s="105" t="s">
        <v>20</v>
      </c>
      <c r="B8800" s="102">
        <v>44259</v>
      </c>
      <c r="C8800" s="4">
        <v>214</v>
      </c>
      <c r="D8800" s="21">
        <f t="shared" si="749"/>
        <v>61889</v>
      </c>
      <c r="F8800" s="57">
        <f t="shared" si="751"/>
        <v>938</v>
      </c>
      <c r="G8800" s="238">
        <f>SUM(C8800,C8776,C8752,C8728,C8704,C8680,C8656,C8632,C8608,C8584,C8560,C8536,C8512,C8488)/POBLA!$B$15*100000</f>
        <v>368.49246374934683</v>
      </c>
      <c r="H8800" s="252">
        <f t="shared" si="750"/>
        <v>0.68581838565022424</v>
      </c>
    </row>
    <row r="8801" spans="1:8" x14ac:dyDescent="0.25">
      <c r="A8801" s="105" t="s">
        <v>19</v>
      </c>
      <c r="B8801" s="102">
        <v>44259</v>
      </c>
      <c r="C8801" s="4">
        <v>132</v>
      </c>
      <c r="D8801" s="21">
        <f t="shared" si="749"/>
        <v>52874</v>
      </c>
      <c r="E8801" s="4">
        <v>7</v>
      </c>
      <c r="F8801" s="57">
        <f t="shared" si="751"/>
        <v>1204</v>
      </c>
      <c r="G8801" s="238">
        <f>SUM(C8801,C8777,C8753,C8729,C8705,C8681,C8657,C8633,C8609,C8585,C8561,C8537,C8513,C8489)/POBLA!$B$16*100000</f>
        <v>228.06008480357403</v>
      </c>
      <c r="H8801" s="252">
        <f t="shared" si="750"/>
        <v>0.76801801801801806</v>
      </c>
    </row>
    <row r="8802" spans="1:8" x14ac:dyDescent="0.25">
      <c r="A8802" s="105" t="s">
        <v>35</v>
      </c>
      <c r="B8802" s="102">
        <v>44259</v>
      </c>
      <c r="C8802" s="4">
        <v>169</v>
      </c>
      <c r="D8802" s="21">
        <f t="shared" si="749"/>
        <v>26609</v>
      </c>
      <c r="E8802" s="4">
        <v>5</v>
      </c>
      <c r="F8802" s="57">
        <f t="shared" si="751"/>
        <v>1110</v>
      </c>
      <c r="G8802" s="238">
        <f>SUM(C8802,C8778,C8754,C8730,C8706,C8682,C8658,C8634,C8610,C8586,C8562,C8538,C8514,C8490)/POBLA!$B$17*100000</f>
        <v>111.27515713666907</v>
      </c>
      <c r="H8802" s="252">
        <f t="shared" si="750"/>
        <v>1.6562173458725182</v>
      </c>
    </row>
    <row r="8803" spans="1:8" x14ac:dyDescent="0.25">
      <c r="A8803" s="105" t="s">
        <v>36</v>
      </c>
      <c r="B8803" s="102">
        <v>44259</v>
      </c>
      <c r="C8803" s="4">
        <v>53</v>
      </c>
      <c r="D8803" s="21">
        <f t="shared" si="749"/>
        <v>15457</v>
      </c>
      <c r="E8803" s="4">
        <v>2</v>
      </c>
      <c r="F8803" s="57">
        <f t="shared" si="751"/>
        <v>214</v>
      </c>
      <c r="G8803" s="238">
        <f>SUM(C8803,C8779,C8755,C8731,C8707,C8683,C8659,C8635,C8611,C8587,C8563,C8539,C8515,C8491)/POBLA!$B$18*100000</f>
        <v>81.411438819175714</v>
      </c>
      <c r="H8803" s="252">
        <f t="shared" si="750"/>
        <v>1.0635451505016722</v>
      </c>
    </row>
    <row r="8804" spans="1:8" x14ac:dyDescent="0.25">
      <c r="A8804" s="105" t="s">
        <v>37</v>
      </c>
      <c r="B8804" s="102">
        <v>44259</v>
      </c>
      <c r="C8804" s="4">
        <v>8</v>
      </c>
      <c r="D8804" s="21">
        <f t="shared" si="749"/>
        <v>20796</v>
      </c>
      <c r="E8804" s="4">
        <v>2</v>
      </c>
      <c r="F8804" s="57">
        <f t="shared" si="751"/>
        <v>358</v>
      </c>
      <c r="G8804" s="238">
        <f>SUM(C8804,C8780,C8756,C8732,C8708,C8684,C8660,C8636,C8612,C8588,C8564,C8540,C8516,C8492)/POBLA!$B$19*100000</f>
        <v>108.59130325301773</v>
      </c>
      <c r="H8804" s="252">
        <f t="shared" si="750"/>
        <v>0.47916666666666669</v>
      </c>
    </row>
    <row r="8805" spans="1:8" x14ac:dyDescent="0.25">
      <c r="A8805" s="105" t="s">
        <v>38</v>
      </c>
      <c r="B8805" s="102">
        <v>44259</v>
      </c>
      <c r="C8805" s="4">
        <v>194</v>
      </c>
      <c r="D8805" s="21">
        <f t="shared" si="749"/>
        <v>36431</v>
      </c>
      <c r="E8805" s="4">
        <v>3</v>
      </c>
      <c r="F8805" s="57">
        <f t="shared" si="751"/>
        <v>596</v>
      </c>
      <c r="G8805" s="238">
        <f>SUM(C8805,C8781,C8757,C8733,C8709,C8685,C8661,C8637,C8613,C8589,C8565,C8541,C8517,C8493)/POBLA!$B$20*100000</f>
        <v>428.49564394664452</v>
      </c>
      <c r="H8805" s="252">
        <f t="shared" si="750"/>
        <v>1.0988779803646564</v>
      </c>
    </row>
    <row r="8806" spans="1:8" x14ac:dyDescent="0.25">
      <c r="A8806" s="105" t="s">
        <v>23</v>
      </c>
      <c r="B8806" s="102">
        <v>44259</v>
      </c>
      <c r="C8806" s="4">
        <v>479</v>
      </c>
      <c r="D8806" s="21">
        <f t="shared" si="749"/>
        <v>218170</v>
      </c>
      <c r="E8806" s="4">
        <v>30</v>
      </c>
      <c r="F8806" s="57">
        <f t="shared" si="751"/>
        <v>4029</v>
      </c>
      <c r="G8806" s="238">
        <f>SUM(C8806,C8782,C8758,C8734,C8710,C8686,C8662,C8638,C8614,C8590,C8566,C8542,C8518,C8494)/POBLA!$B$21*100000</f>
        <v>147.06971856833667</v>
      </c>
      <c r="H8806" s="252">
        <f t="shared" si="750"/>
        <v>1.0730348669279968</v>
      </c>
    </row>
    <row r="8807" spans="1:8" x14ac:dyDescent="0.25">
      <c r="A8807" s="105" t="s">
        <v>39</v>
      </c>
      <c r="B8807" s="102">
        <v>44259</v>
      </c>
      <c r="C8807" s="4">
        <v>80</v>
      </c>
      <c r="D8807" s="21">
        <f t="shared" si="749"/>
        <v>22867</v>
      </c>
      <c r="F8807" s="57">
        <f t="shared" si="751"/>
        <v>269</v>
      </c>
      <c r="G8807" s="238">
        <f>SUM(C8807,C8783,C8759,C8735,C8711,C8687,C8663,C8639,C8615,C8591,C8567,C8543,C8519,C8495)/POBLA!$B$22*100000</f>
        <v>85.351007295211247</v>
      </c>
      <c r="H8807" s="252">
        <f t="shared" si="750"/>
        <v>0.99051008303677346</v>
      </c>
    </row>
    <row r="8808" spans="1:8" x14ac:dyDescent="0.25">
      <c r="A8808" s="105" t="s">
        <v>40</v>
      </c>
      <c r="B8808" s="102">
        <v>44259</v>
      </c>
      <c r="C8808" s="4">
        <v>33</v>
      </c>
      <c r="D8808" s="21">
        <f t="shared" si="749"/>
        <v>23081</v>
      </c>
      <c r="F8808" s="57">
        <f t="shared" si="751"/>
        <v>356</v>
      </c>
      <c r="G8808" s="238">
        <f>SUM(C8808,C8784,C8760,C8736,C8712,C8688,C8664,C8640,C8616,C8592,C8568,C8544,C8520,C8496)/POBLA!$B$23*100000</f>
        <v>281.06090595487194</v>
      </c>
      <c r="H8808" s="252">
        <f t="shared" si="750"/>
        <v>0.84523809523809523</v>
      </c>
    </row>
    <row r="8809" spans="1:8" ht="15.75" thickBot="1" x14ac:dyDescent="0.3">
      <c r="A8809" s="106" t="s">
        <v>41</v>
      </c>
      <c r="B8809" s="102">
        <v>44259</v>
      </c>
      <c r="C8809" s="4">
        <v>150</v>
      </c>
      <c r="D8809" s="98">
        <f t="shared" si="749"/>
        <v>80454</v>
      </c>
      <c r="F8809" s="255">
        <f t="shared" si="751"/>
        <v>1478</v>
      </c>
      <c r="G8809" s="256">
        <f>SUM(C8809,C8785,C8761,C8737,C8713,C8689,C8665,C8641,C8617,C8593,C8569,C8545,C8521,C8497)/POBLA!$B$24*100000</f>
        <v>118.66715132746704</v>
      </c>
      <c r="H8809" s="257">
        <f t="shared" si="750"/>
        <v>1.4013937282229965</v>
      </c>
    </row>
    <row r="8810" spans="1:8" x14ac:dyDescent="0.25">
      <c r="A8810" s="45" t="s">
        <v>17</v>
      </c>
      <c r="B8810" s="102">
        <v>44260</v>
      </c>
      <c r="C8810" s="4">
        <v>3494</v>
      </c>
      <c r="D8810" s="97">
        <f t="shared" ref="D8810:D8841" si="752">C8810+D8786</f>
        <v>894757</v>
      </c>
      <c r="E8810" s="4">
        <v>86</v>
      </c>
      <c r="F8810" s="250">
        <f t="shared" si="751"/>
        <v>26647</v>
      </c>
      <c r="G8810" s="251">
        <f>SUM(C8810,C8786,C8762,C8738,C8714,C8690,C8666,C8642,C8618,C8594,C8570,C8546,C8522,C8498)/POBLA!$B$1*100000</f>
        <v>210.35119665248686</v>
      </c>
      <c r="H8810" s="230">
        <f t="shared" ref="H8810:H8841" si="753">SUM(C8810,C8786,C8762,C8738,C8714,C8690,C8666,C8642,C8618,C8594,C8570,C8546,C8522,C8498)/SUM(C8474,C8450,C8426,C8402,C8378,C8354,C8330,C8306,C8282,C8258,C8234,C8210,C8186,C8162)</f>
        <v>1.0300374071799452</v>
      </c>
    </row>
    <row r="8811" spans="1:8" x14ac:dyDescent="0.25">
      <c r="A8811" s="105" t="s">
        <v>44</v>
      </c>
      <c r="B8811" s="102">
        <v>44260</v>
      </c>
      <c r="C8811" s="4">
        <v>863</v>
      </c>
      <c r="D8811" s="21">
        <f t="shared" si="752"/>
        <v>235366</v>
      </c>
      <c r="E8811" s="4">
        <v>7</v>
      </c>
      <c r="F8811" s="57">
        <f t="shared" si="751"/>
        <v>6580</v>
      </c>
      <c r="G8811" s="238">
        <f>SUM(C8811,C8787,C8763,C8739,C8715,C8691,C8667,C8643,C8619,C8595,C8571,C8547,C8523,C8499)/POBLA!$B$2*100000</f>
        <v>311.73938743275397</v>
      </c>
      <c r="H8811" s="252">
        <f t="shared" si="753"/>
        <v>0.95679073944716098</v>
      </c>
    </row>
    <row r="8812" spans="1:8" x14ac:dyDescent="0.25">
      <c r="A8812" s="105" t="s">
        <v>29</v>
      </c>
      <c r="B8812" s="102">
        <v>44260</v>
      </c>
      <c r="C8812" s="4">
        <v>117</v>
      </c>
      <c r="D8812" s="21">
        <f t="shared" si="752"/>
        <v>8360</v>
      </c>
      <c r="F8812" s="57">
        <f t="shared" si="751"/>
        <v>17</v>
      </c>
      <c r="G8812" s="238">
        <f>SUM(C8812,C8788,C8764,C8740,C8716,C8692,C8668,C8644,C8620,C8596,C8572,C8548,C8524,C8500)/POBLA!$B$3*100000</f>
        <v>296.31377004510904</v>
      </c>
      <c r="H8812" s="252">
        <f t="shared" si="753"/>
        <v>1.1419294990723563</v>
      </c>
    </row>
    <row r="8813" spans="1:8" x14ac:dyDescent="0.25">
      <c r="A8813" s="105" t="s">
        <v>16</v>
      </c>
      <c r="B8813" s="102">
        <v>44260</v>
      </c>
      <c r="C8813" s="4">
        <v>172</v>
      </c>
      <c r="D8813" s="21">
        <f t="shared" si="752"/>
        <v>34857</v>
      </c>
      <c r="E8813" s="4">
        <v>1</v>
      </c>
      <c r="F8813" s="57">
        <f t="shared" si="751"/>
        <v>872</v>
      </c>
      <c r="G8813" s="238">
        <f>SUM(C8813,C8789,C8765,C8741,C8717,C8693,C8669,C8645,C8621,C8597,C8573,C8549,C8525,C8501)/POBLA!$B$4*100000</f>
        <v>158.40058578329837</v>
      </c>
      <c r="H8813" s="252">
        <f t="shared" si="753"/>
        <v>1.2454308093994777</v>
      </c>
    </row>
    <row r="8814" spans="1:8" x14ac:dyDescent="0.25">
      <c r="A8814" s="105" t="s">
        <v>30</v>
      </c>
      <c r="B8814" s="102">
        <v>44260</v>
      </c>
      <c r="C8814" s="4">
        <v>108</v>
      </c>
      <c r="D8814" s="21">
        <f t="shared" si="752"/>
        <v>47461</v>
      </c>
      <c r="F8814" s="57">
        <f t="shared" si="751"/>
        <v>777</v>
      </c>
      <c r="G8814" s="238">
        <f>SUM(C8814,C8790,C8766,C8742,C8718,C8694,C8670,C8646,C8622,C8598,C8574,C8550,C8526,C8502)/POBLA!$B$5*100000</f>
        <v>236.1896884299363</v>
      </c>
      <c r="H8814" s="252">
        <f t="shared" si="753"/>
        <v>0.63454861111111116</v>
      </c>
    </row>
    <row r="8815" spans="1:8" x14ac:dyDescent="0.25">
      <c r="A8815" s="105" t="s">
        <v>31</v>
      </c>
      <c r="B8815" s="102">
        <v>44260</v>
      </c>
      <c r="C8815" s="4">
        <v>155</v>
      </c>
      <c r="D8815" s="21">
        <f t="shared" si="752"/>
        <v>22864</v>
      </c>
      <c r="F8815" s="57">
        <f t="shared" si="751"/>
        <v>300</v>
      </c>
      <c r="G8815" s="238">
        <f>SUM(C8815,C8791,C8767,C8743,C8719,C8695,C8671,C8647,C8623,C8599,C8575,C8551,C8527,C8503)/POBLA!$B$7*100000</f>
        <v>57.838822481351968</v>
      </c>
      <c r="H8815" s="252">
        <f t="shared" si="753"/>
        <v>0.95941773268636965</v>
      </c>
    </row>
    <row r="8816" spans="1:8" x14ac:dyDescent="0.25">
      <c r="A8816" s="105" t="s">
        <v>21</v>
      </c>
      <c r="B8816" s="102">
        <v>44260</v>
      </c>
      <c r="C8816" s="4">
        <v>728</v>
      </c>
      <c r="D8816" s="21">
        <f t="shared" si="752"/>
        <v>163172</v>
      </c>
      <c r="E8816" s="4">
        <v>10</v>
      </c>
      <c r="F8816" s="57">
        <f t="shared" si="751"/>
        <v>2874</v>
      </c>
      <c r="G8816" s="238">
        <f>SUM(C8816,C8792,C8768,C8744,C8720,C8696,C8672,C8648,C8624,C8600,C8576,C8552,C8528,C8504)/POBLA!$B$6*100000</f>
        <v>766.2377174895455</v>
      </c>
      <c r="H8816" s="252">
        <f t="shared" si="753"/>
        <v>1.2284365612930912</v>
      </c>
    </row>
    <row r="8817" spans="1:8" x14ac:dyDescent="0.25">
      <c r="A8817" s="105" t="s">
        <v>32</v>
      </c>
      <c r="B8817" s="102">
        <v>44260</v>
      </c>
      <c r="C8817" s="4">
        <v>120</v>
      </c>
      <c r="D8817" s="21">
        <f t="shared" si="752"/>
        <v>45836</v>
      </c>
      <c r="F8817" s="57">
        <f t="shared" ref="F8817:F8840" si="754">E8817+F8793</f>
        <v>870</v>
      </c>
      <c r="G8817" s="238">
        <f>SUM(C8817,C8793,C8769,C8745,C8721,C8697,C8673,C8649,C8625,C8601,C8577,C8553,C8529,C8505)/POBLA!$B$8*100000</f>
        <v>124.17376823734578</v>
      </c>
      <c r="H8817" s="252">
        <f t="shared" si="753"/>
        <v>0.89356178608515058</v>
      </c>
    </row>
    <row r="8818" spans="1:8" x14ac:dyDescent="0.25">
      <c r="A8818" s="105" t="s">
        <v>42</v>
      </c>
      <c r="B8818" s="102">
        <v>44260</v>
      </c>
      <c r="C8818" s="4">
        <v>28</v>
      </c>
      <c r="D8818" s="21">
        <f t="shared" si="752"/>
        <v>1337</v>
      </c>
      <c r="F8818" s="57">
        <f t="shared" si="754"/>
        <v>20</v>
      </c>
      <c r="G8818" s="238">
        <f>SUM(C8818,C8794,C8770,C8746,C8722,C8698,C8674,C8650,C8626,C8602,C8578,C8554,C8530,C8506)/POBLA!$B$9*100000</f>
        <v>46.266232425028051</v>
      </c>
      <c r="H8818" s="252">
        <f t="shared" si="753"/>
        <v>1.4736842105263157</v>
      </c>
    </row>
    <row r="8819" spans="1:8" x14ac:dyDescent="0.25">
      <c r="A8819" s="105" t="s">
        <v>33</v>
      </c>
      <c r="B8819" s="102">
        <v>44260</v>
      </c>
      <c r="C8819" s="4">
        <v>80</v>
      </c>
      <c r="D8819" s="21">
        <f t="shared" si="752"/>
        <v>21149</v>
      </c>
      <c r="E8819" s="4">
        <v>1</v>
      </c>
      <c r="F8819" s="57">
        <f t="shared" si="754"/>
        <v>912</v>
      </c>
      <c r="G8819" s="238">
        <f>SUM(C8819,C8795,C8771,C8747,C8723,C8699,C8675,C8651,C8627,C8603,C8579,C8555,C8531,C8507)/POBLA!$B$10*100000</f>
        <v>152.42300692324756</v>
      </c>
      <c r="H8819" s="252">
        <f t="shared" si="753"/>
        <v>2.3594377510040161</v>
      </c>
    </row>
    <row r="8820" spans="1:8" x14ac:dyDescent="0.25">
      <c r="A8820" s="105" t="s">
        <v>34</v>
      </c>
      <c r="B8820" s="102">
        <v>44260</v>
      </c>
      <c r="C8820" s="4">
        <v>110</v>
      </c>
      <c r="D8820" s="21">
        <f t="shared" si="752"/>
        <v>19164</v>
      </c>
      <c r="F8820" s="57">
        <f t="shared" si="754"/>
        <v>289</v>
      </c>
      <c r="G8820" s="238">
        <f>SUM(C8820,C8796,C8772,C8748,C8724,C8700,C8676,C8652,C8628,C8604,C8580,C8556,C8532,C8508)/POBLA!$B$11*100000</f>
        <v>321.68245784369526</v>
      </c>
      <c r="H8820" s="252">
        <f t="shared" si="753"/>
        <v>1.1022944550669216</v>
      </c>
    </row>
    <row r="8821" spans="1:8" x14ac:dyDescent="0.25">
      <c r="A8821" s="105" t="s">
        <v>22</v>
      </c>
      <c r="B8821" s="102">
        <v>44260</v>
      </c>
      <c r="C8821" s="4">
        <v>23</v>
      </c>
      <c r="D8821" s="21">
        <f t="shared" si="752"/>
        <v>10329</v>
      </c>
      <c r="F8821" s="57">
        <f t="shared" si="754"/>
        <v>439</v>
      </c>
      <c r="G8821" s="238">
        <f>SUM(C8821,C8797,C8773,C8749,C8725,C8701,C8677,C8653,C8629,C8605,C8581,C8557,C8533,C8509)/POBLA!$B$12*100000</f>
        <v>89.192465142517364</v>
      </c>
      <c r="H8821" s="252">
        <f t="shared" si="753"/>
        <v>0.9859550561797753</v>
      </c>
    </row>
    <row r="8822" spans="1:8" x14ac:dyDescent="0.25">
      <c r="A8822" s="105" t="s">
        <v>18</v>
      </c>
      <c r="B8822" s="102">
        <v>44260</v>
      </c>
      <c r="C8822" s="4">
        <v>161</v>
      </c>
      <c r="D8822" s="21">
        <f t="shared" si="752"/>
        <v>68047</v>
      </c>
      <c r="E8822" s="4">
        <v>3</v>
      </c>
      <c r="F8822" s="57">
        <f t="shared" si="754"/>
        <v>1459</v>
      </c>
      <c r="G8822" s="238">
        <f>SUM(C8822,C8798,C8774,C8750,C8726,C8702,C8678,C8654,C8630,C8606,C8582,C8558,C8534,C8510)/POBLA!$B$13*100000</f>
        <v>94.456318474550557</v>
      </c>
      <c r="H8822" s="252">
        <f t="shared" si="753"/>
        <v>1.1764705882352942</v>
      </c>
    </row>
    <row r="8823" spans="1:8" x14ac:dyDescent="0.25">
      <c r="A8823" s="105" t="s">
        <v>24</v>
      </c>
      <c r="B8823" s="102">
        <v>44260</v>
      </c>
      <c r="C8823" s="4">
        <v>110</v>
      </c>
      <c r="D8823" s="21">
        <f t="shared" si="752"/>
        <v>8905</v>
      </c>
      <c r="F8823" s="57">
        <f t="shared" si="754"/>
        <v>151</v>
      </c>
      <c r="G8823" s="238">
        <f>SUM(C8823,C8799,C8775,C8751,C8727,C8703,C8679,C8655,C8631,C8607,C8583,C8559,C8535,C8511)/POBLA!$B$14*100000</f>
        <v>130.02519634597485</v>
      </c>
      <c r="H8823" s="252">
        <f t="shared" si="753"/>
        <v>1.0691003911342893</v>
      </c>
    </row>
    <row r="8824" spans="1:8" x14ac:dyDescent="0.25">
      <c r="A8824" s="105" t="s">
        <v>20</v>
      </c>
      <c r="B8824" s="102">
        <v>44260</v>
      </c>
      <c r="C8824" s="4">
        <v>182</v>
      </c>
      <c r="D8824" s="21">
        <f t="shared" si="752"/>
        <v>62071</v>
      </c>
      <c r="F8824" s="57">
        <f t="shared" si="754"/>
        <v>938</v>
      </c>
      <c r="G8824" s="238">
        <f>SUM(C8824,C8800,C8776,C8752,C8728,C8704,C8680,C8656,C8632,C8608,C8584,C8560,C8536,C8512)/POBLA!$B$15*100000</f>
        <v>356.44530514699795</v>
      </c>
      <c r="H8824" s="252">
        <f t="shared" si="753"/>
        <v>0.67416690401594992</v>
      </c>
    </row>
    <row r="8825" spans="1:8" x14ac:dyDescent="0.25">
      <c r="A8825" s="105" t="s">
        <v>19</v>
      </c>
      <c r="B8825" s="102">
        <v>44260</v>
      </c>
      <c r="C8825" s="4">
        <v>157</v>
      </c>
      <c r="D8825" s="21">
        <f t="shared" si="752"/>
        <v>53031</v>
      </c>
      <c r="E8825" s="4">
        <v>3</v>
      </c>
      <c r="F8825" s="57">
        <f t="shared" si="754"/>
        <v>1207</v>
      </c>
      <c r="G8825" s="238">
        <f>SUM(C8825,C8801,C8777,C8753,C8729,C8705,C8681,C8657,C8633,C8609,C8585,C8561,C8537,C8513)/POBLA!$B$16*100000</f>
        <v>230.73527641417317</v>
      </c>
      <c r="H8825" s="252">
        <f t="shared" si="753"/>
        <v>0.81214689265536721</v>
      </c>
    </row>
    <row r="8826" spans="1:8" x14ac:dyDescent="0.25">
      <c r="A8826" s="105" t="s">
        <v>35</v>
      </c>
      <c r="B8826" s="102">
        <v>44260</v>
      </c>
      <c r="C8826" s="4">
        <v>173</v>
      </c>
      <c r="D8826" s="21">
        <f t="shared" si="752"/>
        <v>26782</v>
      </c>
      <c r="E8826" s="4">
        <v>2</v>
      </c>
      <c r="F8826" s="57">
        <f t="shared" si="754"/>
        <v>1112</v>
      </c>
      <c r="G8826" s="238">
        <f>SUM(C8826,C8802,C8778,C8754,C8730,C8706,C8682,C8658,C8634,C8610,C8586,C8562,C8538,C8514)/POBLA!$B$17*100000</f>
        <v>112.74946521229687</v>
      </c>
      <c r="H8826" s="252">
        <f t="shared" si="753"/>
        <v>1.576054955839058</v>
      </c>
    </row>
    <row r="8827" spans="1:8" x14ac:dyDescent="0.25">
      <c r="A8827" s="105" t="s">
        <v>36</v>
      </c>
      <c r="B8827" s="102">
        <v>44260</v>
      </c>
      <c r="C8827" s="4">
        <v>62</v>
      </c>
      <c r="D8827" s="21">
        <f t="shared" si="752"/>
        <v>15519</v>
      </c>
      <c r="F8827" s="57">
        <f t="shared" si="754"/>
        <v>214</v>
      </c>
      <c r="G8827" s="238">
        <f>SUM(C8827,C8803,C8779,C8755,C8731,C8707,C8683,C8659,C8635,C8611,C8587,C8563,C8539,C8515)/POBLA!$B$18*100000</f>
        <v>80.515400970537002</v>
      </c>
      <c r="H8827" s="252">
        <f t="shared" si="753"/>
        <v>1.0112540192926045</v>
      </c>
    </row>
    <row r="8828" spans="1:8" x14ac:dyDescent="0.25">
      <c r="A8828" s="105" t="s">
        <v>37</v>
      </c>
      <c r="B8828" s="102">
        <v>44260</v>
      </c>
      <c r="C8828" s="4">
        <v>5</v>
      </c>
      <c r="D8828" s="21">
        <f t="shared" si="752"/>
        <v>20801</v>
      </c>
      <c r="F8828" s="57">
        <f t="shared" si="754"/>
        <v>358</v>
      </c>
      <c r="G8828" s="238">
        <f>SUM(C8828,C8804,C8780,C8756,C8732,C8708,C8684,C8660,C8636,C8612,C8588,C8564,C8540,C8516)/POBLA!$B$19*100000</f>
        <v>107.80440975118428</v>
      </c>
      <c r="H8828" s="252">
        <f t="shared" si="753"/>
        <v>0.47610773240660298</v>
      </c>
    </row>
    <row r="8829" spans="1:8" x14ac:dyDescent="0.25">
      <c r="A8829" s="105" t="s">
        <v>38</v>
      </c>
      <c r="B8829" s="102">
        <v>44260</v>
      </c>
      <c r="C8829" s="4">
        <v>150</v>
      </c>
      <c r="D8829" s="21">
        <f t="shared" si="752"/>
        <v>36581</v>
      </c>
      <c r="F8829" s="57">
        <f t="shared" si="754"/>
        <v>596</v>
      </c>
      <c r="G8829" s="238">
        <f>SUM(C8829,C8805,C8781,C8757,C8733,C8709,C8685,C8661,C8637,C8613,C8589,C8565,C8541,C8517)/POBLA!$B$20*100000</f>
        <v>431.77704007131564</v>
      </c>
      <c r="H8829" s="252">
        <f t="shared" si="753"/>
        <v>1.145032632342277</v>
      </c>
    </row>
    <row r="8830" spans="1:8" x14ac:dyDescent="0.25">
      <c r="A8830" s="105" t="s">
        <v>23</v>
      </c>
      <c r="B8830" s="102">
        <v>44260</v>
      </c>
      <c r="C8830" s="4">
        <v>527</v>
      </c>
      <c r="D8830" s="21">
        <f t="shared" si="752"/>
        <v>218697</v>
      </c>
      <c r="E8830" s="4">
        <v>20</v>
      </c>
      <c r="F8830" s="57">
        <f t="shared" si="754"/>
        <v>4049</v>
      </c>
      <c r="G8830" s="238">
        <f>SUM(C8830,C8806,C8782,C8758,C8734,C8710,C8686,C8662,C8638,C8614,C8590,C8566,C8542,C8518)/POBLA!$B$21*100000</f>
        <v>147.63526257359848</v>
      </c>
      <c r="H8830" s="252">
        <f t="shared" si="753"/>
        <v>1.0745009261164848</v>
      </c>
    </row>
    <row r="8831" spans="1:8" x14ac:dyDescent="0.25">
      <c r="A8831" s="105" t="s">
        <v>39</v>
      </c>
      <c r="B8831" s="102">
        <v>44260</v>
      </c>
      <c r="C8831" s="4">
        <v>91</v>
      </c>
      <c r="D8831" s="21">
        <f t="shared" si="752"/>
        <v>22958</v>
      </c>
      <c r="E8831" s="4">
        <v>2</v>
      </c>
      <c r="F8831" s="57">
        <f t="shared" si="754"/>
        <v>271</v>
      </c>
      <c r="G8831" s="238">
        <f>SUM(C8831,C8807,C8783,C8759,C8735,C8711,C8687,C8663,C8639,C8615,C8591,C8567,C8543,C8519)/POBLA!$B$22*100000</f>
        <v>89.133027977753542</v>
      </c>
      <c r="H8831" s="252">
        <f t="shared" si="753"/>
        <v>1.080545229244114</v>
      </c>
    </row>
    <row r="8832" spans="1:8" x14ac:dyDescent="0.25">
      <c r="A8832" s="105" t="s">
        <v>40</v>
      </c>
      <c r="B8832" s="102">
        <v>44260</v>
      </c>
      <c r="C8832" s="4">
        <v>48</v>
      </c>
      <c r="D8832" s="21">
        <f t="shared" si="752"/>
        <v>23129</v>
      </c>
      <c r="F8832" s="57">
        <f t="shared" si="754"/>
        <v>356</v>
      </c>
      <c r="G8832" s="238">
        <f>SUM(C8832,C8808,C8784,C8760,C8736,C8712,C8688,C8664,C8640,C8616,C8592,C8568,C8544,C8520)/POBLA!$B$23*100000</f>
        <v>280.49539105355427</v>
      </c>
      <c r="H8832" s="252">
        <f t="shared" si="753"/>
        <v>0.84353741496598644</v>
      </c>
    </row>
    <row r="8833" spans="1:8" ht="15.75" thickBot="1" x14ac:dyDescent="0.3">
      <c r="A8833" s="106" t="s">
        <v>41</v>
      </c>
      <c r="B8833" s="102">
        <v>44260</v>
      </c>
      <c r="C8833" s="4">
        <v>227</v>
      </c>
      <c r="D8833" s="98">
        <f t="shared" si="752"/>
        <v>80681</v>
      </c>
      <c r="E8833" s="4">
        <v>5</v>
      </c>
      <c r="F8833" s="255">
        <f t="shared" si="754"/>
        <v>1483</v>
      </c>
      <c r="G8833" s="256">
        <f>SUM(C8833,C8809,C8785,C8761,C8737,C8713,C8689,C8665,C8641,C8617,C8593,C8569,C8545,C8521)/POBLA!$B$24*100000</f>
        <v>122.73877412288982</v>
      </c>
      <c r="H8833" s="257">
        <f t="shared" si="753"/>
        <v>1.435472739820566</v>
      </c>
    </row>
    <row r="8834" spans="1:8" x14ac:dyDescent="0.25">
      <c r="A8834" s="45" t="s">
        <v>17</v>
      </c>
      <c r="B8834" s="102">
        <v>44261</v>
      </c>
      <c r="C8834" s="63">
        <v>2215</v>
      </c>
      <c r="D8834" s="97">
        <f t="shared" si="752"/>
        <v>896972</v>
      </c>
      <c r="E8834" s="4">
        <v>65</v>
      </c>
      <c r="F8834" s="250">
        <f t="shared" si="754"/>
        <v>26712</v>
      </c>
      <c r="G8834" s="251">
        <f>SUM(C8834,C8810,C8786,C8762,C8738,C8714,C8690,C8666,C8642,C8618,C8594,C8570,C8546,C8522)/POBLA!$B$1*100000</f>
        <v>208.66943604181736</v>
      </c>
      <c r="H8834" s="230">
        <f t="shared" si="753"/>
        <v>1.0343921324817724</v>
      </c>
    </row>
    <row r="8835" spans="1:8" x14ac:dyDescent="0.25">
      <c r="A8835" s="105" t="s">
        <v>44</v>
      </c>
      <c r="B8835" s="102">
        <v>44261</v>
      </c>
      <c r="C8835" s="63">
        <v>651</v>
      </c>
      <c r="D8835" s="21">
        <f t="shared" si="752"/>
        <v>236017</v>
      </c>
      <c r="E8835" s="4">
        <v>3</v>
      </c>
      <c r="F8835" s="57">
        <f t="shared" si="754"/>
        <v>6583</v>
      </c>
      <c r="G8835" s="238">
        <f>SUM(C8835,C8811,C8787,C8763,C8739,C8715,C8691,C8667,C8643,C8619,C8595,C8571,C8547,C8523)/POBLA!$B$2*100000</f>
        <v>313.52762964268322</v>
      </c>
      <c r="H8835" s="252">
        <f t="shared" si="753"/>
        <v>0.97561715904492108</v>
      </c>
    </row>
    <row r="8836" spans="1:8" x14ac:dyDescent="0.25">
      <c r="A8836" s="105" t="s">
        <v>29</v>
      </c>
      <c r="B8836" s="102">
        <v>44261</v>
      </c>
      <c r="C8836" s="63">
        <v>46</v>
      </c>
      <c r="D8836" s="21">
        <f t="shared" si="752"/>
        <v>8406</v>
      </c>
      <c r="F8836" s="57">
        <f t="shared" si="754"/>
        <v>17</v>
      </c>
      <c r="G8836" s="238">
        <f>SUM(C8836,C8812,C8788,C8764,C8740,C8716,C8692,C8668,C8644,C8620,C8596,C8572,C8548,C8524)/POBLA!$B$3*100000</f>
        <v>294.86951121466979</v>
      </c>
      <c r="H8836" s="252">
        <f t="shared" si="753"/>
        <v>1.1633428300094968</v>
      </c>
    </row>
    <row r="8837" spans="1:8" x14ac:dyDescent="0.25">
      <c r="A8837" s="105" t="s">
        <v>16</v>
      </c>
      <c r="B8837" s="102">
        <v>44261</v>
      </c>
      <c r="C8837" s="63">
        <v>122</v>
      </c>
      <c r="D8837" s="21">
        <f t="shared" si="752"/>
        <v>34979</v>
      </c>
      <c r="E8837" s="4">
        <v>1</v>
      </c>
      <c r="F8837" s="57">
        <f t="shared" si="754"/>
        <v>873</v>
      </c>
      <c r="G8837" s="238">
        <f>SUM(C8837,C8813,C8789,C8765,C8741,C8717,C8693,C8669,C8645,C8621,C8597,C8573,C8549,C8525)/POBLA!$B$4*100000</f>
        <v>153.91755033660127</v>
      </c>
      <c r="H8837" s="252">
        <f t="shared" si="753"/>
        <v>1.1854219948849105</v>
      </c>
    </row>
    <row r="8838" spans="1:8" x14ac:dyDescent="0.25">
      <c r="A8838" s="105" t="s">
        <v>30</v>
      </c>
      <c r="B8838" s="102">
        <v>44261</v>
      </c>
      <c r="C8838" s="63">
        <v>41</v>
      </c>
      <c r="D8838" s="21">
        <f t="shared" si="752"/>
        <v>47502</v>
      </c>
      <c r="F8838" s="57">
        <f t="shared" si="754"/>
        <v>777</v>
      </c>
      <c r="G8838" s="238">
        <f>SUM(C8838,C8814,C8790,C8766,C8742,C8718,C8694,C8670,C8646,C8622,C8598,C8574,C8550,C8526)/POBLA!$B$5*100000</f>
        <v>233.76640161293969</v>
      </c>
      <c r="H8838" s="252">
        <f t="shared" si="753"/>
        <v>0.65623582766439914</v>
      </c>
    </row>
    <row r="8839" spans="1:8" x14ac:dyDescent="0.25">
      <c r="A8839" s="105" t="s">
        <v>31</v>
      </c>
      <c r="B8839" s="102">
        <v>44261</v>
      </c>
      <c r="C8839" s="63">
        <v>177</v>
      </c>
      <c r="D8839" s="21">
        <f t="shared" si="752"/>
        <v>23041</v>
      </c>
      <c r="F8839" s="57">
        <f t="shared" si="754"/>
        <v>300</v>
      </c>
      <c r="G8839" s="238">
        <f>SUM(C8839,C8815,C8791,C8767,C8743,C8719,C8695,C8671,C8647,C8623,C8599,C8575,C8551,C8527)/POBLA!$B$7*100000</f>
        <v>59.221635708492336</v>
      </c>
      <c r="H8839" s="252">
        <f t="shared" si="753"/>
        <v>1.0630071599045345</v>
      </c>
    </row>
    <row r="8840" spans="1:8" x14ac:dyDescent="0.25">
      <c r="A8840" s="105" t="s">
        <v>21</v>
      </c>
      <c r="B8840" s="102">
        <v>44261</v>
      </c>
      <c r="C8840" s="63">
        <v>412</v>
      </c>
      <c r="D8840" s="21">
        <f t="shared" si="752"/>
        <v>163584</v>
      </c>
      <c r="E8840" s="4">
        <v>2</v>
      </c>
      <c r="F8840" s="57">
        <f t="shared" si="754"/>
        <v>2876</v>
      </c>
      <c r="G8840" s="238">
        <f>SUM(C8840,C8816,C8792,C8768,C8744,C8720,C8696,C8672,C8648,C8624,C8600,C8576,C8552,C8528)/POBLA!$B$6*100000</f>
        <v>750.26699654978893</v>
      </c>
      <c r="H8840" s="252">
        <f t="shared" si="753"/>
        <v>1.1795483237480713</v>
      </c>
    </row>
    <row r="8841" spans="1:8" x14ac:dyDescent="0.25">
      <c r="A8841" s="105" t="s">
        <v>32</v>
      </c>
      <c r="B8841" s="102">
        <v>44261</v>
      </c>
      <c r="C8841" s="63">
        <v>101</v>
      </c>
      <c r="D8841" s="21">
        <f t="shared" si="752"/>
        <v>45937</v>
      </c>
      <c r="E8841" s="4">
        <v>2</v>
      </c>
      <c r="F8841" s="57">
        <f t="shared" ref="F8841:F8864" si="755">E8841+F8817</f>
        <v>872</v>
      </c>
      <c r="G8841" s="238">
        <f>SUM(C8841,C8817,C8793,C8769,C8745,C8721,C8697,C8673,C8649,C8625,C8601,C8577,C8553,C8529)/POBLA!$B$8*100000</f>
        <v>123.09148670128523</v>
      </c>
      <c r="H8841" s="252">
        <f t="shared" si="753"/>
        <v>0.94046306504961408</v>
      </c>
    </row>
    <row r="8842" spans="1:8" x14ac:dyDescent="0.25">
      <c r="A8842" s="105" t="s">
        <v>42</v>
      </c>
      <c r="B8842" s="102">
        <v>44261</v>
      </c>
      <c r="C8842" s="63">
        <v>3</v>
      </c>
      <c r="D8842" s="21">
        <f t="shared" ref="D8842:D8873" si="756">C8842+D8818</f>
        <v>1340</v>
      </c>
      <c r="F8842" s="57">
        <f t="shared" si="755"/>
        <v>20</v>
      </c>
      <c r="G8842" s="238">
        <f>SUM(C8842,C8818,C8794,C8770,C8746,C8722,C8698,C8674,C8650,C8626,C8602,C8578,C8554,C8530)/POBLA!$B$9*100000</f>
        <v>44.613866981277049</v>
      </c>
      <c r="H8842" s="252">
        <f t="shared" ref="H8842:H8873" si="757">SUM(C8842,C8818,C8794,C8770,C8746,C8722,C8698,C8674,C8650,C8626,C8602,C8578,C8554,C8530)/SUM(C8506,C8482,C8458,C8434,C8410,C8386,C8362,C8338,C8314,C8290,C8266,C8242,C8218,C8194)</f>
        <v>1.3366336633663367</v>
      </c>
    </row>
    <row r="8843" spans="1:8" x14ac:dyDescent="0.25">
      <c r="A8843" s="105" t="s">
        <v>33</v>
      </c>
      <c r="B8843" s="102">
        <v>44261</v>
      </c>
      <c r="C8843" s="63">
        <v>56</v>
      </c>
      <c r="D8843" s="21">
        <f t="shared" si="756"/>
        <v>21205</v>
      </c>
      <c r="F8843" s="57">
        <f t="shared" si="755"/>
        <v>912</v>
      </c>
      <c r="G8843" s="238">
        <f>SUM(C8843,C8819,C8795,C8771,C8747,C8723,C8699,C8675,C8651,C8627,C8603,C8579,C8555,C8531)/POBLA!$B$10*100000</f>
        <v>150.86634642701011</v>
      </c>
      <c r="H8843" s="252">
        <f t="shared" si="757"/>
        <v>2.1576994434137293</v>
      </c>
    </row>
    <row r="8844" spans="1:8" x14ac:dyDescent="0.25">
      <c r="A8844" s="105" t="s">
        <v>34</v>
      </c>
      <c r="B8844" s="102">
        <v>44261</v>
      </c>
      <c r="C8844" s="63">
        <v>34</v>
      </c>
      <c r="D8844" s="21">
        <f t="shared" si="756"/>
        <v>19198</v>
      </c>
      <c r="F8844" s="57">
        <f t="shared" si="755"/>
        <v>289</v>
      </c>
      <c r="G8844" s="238">
        <f>SUM(C8844,C8820,C8796,C8772,C8748,C8724,C8700,C8676,C8652,C8628,C8604,C8580,C8556,C8532)/POBLA!$B$11*100000</f>
        <v>314.42856026872897</v>
      </c>
      <c r="H8844" s="252">
        <f t="shared" si="757"/>
        <v>1.0826128722382324</v>
      </c>
    </row>
    <row r="8845" spans="1:8" x14ac:dyDescent="0.25">
      <c r="A8845" s="105" t="s">
        <v>22</v>
      </c>
      <c r="B8845" s="102">
        <v>44261</v>
      </c>
      <c r="C8845" s="63">
        <v>22</v>
      </c>
      <c r="D8845" s="21">
        <f t="shared" si="756"/>
        <v>10351</v>
      </c>
      <c r="E8845" s="4">
        <v>5</v>
      </c>
      <c r="F8845" s="57">
        <f t="shared" si="755"/>
        <v>444</v>
      </c>
      <c r="G8845" s="238">
        <f>SUM(C8845,C8821,C8797,C8773,C8749,C8725,C8701,C8677,C8653,C8629,C8605,C8581,C8557,C8533)/POBLA!$B$12*100000</f>
        <v>90.717122666321075</v>
      </c>
      <c r="H8845" s="252">
        <f t="shared" si="757"/>
        <v>1.0469208211143695</v>
      </c>
    </row>
    <row r="8846" spans="1:8" x14ac:dyDescent="0.25">
      <c r="A8846" s="105" t="s">
        <v>18</v>
      </c>
      <c r="B8846" s="102">
        <v>44261</v>
      </c>
      <c r="C8846" s="63">
        <v>124</v>
      </c>
      <c r="D8846" s="21">
        <f t="shared" si="756"/>
        <v>68171</v>
      </c>
      <c r="F8846" s="57">
        <f t="shared" si="755"/>
        <v>1459</v>
      </c>
      <c r="G8846" s="238">
        <f>SUM(C8846,C8822,C8798,C8774,C8750,C8726,C8702,C8678,C8654,C8630,C8606,C8582,C8558,C8534)/POBLA!$B$13*100000</f>
        <v>94.305590306772018</v>
      </c>
      <c r="H8846" s="252">
        <f t="shared" si="757"/>
        <v>1.1701995012468829</v>
      </c>
    </row>
    <row r="8847" spans="1:8" x14ac:dyDescent="0.25">
      <c r="A8847" s="105" t="s">
        <v>24</v>
      </c>
      <c r="B8847" s="102">
        <v>44261</v>
      </c>
      <c r="C8847" s="63">
        <v>108</v>
      </c>
      <c r="D8847" s="21">
        <f t="shared" si="756"/>
        <v>9013</v>
      </c>
      <c r="F8847" s="57">
        <f t="shared" si="755"/>
        <v>151</v>
      </c>
      <c r="G8847" s="238">
        <f>SUM(C8847,C8823,C8799,C8775,C8751,C8727,C8703,C8679,C8655,C8631,C8607,C8583,C8559,C8535)/POBLA!$B$14*100000</f>
        <v>130.65946559644303</v>
      </c>
      <c r="H8847" s="252">
        <f t="shared" si="757"/>
        <v>1.0935633709356336</v>
      </c>
    </row>
    <row r="8848" spans="1:8" x14ac:dyDescent="0.25">
      <c r="A8848" s="105" t="s">
        <v>20</v>
      </c>
      <c r="B8848" s="102">
        <v>44261</v>
      </c>
      <c r="C8848" s="63">
        <v>91</v>
      </c>
      <c r="D8848" s="21">
        <f t="shared" si="756"/>
        <v>62162</v>
      </c>
      <c r="E8848" s="4">
        <v>1</v>
      </c>
      <c r="F8848" s="57">
        <f t="shared" si="755"/>
        <v>939</v>
      </c>
      <c r="G8848" s="238">
        <f>SUM(C8848,C8824,C8800,C8776,C8752,C8728,C8704,C8680,C8656,C8632,C8608,C8584,C8560,C8536)/POBLA!$B$15*100000</f>
        <v>345.75345188741329</v>
      </c>
      <c r="H8848" s="252">
        <f t="shared" si="757"/>
        <v>0.68069967388081831</v>
      </c>
    </row>
    <row r="8849" spans="1:8" x14ac:dyDescent="0.25">
      <c r="A8849" s="105" t="s">
        <v>19</v>
      </c>
      <c r="B8849" s="102">
        <v>44261</v>
      </c>
      <c r="C8849" s="63">
        <v>71</v>
      </c>
      <c r="D8849" s="21">
        <f t="shared" si="756"/>
        <v>53102</v>
      </c>
      <c r="E8849" s="4">
        <v>3</v>
      </c>
      <c r="F8849" s="57">
        <f t="shared" si="755"/>
        <v>1210</v>
      </c>
      <c r="G8849" s="238">
        <f>SUM(C8849,C8825,C8801,C8777,C8753,C8729,C8705,C8681,C8657,C8633,C8609,C8585,C8561,C8537)/POBLA!$B$16*100000</f>
        <v>229.66519976993354</v>
      </c>
      <c r="H8849" s="252">
        <f t="shared" si="757"/>
        <v>0.8306724721819061</v>
      </c>
    </row>
    <row r="8850" spans="1:8" x14ac:dyDescent="0.25">
      <c r="A8850" s="105" t="s">
        <v>35</v>
      </c>
      <c r="B8850" s="102">
        <v>44261</v>
      </c>
      <c r="C8850" s="63">
        <v>62</v>
      </c>
      <c r="D8850" s="21">
        <f t="shared" si="756"/>
        <v>26844</v>
      </c>
      <c r="E8850" s="4">
        <v>4</v>
      </c>
      <c r="F8850" s="57">
        <f t="shared" si="755"/>
        <v>1116</v>
      </c>
      <c r="G8850" s="238">
        <f>SUM(C8850,C8826,C8802,C8778,C8754,C8730,C8706,C8682,C8658,C8634,C8610,C8586,C8562,C8538)/POBLA!$B$17*100000</f>
        <v>106.85223290978567</v>
      </c>
      <c r="H8850" s="252">
        <f t="shared" si="757"/>
        <v>1.418452935694315</v>
      </c>
    </row>
    <row r="8851" spans="1:8" x14ac:dyDescent="0.25">
      <c r="A8851" s="105" t="s">
        <v>36</v>
      </c>
      <c r="B8851" s="102">
        <v>44261</v>
      </c>
      <c r="C8851" s="63">
        <v>5</v>
      </c>
      <c r="D8851" s="21">
        <f t="shared" si="756"/>
        <v>15524</v>
      </c>
      <c r="F8851" s="57">
        <f t="shared" si="755"/>
        <v>214</v>
      </c>
      <c r="G8851" s="238">
        <f>SUM(C8851,C8827,C8803,C8779,C8755,C8731,C8707,C8683,C8659,C8635,C8611,C8587,C8563,C8539)/POBLA!$B$18*100000</f>
        <v>77.82728742462082</v>
      </c>
      <c r="H8851" s="252">
        <f t="shared" si="757"/>
        <v>0.95597484276729561</v>
      </c>
    </row>
    <row r="8852" spans="1:8" x14ac:dyDescent="0.25">
      <c r="A8852" s="105" t="s">
        <v>37</v>
      </c>
      <c r="B8852" s="102">
        <v>44261</v>
      </c>
      <c r="C8852" s="63">
        <v>1</v>
      </c>
      <c r="D8852" s="21">
        <f t="shared" si="756"/>
        <v>20802</v>
      </c>
      <c r="F8852" s="57">
        <f t="shared" si="755"/>
        <v>358</v>
      </c>
      <c r="G8852" s="238">
        <f>SUM(C8852,C8828,C8804,C8780,C8756,C8732,C8708,C8684,C8660,C8636,C8612,C8588,C8564,C8540)/POBLA!$B$19*100000</f>
        <v>56.066162005634162</v>
      </c>
      <c r="H8852" s="252">
        <f t="shared" si="757"/>
        <v>0.20184135977337112</v>
      </c>
    </row>
    <row r="8853" spans="1:8" x14ac:dyDescent="0.25">
      <c r="A8853" s="105" t="s">
        <v>38</v>
      </c>
      <c r="B8853" s="102">
        <v>44261</v>
      </c>
      <c r="C8853" s="63">
        <v>31</v>
      </c>
      <c r="D8853" s="21">
        <f t="shared" si="756"/>
        <v>36612</v>
      </c>
      <c r="F8853" s="57">
        <f t="shared" si="755"/>
        <v>596</v>
      </c>
      <c r="G8853" s="238">
        <f>SUM(C8853,C8829,C8805,C8781,C8757,C8733,C8709,C8685,C8661,C8637,C8613,C8589,C8565,C8541)/POBLA!$B$20*100000</f>
        <v>411.26831429212086</v>
      </c>
      <c r="H8853" s="252">
        <f t="shared" si="757"/>
        <v>1.103448275862069</v>
      </c>
    </row>
    <row r="8854" spans="1:8" x14ac:dyDescent="0.25">
      <c r="A8854" s="105" t="s">
        <v>23</v>
      </c>
      <c r="B8854" s="102">
        <v>44261</v>
      </c>
      <c r="C8854" s="63">
        <v>337</v>
      </c>
      <c r="D8854" s="21">
        <f t="shared" si="756"/>
        <v>219034</v>
      </c>
      <c r="F8854" s="57">
        <f t="shared" si="755"/>
        <v>4049</v>
      </c>
      <c r="G8854" s="238">
        <f>SUM(C8854,C8830,C8806,C8782,C8758,C8734,C8710,C8686,C8662,C8638,C8614,C8590,C8566,C8542)/POBLA!$B$21*100000</f>
        <v>146.53245176333795</v>
      </c>
      <c r="H8854" s="252">
        <f t="shared" si="757"/>
        <v>1.0786844296419651</v>
      </c>
    </row>
    <row r="8855" spans="1:8" x14ac:dyDescent="0.25">
      <c r="A8855" s="105" t="s">
        <v>39</v>
      </c>
      <c r="B8855" s="102">
        <v>44261</v>
      </c>
      <c r="C8855" s="63">
        <v>54</v>
      </c>
      <c r="D8855" s="21">
        <f t="shared" si="756"/>
        <v>23012</v>
      </c>
      <c r="F8855" s="57">
        <f t="shared" si="755"/>
        <v>271</v>
      </c>
      <c r="G8855" s="238">
        <f>SUM(C8855,C8831,C8807,C8783,C8759,C8735,C8711,C8687,C8663,C8639,C8615,C8591,C8567,C8543)/POBLA!$B$22*100000</f>
        <v>89.133027977753542</v>
      </c>
      <c r="H8855" s="252">
        <f t="shared" si="757"/>
        <v>1.102402022756005</v>
      </c>
    </row>
    <row r="8856" spans="1:8" x14ac:dyDescent="0.25">
      <c r="A8856" s="105" t="s">
        <v>40</v>
      </c>
      <c r="B8856" s="102">
        <v>44261</v>
      </c>
      <c r="C8856" s="63">
        <v>10</v>
      </c>
      <c r="D8856" s="21">
        <f t="shared" si="756"/>
        <v>23139</v>
      </c>
      <c r="F8856" s="57">
        <f t="shared" si="755"/>
        <v>356</v>
      </c>
      <c r="G8856" s="238">
        <f>SUM(C8856,C8832,C8808,C8784,C8760,C8736,C8712,C8688,C8664,C8640,C8616,C8592,C8568,C8544)/POBLA!$B$23*100000</f>
        <v>267.48854832324832</v>
      </c>
      <c r="H8856" s="252">
        <f t="shared" si="757"/>
        <v>0.7831125827814569</v>
      </c>
    </row>
    <row r="8857" spans="1:8" ht="15.75" thickBot="1" x14ac:dyDescent="0.3">
      <c r="A8857" s="106" t="s">
        <v>41</v>
      </c>
      <c r="B8857" s="102">
        <v>44261</v>
      </c>
      <c r="C8857" s="63">
        <v>86</v>
      </c>
      <c r="D8857" s="98">
        <f t="shared" si="756"/>
        <v>80767</v>
      </c>
      <c r="F8857" s="255">
        <f t="shared" si="755"/>
        <v>1483</v>
      </c>
      <c r="G8857" s="256">
        <f>SUM(C8857,C8833,C8809,C8785,C8761,C8737,C8713,C8689,C8665,C8641,C8617,C8593,C8569,C8545)/POBLA!$B$24*100000</f>
        <v>122.38471996676613</v>
      </c>
      <c r="H8857" s="257">
        <f t="shared" si="757"/>
        <v>1.4313319530710835</v>
      </c>
    </row>
    <row r="8858" spans="1:8" x14ac:dyDescent="0.25">
      <c r="A8858" s="45" t="s">
        <v>17</v>
      </c>
      <c r="B8858" s="102">
        <v>44262</v>
      </c>
      <c r="C8858" s="4">
        <v>990</v>
      </c>
      <c r="D8858" s="97">
        <f t="shared" si="756"/>
        <v>897962</v>
      </c>
      <c r="E8858" s="4">
        <v>3</v>
      </c>
      <c r="F8858" s="250">
        <f t="shared" si="755"/>
        <v>26715</v>
      </c>
      <c r="G8858" s="251">
        <f>SUM(C8858,C8834,C8810,C8786,C8762,C8738,C8714,C8690,C8666,C8642,C8618,C8594,C8570,C8546)/POBLA!$B$1*100000</f>
        <v>205.7448828442802</v>
      </c>
      <c r="H8858" s="230">
        <f t="shared" si="757"/>
        <v>1.0197507840976519</v>
      </c>
    </row>
    <row r="8859" spans="1:8" x14ac:dyDescent="0.25">
      <c r="A8859" s="105" t="s">
        <v>44</v>
      </c>
      <c r="B8859" s="102">
        <v>44262</v>
      </c>
      <c r="C8859" s="4">
        <v>429</v>
      </c>
      <c r="D8859" s="21">
        <f t="shared" si="756"/>
        <v>236446</v>
      </c>
      <c r="E8859" s="4">
        <v>1</v>
      </c>
      <c r="F8859" s="57">
        <f t="shared" si="755"/>
        <v>6584</v>
      </c>
      <c r="G8859" s="238">
        <f>SUM(C8859,C8835,C8811,C8787,C8763,C8739,C8715,C8691,C8667,C8643,C8619,C8595,C8571,C8547)/POBLA!$B$2*100000</f>
        <v>316.06368223131011</v>
      </c>
      <c r="H8859" s="252">
        <f t="shared" si="757"/>
        <v>1.0065230896665975</v>
      </c>
    </row>
    <row r="8860" spans="1:8" x14ac:dyDescent="0.25">
      <c r="A8860" s="105" t="s">
        <v>29</v>
      </c>
      <c r="B8860" s="102">
        <v>44262</v>
      </c>
      <c r="C8860" s="4">
        <v>46</v>
      </c>
      <c r="D8860" s="21">
        <f t="shared" si="756"/>
        <v>8452</v>
      </c>
      <c r="F8860" s="57">
        <f t="shared" si="755"/>
        <v>17</v>
      </c>
      <c r="G8860" s="238">
        <f>SUM(C8860,C8836,C8812,C8788,C8764,C8740,C8716,C8692,C8668,C8644,C8620,C8596,C8572,C8548)/POBLA!$B$3*100000</f>
        <v>279.46408368998505</v>
      </c>
      <c r="H8860" s="252">
        <f t="shared" si="757"/>
        <v>1.0554545454545454</v>
      </c>
    </row>
    <row r="8861" spans="1:8" x14ac:dyDescent="0.25">
      <c r="A8861" s="105" t="s">
        <v>16</v>
      </c>
      <c r="B8861" s="102">
        <v>44262</v>
      </c>
      <c r="C8861" s="4">
        <v>84</v>
      </c>
      <c r="D8861" s="21">
        <f t="shared" si="756"/>
        <v>35063</v>
      </c>
      <c r="F8861" s="57">
        <f t="shared" si="755"/>
        <v>873</v>
      </c>
      <c r="G8861" s="238">
        <f>SUM(C8861,C8837,C8813,C8789,C8765,C8741,C8717,C8693,C8669,C8645,C8621,C8597,C8573,C8549)/POBLA!$B$4*100000</f>
        <v>154.16660786141776</v>
      </c>
      <c r="H8861" s="252">
        <f t="shared" si="757"/>
        <v>1.2058441558441559</v>
      </c>
    </row>
    <row r="8862" spans="1:8" x14ac:dyDescent="0.25">
      <c r="A8862" s="105" t="s">
        <v>30</v>
      </c>
      <c r="B8862" s="102">
        <v>44262</v>
      </c>
      <c r="C8862" s="4">
        <v>42</v>
      </c>
      <c r="D8862" s="21">
        <f t="shared" si="756"/>
        <v>47544</v>
      </c>
      <c r="F8862" s="57">
        <f t="shared" si="755"/>
        <v>777</v>
      </c>
      <c r="G8862" s="238">
        <f>SUM(C8862,C8838,C8814,C8790,C8766,C8742,C8718,C8694,C8670,C8646,C8622,C8598,C8574,C8550)/POBLA!$B$5*100000</f>
        <v>234.73571633973833</v>
      </c>
      <c r="H8862" s="252">
        <f t="shared" si="757"/>
        <v>0.66681964203763189</v>
      </c>
    </row>
    <row r="8863" spans="1:8" x14ac:dyDescent="0.25">
      <c r="A8863" s="105" t="s">
        <v>31</v>
      </c>
      <c r="B8863" s="102">
        <v>44262</v>
      </c>
      <c r="C8863" s="4">
        <v>139</v>
      </c>
      <c r="D8863" s="21">
        <f t="shared" si="756"/>
        <v>23180</v>
      </c>
      <c r="F8863" s="57">
        <f t="shared" si="755"/>
        <v>300</v>
      </c>
      <c r="G8863" s="238">
        <f>SUM(C8863,C8839,C8815,C8791,C8767,C8743,C8719,C8695,C8671,C8647,C8623,C8599,C8575,C8551)/POBLA!$B$7*100000</f>
        <v>59.035487774069594</v>
      </c>
      <c r="H8863" s="252">
        <f t="shared" si="757"/>
        <v>0.99685675797036377</v>
      </c>
    </row>
    <row r="8864" spans="1:8" x14ac:dyDescent="0.25">
      <c r="A8864" s="105" t="s">
        <v>21</v>
      </c>
      <c r="B8864" s="102">
        <v>44262</v>
      </c>
      <c r="C8864" s="4">
        <v>256</v>
      </c>
      <c r="D8864" s="21">
        <f t="shared" si="756"/>
        <v>163840</v>
      </c>
      <c r="F8864" s="57">
        <f t="shared" si="755"/>
        <v>2876</v>
      </c>
      <c r="G8864" s="238">
        <f>SUM(C8864,C8840,C8816,C8792,C8768,C8744,C8720,C8696,C8672,C8648,C8624,C8600,C8576,C8552)/POBLA!$B$6*100000</f>
        <v>737.5082641789221</v>
      </c>
      <c r="H8864" s="252">
        <f t="shared" si="757"/>
        <v>1.1318636176913597</v>
      </c>
    </row>
    <row r="8865" spans="1:8" x14ac:dyDescent="0.25">
      <c r="A8865" s="105" t="s">
        <v>32</v>
      </c>
      <c r="B8865" s="102">
        <v>44262</v>
      </c>
      <c r="C8865" s="4">
        <v>56</v>
      </c>
      <c r="D8865" s="21">
        <f t="shared" si="756"/>
        <v>45993</v>
      </c>
      <c r="F8865" s="57">
        <f t="shared" ref="F8865:F8888" si="758">E8865+F8841</f>
        <v>872</v>
      </c>
      <c r="G8865" s="238">
        <f>SUM(C8865,C8841,C8817,C8793,C8769,C8745,C8721,C8697,C8673,C8649,C8625,C8601,C8577,C8553)/POBLA!$B$8*100000</f>
        <v>120.85477152676013</v>
      </c>
      <c r="H8865" s="252">
        <f t="shared" si="757"/>
        <v>0.93262806236080176</v>
      </c>
    </row>
    <row r="8866" spans="1:8" x14ac:dyDescent="0.25">
      <c r="A8866" s="105" t="s">
        <v>42</v>
      </c>
      <c r="B8866" s="102">
        <v>44262</v>
      </c>
      <c r="C8866" s="4">
        <v>28</v>
      </c>
      <c r="D8866" s="21">
        <f t="shared" si="756"/>
        <v>1368</v>
      </c>
      <c r="F8866" s="57">
        <f t="shared" si="758"/>
        <v>20</v>
      </c>
      <c r="G8866" s="238">
        <f>SUM(C8866,C8842,C8818,C8794,C8770,C8746,C8722,C8698,C8674,C8650,C8626,C8602,C8578,C8554)/POBLA!$B$9*100000</f>
        <v>47.753361324403954</v>
      </c>
      <c r="H8866" s="252">
        <f t="shared" si="757"/>
        <v>1.4378109452736318</v>
      </c>
    </row>
    <row r="8867" spans="1:8" x14ac:dyDescent="0.25">
      <c r="A8867" s="105" t="s">
        <v>33</v>
      </c>
      <c r="B8867" s="102">
        <v>44262</v>
      </c>
      <c r="C8867" s="4">
        <v>56</v>
      </c>
      <c r="D8867" s="21">
        <f t="shared" si="756"/>
        <v>21261</v>
      </c>
      <c r="E8867" s="4">
        <v>1</v>
      </c>
      <c r="F8867" s="57">
        <f t="shared" si="758"/>
        <v>913</v>
      </c>
      <c r="G8867" s="238">
        <f>SUM(C8867,C8843,C8819,C8795,C8771,C8747,C8723,C8699,C8675,C8651,C8627,C8603,C8579,C8555)/POBLA!$B$10*100000</f>
        <v>148.6610773906738</v>
      </c>
      <c r="H8867" s="252">
        <f t="shared" si="757"/>
        <v>1.9260504201680673</v>
      </c>
    </row>
    <row r="8868" spans="1:8" x14ac:dyDescent="0.25">
      <c r="A8868" s="105" t="s">
        <v>34</v>
      </c>
      <c r="B8868" s="102">
        <v>44262</v>
      </c>
      <c r="C8868" s="4">
        <v>43</v>
      </c>
      <c r="D8868" s="21">
        <f t="shared" si="756"/>
        <v>19241</v>
      </c>
      <c r="F8868" s="57">
        <f t="shared" si="758"/>
        <v>289</v>
      </c>
      <c r="G8868" s="238">
        <f>SUM(C8868,C8844,C8820,C8796,C8772,C8748,C8724,C8700,C8676,C8652,C8628,C8604,C8580,C8556)/POBLA!$B$11*100000</f>
        <v>321.12446572254402</v>
      </c>
      <c r="H8868" s="252">
        <f t="shared" si="757"/>
        <v>1.1487025948103793</v>
      </c>
    </row>
    <row r="8869" spans="1:8" x14ac:dyDescent="0.25">
      <c r="A8869" s="105" t="s">
        <v>22</v>
      </c>
      <c r="B8869" s="102">
        <v>44262</v>
      </c>
      <c r="C8869" s="4">
        <v>12</v>
      </c>
      <c r="D8869" s="21">
        <f t="shared" si="756"/>
        <v>10363</v>
      </c>
      <c r="F8869" s="57">
        <f t="shared" si="758"/>
        <v>444</v>
      </c>
      <c r="G8869" s="238">
        <f>SUM(C8869,C8845,C8821,C8797,C8773,C8749,C8725,C8701,C8677,C8653,C8629,C8605,C8581,C8557)/POBLA!$B$12*100000</f>
        <v>87.413698031413034</v>
      </c>
      <c r="H8869" s="252">
        <f t="shared" si="757"/>
        <v>1.0299401197604789</v>
      </c>
    </row>
    <row r="8870" spans="1:8" x14ac:dyDescent="0.25">
      <c r="A8870" s="105" t="s">
        <v>18</v>
      </c>
      <c r="B8870" s="102">
        <v>44262</v>
      </c>
      <c r="C8870" s="4">
        <v>56</v>
      </c>
      <c r="D8870" s="21">
        <f t="shared" si="756"/>
        <v>68227</v>
      </c>
      <c r="E8870" s="4">
        <v>2</v>
      </c>
      <c r="F8870" s="57">
        <f t="shared" si="758"/>
        <v>1461</v>
      </c>
      <c r="G8870" s="238">
        <f>SUM(C8870,C8846,C8822,C8798,C8774,C8750,C8726,C8702,C8678,C8654,C8630,C8606,C8582,C8558)/POBLA!$B$13*100000</f>
        <v>95.159716590850394</v>
      </c>
      <c r="H8870" s="252">
        <f t="shared" si="757"/>
        <v>1.1800623052959502</v>
      </c>
    </row>
    <row r="8871" spans="1:8" x14ac:dyDescent="0.25">
      <c r="A8871" s="105" t="s">
        <v>24</v>
      </c>
      <c r="B8871" s="102">
        <v>44262</v>
      </c>
      <c r="C8871" s="4">
        <v>109</v>
      </c>
      <c r="D8871" s="21">
        <f t="shared" si="756"/>
        <v>9122</v>
      </c>
      <c r="F8871" s="57">
        <f t="shared" si="758"/>
        <v>151</v>
      </c>
      <c r="G8871" s="238">
        <f>SUM(C8871,C8847,C8823,C8799,C8775,C8751,C8727,C8703,C8679,C8655,C8631,C8607,C8583,C8559)/POBLA!$B$14*100000</f>
        <v>130.02519634597485</v>
      </c>
      <c r="H8871" s="252">
        <f t="shared" si="757"/>
        <v>1.1549295774647887</v>
      </c>
    </row>
    <row r="8872" spans="1:8" x14ac:dyDescent="0.25">
      <c r="A8872" s="105" t="s">
        <v>20</v>
      </c>
      <c r="B8872" s="102">
        <v>44262</v>
      </c>
      <c r="C8872" s="4">
        <v>133</v>
      </c>
      <c r="D8872" s="21">
        <f t="shared" si="756"/>
        <v>62295</v>
      </c>
      <c r="E8872" s="4">
        <v>1</v>
      </c>
      <c r="F8872" s="57">
        <f t="shared" si="758"/>
        <v>940</v>
      </c>
      <c r="G8872" s="238">
        <f>SUM(C8872,C8848,C8824,C8800,C8776,C8752,C8728,C8704,C8680,C8656,C8632,C8608,C8584,C8560)/POBLA!$B$15*100000</f>
        <v>348.3134730904124</v>
      </c>
      <c r="H8872" s="252">
        <f t="shared" si="757"/>
        <v>0.69522091974752032</v>
      </c>
    </row>
    <row r="8873" spans="1:8" x14ac:dyDescent="0.25">
      <c r="A8873" s="105" t="s">
        <v>19</v>
      </c>
      <c r="B8873" s="102">
        <v>44262</v>
      </c>
      <c r="C8873" s="4">
        <v>14</v>
      </c>
      <c r="D8873" s="21">
        <f t="shared" si="756"/>
        <v>53116</v>
      </c>
      <c r="F8873" s="57">
        <f t="shared" si="758"/>
        <v>1210</v>
      </c>
      <c r="G8873" s="238">
        <f>SUM(C8873,C8849,C8825,C8801,C8777,C8753,C8729,C8705,C8681,C8657,C8633,C8609,C8585,C8561)/POBLA!$B$16*100000</f>
        <v>222.30842284078597</v>
      </c>
      <c r="H8873" s="252">
        <f t="shared" si="757"/>
        <v>0.80019258545979777</v>
      </c>
    </row>
    <row r="8874" spans="1:8" x14ac:dyDescent="0.25">
      <c r="A8874" s="105" t="s">
        <v>35</v>
      </c>
      <c r="B8874" s="102">
        <v>44262</v>
      </c>
      <c r="C8874" s="4">
        <v>17</v>
      </c>
      <c r="D8874" s="21">
        <f t="shared" ref="D8874:D8905" si="759">C8874+D8850</f>
        <v>26861</v>
      </c>
      <c r="F8874" s="57">
        <f t="shared" si="758"/>
        <v>1116</v>
      </c>
      <c r="G8874" s="238">
        <f>SUM(C8874,C8850,C8826,C8802,C8778,C8754,C8730,C8706,C8682,C8658,C8634,C8610,C8586,C8562)/POBLA!$B$17*100000</f>
        <v>102.21869324352691</v>
      </c>
      <c r="H8874" s="252">
        <f t="shared" ref="H8874:H8905" si="760">SUM(C8874,C8850,C8826,C8802,C8778,C8754,C8730,C8706,C8682,C8658,C8634,C8610,C8586,C8562)/SUM(C8538,C8514,C8490,C8466,C8442,C8418,C8394,C8370,C8346,C8322,C8298,C8274,C8250,C8226)</f>
        <v>1.3081761006289307</v>
      </c>
    </row>
    <row r="8875" spans="1:8" x14ac:dyDescent="0.25">
      <c r="A8875" s="105" t="s">
        <v>36</v>
      </c>
      <c r="B8875" s="102">
        <v>44262</v>
      </c>
      <c r="C8875" s="4">
        <v>10</v>
      </c>
      <c r="D8875" s="21">
        <f t="shared" si="759"/>
        <v>15534</v>
      </c>
      <c r="F8875" s="57">
        <f t="shared" si="758"/>
        <v>214</v>
      </c>
      <c r="G8875" s="238">
        <f>SUM(C8875,C8851,C8827,C8803,C8779,C8755,C8731,C8707,C8683,C8659,C8635,C8611,C8587,C8563)/POBLA!$B$18*100000</f>
        <v>78.723325273259547</v>
      </c>
      <c r="H8875" s="252">
        <f t="shared" si="760"/>
        <v>0.97619047619047616</v>
      </c>
    </row>
    <row r="8876" spans="1:8" x14ac:dyDescent="0.25">
      <c r="A8876" s="105" t="s">
        <v>37</v>
      </c>
      <c r="B8876" s="102">
        <v>44262</v>
      </c>
      <c r="C8876" s="4">
        <v>0</v>
      </c>
      <c r="D8876" s="21">
        <f t="shared" si="759"/>
        <v>20802</v>
      </c>
      <c r="F8876" s="57">
        <f t="shared" si="758"/>
        <v>358</v>
      </c>
      <c r="G8876" s="238">
        <f>SUM(C8876,C8852,C8828,C8804,C8780,C8756,C8732,C8708,C8684,C8660,C8636,C8612,C8588,C8564)/POBLA!$B$19*100000</f>
        <v>55.672715254717424</v>
      </c>
      <c r="H8876" s="252">
        <f t="shared" si="760"/>
        <v>0.20028308563340411</v>
      </c>
    </row>
    <row r="8877" spans="1:8" x14ac:dyDescent="0.25">
      <c r="A8877" s="105" t="s">
        <v>38</v>
      </c>
      <c r="B8877" s="102">
        <v>44262</v>
      </c>
      <c r="C8877" s="4">
        <v>51</v>
      </c>
      <c r="D8877" s="21">
        <f t="shared" si="759"/>
        <v>36663</v>
      </c>
      <c r="E8877" s="4">
        <v>1</v>
      </c>
      <c r="F8877" s="57">
        <f t="shared" si="758"/>
        <v>597</v>
      </c>
      <c r="G8877" s="238">
        <f>SUM(C8877,C8853,C8829,C8805,C8781,C8757,C8733,C8709,C8685,C8661,C8637,C8613,C8589,C8565)/POBLA!$B$20*100000</f>
        <v>403.06482398044284</v>
      </c>
      <c r="H8877" s="252">
        <f t="shared" si="760"/>
        <v>1.0566308243727598</v>
      </c>
    </row>
    <row r="8878" spans="1:8" x14ac:dyDescent="0.25">
      <c r="A8878" s="105" t="s">
        <v>23</v>
      </c>
      <c r="B8878" s="102">
        <v>44262</v>
      </c>
      <c r="C8878" s="4">
        <v>229</v>
      </c>
      <c r="D8878" s="21">
        <f t="shared" si="759"/>
        <v>219263</v>
      </c>
      <c r="E8878" s="4">
        <v>1</v>
      </c>
      <c r="F8878" s="57">
        <f t="shared" si="758"/>
        <v>4050</v>
      </c>
      <c r="G8878" s="238">
        <f>SUM(C8878,C8854,C8830,C8806,C8782,C8758,C8734,C8710,C8686,C8662,C8638,C8614,C8590,C8566)/POBLA!$B$21*100000</f>
        <v>147.18282736938903</v>
      </c>
      <c r="H8878" s="252">
        <f t="shared" si="760"/>
        <v>1.0725324541520709</v>
      </c>
    </row>
    <row r="8879" spans="1:8" x14ac:dyDescent="0.25">
      <c r="A8879" s="105" t="s">
        <v>39</v>
      </c>
      <c r="B8879" s="102">
        <v>44262</v>
      </c>
      <c r="C8879" s="4">
        <v>27</v>
      </c>
      <c r="D8879" s="21">
        <f t="shared" si="759"/>
        <v>23039</v>
      </c>
      <c r="F8879" s="57">
        <f t="shared" si="758"/>
        <v>271</v>
      </c>
      <c r="G8879" s="238">
        <f>SUM(C8879,C8855,C8831,C8807,C8783,C8759,C8735,C8711,C8687,C8663,C8639,C8615,C8591,C8567)/POBLA!$B$22*100000</f>
        <v>87.701993124899701</v>
      </c>
      <c r="H8879" s="252">
        <f t="shared" si="760"/>
        <v>1.1470588235294117</v>
      </c>
    </row>
    <row r="8880" spans="1:8" x14ac:dyDescent="0.25">
      <c r="A8880" s="105" t="s">
        <v>40</v>
      </c>
      <c r="B8880" s="102">
        <v>44262</v>
      </c>
      <c r="C8880" s="4">
        <v>37</v>
      </c>
      <c r="D8880" s="21">
        <f t="shared" si="759"/>
        <v>23176</v>
      </c>
      <c r="F8880" s="57">
        <f t="shared" si="758"/>
        <v>356</v>
      </c>
      <c r="G8880" s="238">
        <f>SUM(C8880,C8856,C8832,C8808,C8784,C8760,C8736,C8712,C8688,C8664,C8640,C8616,C8592,C8568)/POBLA!$B$23*100000</f>
        <v>265.79200361929537</v>
      </c>
      <c r="H8880" s="252">
        <f t="shared" si="760"/>
        <v>0.75320512820512819</v>
      </c>
    </row>
    <row r="8881" spans="1:8" ht="15.75" thickBot="1" x14ac:dyDescent="0.3">
      <c r="A8881" s="106" t="s">
        <v>41</v>
      </c>
      <c r="B8881" s="102">
        <v>44262</v>
      </c>
      <c r="C8881" s="4">
        <v>58</v>
      </c>
      <c r="D8881" s="98">
        <f t="shared" si="759"/>
        <v>80825</v>
      </c>
      <c r="F8881" s="255">
        <f t="shared" si="758"/>
        <v>1483</v>
      </c>
      <c r="G8881" s="256">
        <f>SUM(C8881,C8857,C8833,C8809,C8785,C8761,C8737,C8713,C8689,C8665,C8641,C8617,C8593,C8569)/POBLA!$B$24*100000</f>
        <v>121.49958457645681</v>
      </c>
      <c r="H8881" s="257">
        <f t="shared" si="760"/>
        <v>1.4141483516483517</v>
      </c>
    </row>
    <row r="8882" spans="1:8" x14ac:dyDescent="0.25">
      <c r="A8882" s="45" t="s">
        <v>17</v>
      </c>
      <c r="B8882" s="102">
        <v>44263</v>
      </c>
      <c r="C8882" s="4">
        <v>1991</v>
      </c>
      <c r="D8882" s="97">
        <f t="shared" si="759"/>
        <v>899953</v>
      </c>
      <c r="E8882" s="4">
        <v>130</v>
      </c>
      <c r="F8882" s="250">
        <f t="shared" si="758"/>
        <v>26845</v>
      </c>
      <c r="G8882" s="251">
        <f>SUM(C8882,C8858,C8834,C8810,C8786,C8762,C8738,C8714,C8690,C8666,C8642,C8618,C8594,C8570)/POBLA!$B$1*100000</f>
        <v>205.69927577687221</v>
      </c>
      <c r="H8882" s="230">
        <f t="shared" si="760"/>
        <v>1.022297775888936</v>
      </c>
    </row>
    <row r="8883" spans="1:8" x14ac:dyDescent="0.25">
      <c r="A8883" s="105" t="s">
        <v>44</v>
      </c>
      <c r="B8883" s="102">
        <v>44263</v>
      </c>
      <c r="C8883" s="4">
        <v>693</v>
      </c>
      <c r="D8883" s="21">
        <f t="shared" si="759"/>
        <v>237139</v>
      </c>
      <c r="E8883" s="4">
        <v>28</v>
      </c>
      <c r="F8883" s="57">
        <f t="shared" si="758"/>
        <v>6612</v>
      </c>
      <c r="G8883" s="238">
        <f>SUM(C8883,C8859,C8835,C8811,C8787,C8763,C8739,C8715,C8691,C8667,C8643,C8619,C8595,C8571)/POBLA!$B$2*100000</f>
        <v>311.77190092747992</v>
      </c>
      <c r="H8883" s="252">
        <f t="shared" si="760"/>
        <v>0.98006950122649228</v>
      </c>
    </row>
    <row r="8884" spans="1:8" x14ac:dyDescent="0.25">
      <c r="A8884" s="105" t="s">
        <v>29</v>
      </c>
      <c r="B8884" s="102">
        <v>44263</v>
      </c>
      <c r="C8884" s="4">
        <v>75</v>
      </c>
      <c r="D8884" s="21">
        <f t="shared" si="759"/>
        <v>8527</v>
      </c>
      <c r="F8884" s="57">
        <f t="shared" si="758"/>
        <v>17</v>
      </c>
      <c r="G8884" s="238">
        <f>SUM(C8884,C8860,C8836,C8812,C8788,C8764,C8740,C8716,C8692,C8668,C8644,C8620,C8596,C8572)/POBLA!$B$3*100000</f>
        <v>277.05698563925301</v>
      </c>
      <c r="H8884" s="252">
        <f t="shared" si="760"/>
        <v>1.0941064638783271</v>
      </c>
    </row>
    <row r="8885" spans="1:8" x14ac:dyDescent="0.25">
      <c r="A8885" s="105" t="s">
        <v>16</v>
      </c>
      <c r="B8885" s="102">
        <v>44263</v>
      </c>
      <c r="C8885" s="4">
        <v>119</v>
      </c>
      <c r="D8885" s="21">
        <f t="shared" si="759"/>
        <v>35182</v>
      </c>
      <c r="E8885" s="4">
        <v>4</v>
      </c>
      <c r="F8885" s="57">
        <f t="shared" si="758"/>
        <v>877</v>
      </c>
      <c r="G8885" s="238">
        <f>SUM(C8885,C8861,C8837,C8813,C8789,C8765,C8741,C8717,C8693,C8669,C8645,C8621,C8597,C8573)/POBLA!$B$4*100000</f>
        <v>153.75151198672356</v>
      </c>
      <c r="H8885" s="252">
        <f t="shared" si="760"/>
        <v>1.1575</v>
      </c>
    </row>
    <row r="8886" spans="1:8" x14ac:dyDescent="0.25">
      <c r="A8886" s="105" t="s">
        <v>30</v>
      </c>
      <c r="B8886" s="102">
        <v>44263</v>
      </c>
      <c r="C8886" s="4">
        <v>69</v>
      </c>
      <c r="D8886" s="21">
        <f t="shared" si="759"/>
        <v>47613</v>
      </c>
      <c r="E8886" s="4">
        <v>4</v>
      </c>
      <c r="F8886" s="57">
        <f t="shared" si="758"/>
        <v>781</v>
      </c>
      <c r="G8886" s="238">
        <f>SUM(C8886,C8862,C8838,C8814,C8790,C8766,C8742,C8718,C8694,C8670,C8646,C8622,C8598,C8574)/POBLA!$B$5*100000</f>
        <v>223.10393961815461</v>
      </c>
      <c r="H8886" s="252">
        <f t="shared" si="760"/>
        <v>0.66330451488952935</v>
      </c>
    </row>
    <row r="8887" spans="1:8" x14ac:dyDescent="0.25">
      <c r="A8887" s="105" t="s">
        <v>31</v>
      </c>
      <c r="B8887" s="102">
        <v>44263</v>
      </c>
      <c r="C8887" s="4">
        <v>198</v>
      </c>
      <c r="D8887" s="21">
        <f t="shared" si="759"/>
        <v>23378</v>
      </c>
      <c r="E8887" s="4">
        <v>1</v>
      </c>
      <c r="F8887" s="57">
        <f t="shared" si="758"/>
        <v>301</v>
      </c>
      <c r="G8887" s="238">
        <f>SUM(C8887,C8863,C8839,C8815,C8791,C8767,C8743,C8719,C8695,C8671,C8647,C8623,C8599,C8575)/POBLA!$B$7*100000</f>
        <v>60.524671249451522</v>
      </c>
      <c r="H8887" s="252">
        <f t="shared" si="760"/>
        <v>0.99519020550940096</v>
      </c>
    </row>
    <row r="8888" spans="1:8" x14ac:dyDescent="0.25">
      <c r="A8888" s="105" t="s">
        <v>21</v>
      </c>
      <c r="B8888" s="102">
        <v>44263</v>
      </c>
      <c r="C8888" s="4">
        <v>492</v>
      </c>
      <c r="D8888" s="21">
        <f t="shared" si="759"/>
        <v>164332</v>
      </c>
      <c r="E8888" s="4">
        <v>7</v>
      </c>
      <c r="F8888" s="57">
        <f t="shared" si="758"/>
        <v>2883</v>
      </c>
      <c r="G8888" s="238">
        <f>SUM(C8888,C8864,C8840,C8816,C8792,C8768,C8744,C8720,C8696,C8672,C8648,C8624,C8600,C8576)/POBLA!$B$6*100000</f>
        <v>745.53823560114597</v>
      </c>
      <c r="H8888" s="252">
        <f t="shared" si="760"/>
        <v>1.1130944451844944</v>
      </c>
    </row>
    <row r="8889" spans="1:8" x14ac:dyDescent="0.25">
      <c r="A8889" s="105" t="s">
        <v>32</v>
      </c>
      <c r="B8889" s="102">
        <v>44263</v>
      </c>
      <c r="C8889" s="4">
        <v>85</v>
      </c>
      <c r="D8889" s="21">
        <f t="shared" si="759"/>
        <v>46078</v>
      </c>
      <c r="E8889" s="4">
        <v>15</v>
      </c>
      <c r="F8889" s="57">
        <f t="shared" ref="F8889:F8912" si="761">E8889+F8865</f>
        <v>887</v>
      </c>
      <c r="G8889" s="238">
        <f>SUM(C8889,C8865,C8841,C8817,C8793,C8769,C8745,C8721,C8697,C8673,C8649,C8625,C8601,C8577)/POBLA!$B$8*100000</f>
        <v>119.05096896665923</v>
      </c>
      <c r="H8889" s="252">
        <f t="shared" si="760"/>
        <v>0.89869281045751637</v>
      </c>
    </row>
    <row r="8890" spans="1:8" x14ac:dyDescent="0.25">
      <c r="A8890" s="105" t="s">
        <v>42</v>
      </c>
      <c r="B8890" s="102">
        <v>44263</v>
      </c>
      <c r="C8890" s="4">
        <v>24</v>
      </c>
      <c r="D8890" s="21">
        <f t="shared" si="759"/>
        <v>1392</v>
      </c>
      <c r="F8890" s="57">
        <f t="shared" si="761"/>
        <v>20</v>
      </c>
      <c r="G8890" s="238">
        <f>SUM(C8890,C8866,C8842,C8818,C8794,C8770,C8746,C8722,C8698,C8674,C8650,C8626,C8602,C8578)/POBLA!$B$9*100000</f>
        <v>42.300555360025648</v>
      </c>
      <c r="H8890" s="252">
        <f t="shared" si="760"/>
        <v>1.0199203187250996</v>
      </c>
    </row>
    <row r="8891" spans="1:8" x14ac:dyDescent="0.25">
      <c r="A8891" s="105" t="s">
        <v>33</v>
      </c>
      <c r="B8891" s="102">
        <v>44263</v>
      </c>
      <c r="C8891" s="4">
        <v>35</v>
      </c>
      <c r="D8891" s="21">
        <f t="shared" si="759"/>
        <v>21296</v>
      </c>
      <c r="E8891" s="4">
        <v>2</v>
      </c>
      <c r="F8891" s="57">
        <f t="shared" si="761"/>
        <v>915</v>
      </c>
      <c r="G8891" s="238">
        <f>SUM(C8891,C8867,C8843,C8819,C8795,C8771,C8747,C8723,C8699,C8675,C8651,C8627,C8603,C8579)/POBLA!$B$10*100000</f>
        <v>146.9746951864166</v>
      </c>
      <c r="H8891" s="252">
        <f t="shared" si="760"/>
        <v>1.8392857142857142</v>
      </c>
    </row>
    <row r="8892" spans="1:8" x14ac:dyDescent="0.25">
      <c r="A8892" s="105" t="s">
        <v>34</v>
      </c>
      <c r="B8892" s="102">
        <v>44263</v>
      </c>
      <c r="C8892" s="4">
        <v>69</v>
      </c>
      <c r="D8892" s="21">
        <f t="shared" si="759"/>
        <v>19310</v>
      </c>
      <c r="E8892" s="4">
        <v>2</v>
      </c>
      <c r="F8892" s="57">
        <f t="shared" si="761"/>
        <v>291</v>
      </c>
      <c r="G8892" s="238">
        <f>SUM(C8892,C8868,C8844,C8820,C8796,C8772,C8748,C8724,C8700,C8676,C8652,C8628,C8604,C8580)/POBLA!$B$11*100000</f>
        <v>320.56647360139272</v>
      </c>
      <c r="H8892" s="252">
        <f t="shared" si="760"/>
        <v>1.1845360824742268</v>
      </c>
    </row>
    <row r="8893" spans="1:8" x14ac:dyDescent="0.25">
      <c r="A8893" s="105" t="s">
        <v>22</v>
      </c>
      <c r="B8893" s="102">
        <v>44263</v>
      </c>
      <c r="C8893" s="4">
        <v>17</v>
      </c>
      <c r="D8893" s="21">
        <f t="shared" si="759"/>
        <v>10380</v>
      </c>
      <c r="F8893" s="57">
        <f t="shared" si="761"/>
        <v>444</v>
      </c>
      <c r="G8893" s="238">
        <f>SUM(C8893,C8869,C8845,C8821,C8797,C8773,C8749,C8725,C8701,C8677,C8653,C8629,C8605,C8581)/POBLA!$B$12*100000</f>
        <v>84.618492571106216</v>
      </c>
      <c r="H8893" s="252">
        <f t="shared" si="760"/>
        <v>0.94602272727272729</v>
      </c>
    </row>
    <row r="8894" spans="1:8" x14ac:dyDescent="0.25">
      <c r="A8894" s="105" t="s">
        <v>18</v>
      </c>
      <c r="B8894" s="102">
        <v>44263</v>
      </c>
      <c r="C8894" s="4">
        <v>128</v>
      </c>
      <c r="D8894" s="21">
        <f t="shared" si="759"/>
        <v>68355</v>
      </c>
      <c r="E8894" s="4">
        <v>3</v>
      </c>
      <c r="F8894" s="57">
        <f t="shared" si="761"/>
        <v>1464</v>
      </c>
      <c r="G8894" s="238">
        <f>SUM(C8894,C8870,C8846,C8822,C8798,C8774,C8750,C8726,C8702,C8678,C8654,C8630,C8606,C8582)/POBLA!$B$13*100000</f>
        <v>97.671852720492694</v>
      </c>
      <c r="H8894" s="252">
        <f t="shared" si="760"/>
        <v>1.2421725239616614</v>
      </c>
    </row>
    <row r="8895" spans="1:8" x14ac:dyDescent="0.25">
      <c r="A8895" s="105" t="s">
        <v>24</v>
      </c>
      <c r="B8895" s="102">
        <v>44263</v>
      </c>
      <c r="C8895" s="4">
        <v>109</v>
      </c>
      <c r="D8895" s="21">
        <f t="shared" si="759"/>
        <v>9231</v>
      </c>
      <c r="E8895" s="4">
        <v>4</v>
      </c>
      <c r="F8895" s="57">
        <f t="shared" si="761"/>
        <v>155</v>
      </c>
      <c r="G8895" s="238">
        <f>SUM(C8895,C8871,C8847,C8823,C8799,C8775,C8751,C8727,C8703,C8679,C8655,C8631,C8607,C8583)/POBLA!$B$14*100000</f>
        <v>128.59809053242145</v>
      </c>
      <c r="H8895" s="252">
        <f t="shared" si="760"/>
        <v>1.0878604963112006</v>
      </c>
    </row>
    <row r="8896" spans="1:8" x14ac:dyDescent="0.25">
      <c r="A8896" s="105" t="s">
        <v>20</v>
      </c>
      <c r="B8896" s="102">
        <v>44263</v>
      </c>
      <c r="C8896" s="4">
        <v>128</v>
      </c>
      <c r="D8896" s="21">
        <f t="shared" si="759"/>
        <v>62423</v>
      </c>
      <c r="F8896" s="57">
        <f t="shared" si="761"/>
        <v>940</v>
      </c>
      <c r="G8896" s="238">
        <f>SUM(C8896,C8872,C8848,C8824,C8800,C8776,C8752,C8728,C8704,C8680,C8656,C8632,C8608,C8584)/POBLA!$B$15*100000</f>
        <v>335.96513552300479</v>
      </c>
      <c r="H8896" s="252">
        <f t="shared" si="760"/>
        <v>0.68330781010719754</v>
      </c>
    </row>
    <row r="8897" spans="1:8" x14ac:dyDescent="0.25">
      <c r="A8897" s="105" t="s">
        <v>19</v>
      </c>
      <c r="B8897" s="102">
        <v>44263</v>
      </c>
      <c r="C8897" s="4">
        <v>111</v>
      </c>
      <c r="D8897" s="21">
        <f t="shared" si="759"/>
        <v>53227</v>
      </c>
      <c r="E8897" s="4">
        <v>5</v>
      </c>
      <c r="F8897" s="57">
        <f t="shared" si="761"/>
        <v>1215</v>
      </c>
      <c r="G8897" s="238">
        <f>SUM(C8897,C8873,C8849,C8825,C8801,C8777,C8753,C8729,C8705,C8681,C8657,C8633,C8609,C8585)/POBLA!$B$16*100000</f>
        <v>221.23834619654633</v>
      </c>
      <c r="H8897" s="252">
        <f t="shared" si="760"/>
        <v>0.83408976298537574</v>
      </c>
    </row>
    <row r="8898" spans="1:8" x14ac:dyDescent="0.25">
      <c r="A8898" s="105" t="s">
        <v>35</v>
      </c>
      <c r="B8898" s="102">
        <v>44263</v>
      </c>
      <c r="C8898" s="4">
        <v>43</v>
      </c>
      <c r="D8898" s="21">
        <f t="shared" si="759"/>
        <v>26904</v>
      </c>
      <c r="E8898" s="4">
        <v>8</v>
      </c>
      <c r="F8898" s="57">
        <f t="shared" si="761"/>
        <v>1124</v>
      </c>
      <c r="G8898" s="238">
        <f>SUM(C8898,C8874,C8850,C8826,C8802,C8778,C8754,C8730,C8706,C8682,C8658,C8634,C8610,C8586)/POBLA!$B$17*100000</f>
        <v>100.04233370331445</v>
      </c>
      <c r="H8898" s="252">
        <f t="shared" si="760"/>
        <v>1.227390180878553</v>
      </c>
    </row>
    <row r="8899" spans="1:8" x14ac:dyDescent="0.25">
      <c r="A8899" s="105" t="s">
        <v>36</v>
      </c>
      <c r="B8899" s="102">
        <v>44263</v>
      </c>
      <c r="C8899" s="4">
        <v>78</v>
      </c>
      <c r="D8899" s="21">
        <f t="shared" si="759"/>
        <v>15612</v>
      </c>
      <c r="E8899" s="4">
        <v>1</v>
      </c>
      <c r="F8899" s="57">
        <f t="shared" si="761"/>
        <v>215</v>
      </c>
      <c r="G8899" s="238">
        <f>SUM(C8899,C8875,C8851,C8827,C8803,C8779,C8755,C8731,C8707,C8683,C8659,C8635,C8611,C8587)/POBLA!$B$18*100000</f>
        <v>79.619363121898274</v>
      </c>
      <c r="H8899" s="252">
        <f t="shared" si="760"/>
        <v>0.95252679938744256</v>
      </c>
    </row>
    <row r="8900" spans="1:8" x14ac:dyDescent="0.25">
      <c r="A8900" s="105" t="s">
        <v>37</v>
      </c>
      <c r="B8900" s="102">
        <v>44263</v>
      </c>
      <c r="C8900" s="4">
        <v>3</v>
      </c>
      <c r="D8900" s="21">
        <f t="shared" si="759"/>
        <v>20805</v>
      </c>
      <c r="F8900" s="57">
        <f t="shared" si="761"/>
        <v>358</v>
      </c>
      <c r="G8900" s="238">
        <f>SUM(C8900,C8876,C8852,C8828,C8804,C8780,C8756,C8732,C8708,C8684,C8660,C8636,C8612,C8588)/POBLA!$B$19*100000</f>
        <v>51.738247745550119</v>
      </c>
      <c r="H8900" s="252">
        <f t="shared" si="760"/>
        <v>0.18391608391608391</v>
      </c>
    </row>
    <row r="8901" spans="1:8" x14ac:dyDescent="0.25">
      <c r="A8901" s="105" t="s">
        <v>38</v>
      </c>
      <c r="B8901" s="102">
        <v>44263</v>
      </c>
      <c r="C8901" s="4">
        <v>94</v>
      </c>
      <c r="D8901" s="21">
        <f t="shared" si="759"/>
        <v>36757</v>
      </c>
      <c r="E8901" s="4">
        <v>1</v>
      </c>
      <c r="F8901" s="57">
        <f t="shared" si="761"/>
        <v>598</v>
      </c>
      <c r="G8901" s="238">
        <f>SUM(C8901,C8877,C8853,C8829,C8805,C8781,C8757,C8733,C8709,C8685,C8661,C8637,C8613,C8589)/POBLA!$B$20*100000</f>
        <v>394.86133366876493</v>
      </c>
      <c r="H8901" s="252">
        <f t="shared" si="760"/>
        <v>1.0418470418470418</v>
      </c>
    </row>
    <row r="8902" spans="1:8" x14ac:dyDescent="0.25">
      <c r="A8902" s="105" t="s">
        <v>23</v>
      </c>
      <c r="B8902" s="102">
        <v>44263</v>
      </c>
      <c r="C8902" s="4">
        <v>289</v>
      </c>
      <c r="D8902" s="21">
        <f t="shared" si="759"/>
        <v>219552</v>
      </c>
      <c r="E8902" s="4">
        <v>24</v>
      </c>
      <c r="F8902" s="57">
        <f t="shared" si="761"/>
        <v>4074</v>
      </c>
      <c r="G8902" s="238">
        <f>SUM(C8902,C8878,C8854,C8830,C8806,C8782,C8758,C8734,C8710,C8686,C8662,C8638,C8614,C8590)/POBLA!$B$21*100000</f>
        <v>146.02346215860229</v>
      </c>
      <c r="H8902" s="252">
        <f t="shared" si="760"/>
        <v>1.0568972574703235</v>
      </c>
    </row>
    <row r="8903" spans="1:8" x14ac:dyDescent="0.25">
      <c r="A8903" s="105" t="s">
        <v>39</v>
      </c>
      <c r="B8903" s="102">
        <v>44263</v>
      </c>
      <c r="C8903" s="4">
        <v>44</v>
      </c>
      <c r="D8903" s="21">
        <f t="shared" si="759"/>
        <v>23083</v>
      </c>
      <c r="F8903" s="57">
        <f t="shared" si="761"/>
        <v>271</v>
      </c>
      <c r="G8903" s="238">
        <f>SUM(C8903,C8879,C8855,C8831,C8807,C8783,C8759,C8735,C8711,C8687,C8663,C8639,C8615,C8591)/POBLA!$B$22*100000</f>
        <v>88.519727326530472</v>
      </c>
      <c r="H8903" s="252">
        <f t="shared" si="760"/>
        <v>1.1944827586206896</v>
      </c>
    </row>
    <row r="8904" spans="1:8" x14ac:dyDescent="0.25">
      <c r="A8904" s="105" t="s">
        <v>40</v>
      </c>
      <c r="B8904" s="102">
        <v>44263</v>
      </c>
      <c r="C8904" s="4">
        <v>34</v>
      </c>
      <c r="D8904" s="21">
        <f t="shared" si="759"/>
        <v>23210</v>
      </c>
      <c r="E8904" s="4">
        <v>2</v>
      </c>
      <c r="F8904" s="57">
        <f t="shared" si="761"/>
        <v>358</v>
      </c>
      <c r="G8904" s="238">
        <f>SUM(C8904,C8880,C8856,C8832,C8808,C8784,C8760,C8736,C8712,C8688,C8664,C8640,C8616,C8592)/POBLA!$B$23*100000</f>
        <v>261.26788440875418</v>
      </c>
      <c r="H8904" s="252">
        <f t="shared" si="760"/>
        <v>0.80628272251308897</v>
      </c>
    </row>
    <row r="8905" spans="1:8" ht="15.75" thickBot="1" x14ac:dyDescent="0.3">
      <c r="A8905" s="106" t="s">
        <v>41</v>
      </c>
      <c r="B8905" s="102">
        <v>44263</v>
      </c>
      <c r="C8905" s="4">
        <v>130</v>
      </c>
      <c r="D8905" s="98">
        <f t="shared" si="759"/>
        <v>80955</v>
      </c>
      <c r="F8905" s="255">
        <f t="shared" si="761"/>
        <v>1483</v>
      </c>
      <c r="G8905" s="256">
        <f>SUM(C8905,C8881,C8857,C8833,C8809,C8785,C8761,C8737,C8713,C8689,C8665,C8641,C8617,C8593)/POBLA!$B$24*100000</f>
        <v>120.2603950300238</v>
      </c>
      <c r="H8905" s="257">
        <f t="shared" si="760"/>
        <v>1.3586666666666667</v>
      </c>
    </row>
    <row r="8906" spans="1:8" x14ac:dyDescent="0.25">
      <c r="A8906" s="45" t="s">
        <v>17</v>
      </c>
      <c r="B8906" s="102">
        <v>44264</v>
      </c>
      <c r="C8906" s="4">
        <v>3146</v>
      </c>
      <c r="D8906" s="97">
        <f t="shared" ref="D8906:D8937" si="762">C8906+D8882</f>
        <v>903099</v>
      </c>
      <c r="E8906" s="4">
        <v>62</v>
      </c>
      <c r="F8906" s="250">
        <f t="shared" si="761"/>
        <v>26907</v>
      </c>
      <c r="G8906" s="251">
        <f>SUM(C8906,C8882,C8858,C8834,C8810,C8786,C8762,C8738,C8714,C8690,C8666,C8642,C8618,C8594)/POBLA!$B$1*100000</f>
        <v>204.23414873639061</v>
      </c>
      <c r="H8906" s="230">
        <f t="shared" ref="H8906:H8937" si="763">SUM(C8906,C8882,C8858,C8834,C8810,C8786,C8762,C8738,C8714,C8690,C8666,C8642,C8618,C8594)/SUM(C8570,C8546,C8522,C8498,C8474,C8450,C8426,C8402,C8378,C8354,C8330,C8306,C8282,C8258)</f>
        <v>1.013867270411773</v>
      </c>
    </row>
    <row r="8907" spans="1:8" x14ac:dyDescent="0.25">
      <c r="A8907" s="105" t="s">
        <v>44</v>
      </c>
      <c r="B8907" s="102">
        <v>44264</v>
      </c>
      <c r="C8907" s="4">
        <v>877</v>
      </c>
      <c r="D8907" s="21">
        <f t="shared" si="762"/>
        <v>238016</v>
      </c>
      <c r="E8907" s="4">
        <v>20</v>
      </c>
      <c r="F8907" s="57">
        <f t="shared" si="761"/>
        <v>6632</v>
      </c>
      <c r="G8907" s="238">
        <f>SUM(C8907,C8883,C8859,C8835,C8811,C8787,C8763,C8739,C8715,C8691,C8667,C8643,C8619,C8595)/POBLA!$B$2*100000</f>
        <v>313.36506216905326</v>
      </c>
      <c r="H8907" s="252">
        <f t="shared" si="763"/>
        <v>1.0012466237274049</v>
      </c>
    </row>
    <row r="8908" spans="1:8" x14ac:dyDescent="0.25">
      <c r="A8908" s="105" t="s">
        <v>29</v>
      </c>
      <c r="B8908" s="102">
        <v>44264</v>
      </c>
      <c r="C8908" s="4">
        <v>92</v>
      </c>
      <c r="D8908" s="21">
        <f t="shared" si="762"/>
        <v>8619</v>
      </c>
      <c r="F8908" s="57">
        <f t="shared" si="761"/>
        <v>17</v>
      </c>
      <c r="G8908" s="238">
        <f>SUM(C8908,C8884,C8860,C8836,C8812,C8788,C8764,C8740,C8716,C8692,C8668,C8644,C8620,C8596)/POBLA!$B$3*100000</f>
        <v>284.27827979144905</v>
      </c>
      <c r="H8908" s="252">
        <f t="shared" si="763"/>
        <v>1.1454898157129001</v>
      </c>
    </row>
    <row r="8909" spans="1:8" x14ac:dyDescent="0.25">
      <c r="A8909" s="105" t="s">
        <v>16</v>
      </c>
      <c r="B8909" s="102">
        <v>44264</v>
      </c>
      <c r="C8909" s="4">
        <v>98</v>
      </c>
      <c r="D8909" s="21">
        <f t="shared" si="762"/>
        <v>35280</v>
      </c>
      <c r="E8909" s="4">
        <v>1</v>
      </c>
      <c r="F8909" s="57">
        <f t="shared" si="761"/>
        <v>878</v>
      </c>
      <c r="G8909" s="238">
        <f>SUM(C8909,C8885,C8861,C8837,C8813,C8789,C8765,C8741,C8717,C8693,C8669,C8645,C8621,C8597)/POBLA!$B$4*100000</f>
        <v>146.03072871741185</v>
      </c>
      <c r="H8909" s="252">
        <f t="shared" si="763"/>
        <v>1.0791411042944785</v>
      </c>
    </row>
    <row r="8910" spans="1:8" x14ac:dyDescent="0.25">
      <c r="A8910" s="105" t="s">
        <v>30</v>
      </c>
      <c r="B8910" s="102">
        <v>44264</v>
      </c>
      <c r="C8910" s="4">
        <v>99</v>
      </c>
      <c r="D8910" s="21">
        <f t="shared" si="762"/>
        <v>47712</v>
      </c>
      <c r="E8910" s="4">
        <v>1</v>
      </c>
      <c r="F8910" s="57">
        <f t="shared" si="761"/>
        <v>782</v>
      </c>
      <c r="G8910" s="238">
        <f>SUM(C8910,C8886,C8862,C8838,C8814,C8790,C8766,C8742,C8718,C8694,C8670,C8646,C8622,C8598)/POBLA!$B$5*100000</f>
        <v>210.98750553317154</v>
      </c>
      <c r="H8910" s="252">
        <f t="shared" si="763"/>
        <v>0.65137157107231924</v>
      </c>
    </row>
    <row r="8911" spans="1:8" x14ac:dyDescent="0.25">
      <c r="A8911" s="105" t="s">
        <v>31</v>
      </c>
      <c r="B8911" s="102">
        <v>44264</v>
      </c>
      <c r="C8911" s="4">
        <v>246</v>
      </c>
      <c r="D8911" s="21">
        <f t="shared" si="762"/>
        <v>23624</v>
      </c>
      <c r="E8911" s="4">
        <v>1</v>
      </c>
      <c r="F8911" s="57">
        <f t="shared" si="761"/>
        <v>302</v>
      </c>
      <c r="G8911" s="238">
        <f>SUM(C8911,C8887,C8863,C8839,C8815,C8791,C8767,C8743,C8719,C8695,C8671,C8647,C8623,C8599)/POBLA!$B$7*100000</f>
        <v>64.965629113536949</v>
      </c>
      <c r="H8911" s="252">
        <f t="shared" si="763"/>
        <v>1.1069324875396467</v>
      </c>
    </row>
    <row r="8912" spans="1:8" x14ac:dyDescent="0.25">
      <c r="A8912" s="105" t="s">
        <v>21</v>
      </c>
      <c r="B8912" s="102">
        <v>44264</v>
      </c>
      <c r="C8912" s="4">
        <v>699</v>
      </c>
      <c r="D8912" s="21">
        <f t="shared" si="762"/>
        <v>165031</v>
      </c>
      <c r="E8912" s="4">
        <v>7</v>
      </c>
      <c r="F8912" s="57">
        <f t="shared" si="761"/>
        <v>2890</v>
      </c>
      <c r="G8912" s="238">
        <f>SUM(C8912,C8888,C8864,C8840,C8816,C8792,C8768,C8744,C8720,C8696,C8672,C8648,C8624,C8600)/POBLA!$B$6*100000</f>
        <v>734.1178318006497</v>
      </c>
      <c r="H8912" s="252">
        <f t="shared" si="763"/>
        <v>1.0749934674679906</v>
      </c>
    </row>
    <row r="8913" spans="1:8" x14ac:dyDescent="0.25">
      <c r="A8913" s="105" t="s">
        <v>32</v>
      </c>
      <c r="B8913" s="102">
        <v>44264</v>
      </c>
      <c r="C8913" s="4">
        <v>159</v>
      </c>
      <c r="D8913" s="21">
        <f t="shared" si="762"/>
        <v>46237</v>
      </c>
      <c r="E8913" s="4">
        <v>2</v>
      </c>
      <c r="F8913" s="57">
        <f t="shared" ref="F8913:F8936" si="764">E8913+F8889</f>
        <v>889</v>
      </c>
      <c r="G8913" s="238">
        <f>SUM(C8913,C8889,C8865,C8841,C8817,C8793,C8769,C8745,C8721,C8697,C8673,C8649,C8625,C8601)/POBLA!$B$8*100000</f>
        <v>120.13325050271976</v>
      </c>
      <c r="H8913" s="252">
        <f t="shared" si="763"/>
        <v>0.9353932584269663</v>
      </c>
    </row>
    <row r="8914" spans="1:8" x14ac:dyDescent="0.25">
      <c r="A8914" s="105" t="s">
        <v>42</v>
      </c>
      <c r="B8914" s="102">
        <v>44264</v>
      </c>
      <c r="C8914" s="4">
        <v>28</v>
      </c>
      <c r="D8914" s="21">
        <f t="shared" si="762"/>
        <v>1420</v>
      </c>
      <c r="F8914" s="57">
        <f t="shared" si="764"/>
        <v>20</v>
      </c>
      <c r="G8914" s="238">
        <f>SUM(C8914,C8890,C8866,C8842,C8818,C8794,C8770,C8746,C8722,C8698,C8674,C8650,C8626,C8602)/POBLA!$B$9*100000</f>
        <v>41.639609182525248</v>
      </c>
      <c r="H8914" s="252">
        <f t="shared" si="763"/>
        <v>0.9</v>
      </c>
    </row>
    <row r="8915" spans="1:8" x14ac:dyDescent="0.25">
      <c r="A8915" s="105" t="s">
        <v>33</v>
      </c>
      <c r="B8915" s="102">
        <v>44264</v>
      </c>
      <c r="C8915" s="4">
        <v>68</v>
      </c>
      <c r="D8915" s="21">
        <f t="shared" si="762"/>
        <v>21364</v>
      </c>
      <c r="E8915" s="4">
        <v>2</v>
      </c>
      <c r="F8915" s="57">
        <f t="shared" si="764"/>
        <v>917</v>
      </c>
      <c r="G8915" s="238">
        <f>SUM(C8915,C8891,C8867,C8843,C8819,C8795,C8771,C8747,C8723,C8699,C8675,C8651,C8627,C8603)/POBLA!$B$10*100000</f>
        <v>140.35888807740753</v>
      </c>
      <c r="H8915" s="252">
        <f t="shared" si="763"/>
        <v>1.5681159420289854</v>
      </c>
    </row>
    <row r="8916" spans="1:8" x14ac:dyDescent="0.25">
      <c r="A8916" s="105" t="s">
        <v>34</v>
      </c>
      <c r="B8916" s="102">
        <v>44264</v>
      </c>
      <c r="C8916" s="4">
        <v>110</v>
      </c>
      <c r="D8916" s="21">
        <f t="shared" si="762"/>
        <v>19420</v>
      </c>
      <c r="E8916" s="4">
        <v>7</v>
      </c>
      <c r="F8916" s="57">
        <f t="shared" si="764"/>
        <v>298</v>
      </c>
      <c r="G8916" s="238">
        <f>SUM(C8916,C8892,C8868,C8844,C8820,C8796,C8772,C8748,C8724,C8700,C8676,C8652,C8628,C8604)/POBLA!$B$11*100000</f>
        <v>333.6792884484471</v>
      </c>
      <c r="H8916" s="252">
        <f t="shared" si="763"/>
        <v>1.2805139186295502</v>
      </c>
    </row>
    <row r="8917" spans="1:8" x14ac:dyDescent="0.25">
      <c r="A8917" s="105" t="s">
        <v>22</v>
      </c>
      <c r="B8917" s="102">
        <v>44264</v>
      </c>
      <c r="C8917" s="4">
        <v>14</v>
      </c>
      <c r="D8917" s="21">
        <f t="shared" si="762"/>
        <v>10394</v>
      </c>
      <c r="F8917" s="57">
        <f t="shared" si="764"/>
        <v>444</v>
      </c>
      <c r="G8917" s="238">
        <f>SUM(C8917,C8893,C8869,C8845,C8821,C8797,C8773,C8749,C8725,C8701,C8677,C8653,C8629,C8605)/POBLA!$B$12*100000</f>
        <v>82.331506285400636</v>
      </c>
      <c r="H8917" s="252">
        <f t="shared" si="763"/>
        <v>0.88524590163934425</v>
      </c>
    </row>
    <row r="8918" spans="1:8" x14ac:dyDescent="0.25">
      <c r="A8918" s="105" t="s">
        <v>18</v>
      </c>
      <c r="B8918" s="102">
        <v>44264</v>
      </c>
      <c r="C8918" s="4">
        <v>204</v>
      </c>
      <c r="D8918" s="21">
        <f t="shared" si="762"/>
        <v>68559</v>
      </c>
      <c r="E8918" s="4">
        <v>2</v>
      </c>
      <c r="F8918" s="57">
        <f t="shared" si="764"/>
        <v>1466</v>
      </c>
      <c r="G8918" s="238">
        <f>SUM(C8918,C8894,C8870,C8846,C8822,C8798,C8774,C8750,C8726,C8702,C8678,C8654,C8630,C8606)/POBLA!$B$13*100000</f>
        <v>101.33957146977048</v>
      </c>
      <c r="H8918" s="252">
        <f t="shared" si="763"/>
        <v>1.3428761651131824</v>
      </c>
    </row>
    <row r="8919" spans="1:8" x14ac:dyDescent="0.25">
      <c r="A8919" s="105" t="s">
        <v>24</v>
      </c>
      <c r="B8919" s="102">
        <v>44264</v>
      </c>
      <c r="C8919" s="4">
        <v>123</v>
      </c>
      <c r="D8919" s="21">
        <f t="shared" si="762"/>
        <v>9354</v>
      </c>
      <c r="E8919" s="4">
        <v>1</v>
      </c>
      <c r="F8919" s="57">
        <f t="shared" si="764"/>
        <v>156</v>
      </c>
      <c r="G8919" s="238">
        <f>SUM(C8919,C8895,C8871,C8847,C8823,C8799,C8775,C8751,C8727,C8703,C8679,C8655,C8631,C8607)/POBLA!$B$14*100000</f>
        <v>129.62877806443223</v>
      </c>
      <c r="H8919" s="252">
        <f t="shared" si="763"/>
        <v>1.0871010638297873</v>
      </c>
    </row>
    <row r="8920" spans="1:8" x14ac:dyDescent="0.25">
      <c r="A8920" s="105" t="s">
        <v>20</v>
      </c>
      <c r="B8920" s="102">
        <v>44264</v>
      </c>
      <c r="C8920" s="4">
        <v>156</v>
      </c>
      <c r="D8920" s="21">
        <f t="shared" si="762"/>
        <v>62579</v>
      </c>
      <c r="E8920" s="4">
        <v>9</v>
      </c>
      <c r="F8920" s="57">
        <f t="shared" si="764"/>
        <v>949</v>
      </c>
      <c r="G8920" s="238">
        <f>SUM(C8920,C8896,C8872,C8848,C8824,C8800,C8776,C8752,C8728,C8704,C8680,C8656,C8632,C8608)/POBLA!$B$15*100000</f>
        <v>331.29686156459462</v>
      </c>
      <c r="H8920" s="252">
        <f t="shared" si="763"/>
        <v>0.69996818326439703</v>
      </c>
    </row>
    <row r="8921" spans="1:8" x14ac:dyDescent="0.25">
      <c r="A8921" s="105" t="s">
        <v>19</v>
      </c>
      <c r="B8921" s="102">
        <v>44264</v>
      </c>
      <c r="C8921" s="4">
        <v>140</v>
      </c>
      <c r="D8921" s="21">
        <f t="shared" si="762"/>
        <v>53367</v>
      </c>
      <c r="E8921" s="4">
        <v>4</v>
      </c>
      <c r="F8921" s="57">
        <f t="shared" si="764"/>
        <v>1219</v>
      </c>
      <c r="G8921" s="238">
        <f>SUM(C8921,C8897,C8873,C8849,C8825,C8801,C8777,C8753,C8729,C8705,C8681,C8657,C8633,C8609)/POBLA!$B$16*100000</f>
        <v>217.22555878064767</v>
      </c>
      <c r="H8921" s="252">
        <f t="shared" si="763"/>
        <v>0.8341037493579867</v>
      </c>
    </row>
    <row r="8922" spans="1:8" x14ac:dyDescent="0.25">
      <c r="A8922" s="105" t="s">
        <v>35</v>
      </c>
      <c r="B8922" s="102">
        <v>44264</v>
      </c>
      <c r="C8922" s="4">
        <v>131</v>
      </c>
      <c r="D8922" s="21">
        <f t="shared" si="762"/>
        <v>27035</v>
      </c>
      <c r="E8922" s="4">
        <v>3</v>
      </c>
      <c r="F8922" s="57">
        <f t="shared" si="764"/>
        <v>1127</v>
      </c>
      <c r="G8922" s="238">
        <f>SUM(C8922,C8898,C8874,C8850,C8826,C8802,C8778,C8754,C8730,C8706,C8682,C8658,C8634,C8610)/POBLA!$B$17*100000</f>
        <v>102.35910353644385</v>
      </c>
      <c r="H8922" s="252">
        <f t="shared" si="763"/>
        <v>1.2525773195876289</v>
      </c>
    </row>
    <row r="8923" spans="1:8" x14ac:dyDescent="0.25">
      <c r="A8923" s="105" t="s">
        <v>36</v>
      </c>
      <c r="B8923" s="102">
        <v>44264</v>
      </c>
      <c r="C8923" s="4">
        <v>64</v>
      </c>
      <c r="D8923" s="21">
        <f t="shared" si="762"/>
        <v>15676</v>
      </c>
      <c r="F8923" s="57">
        <f t="shared" si="764"/>
        <v>215</v>
      </c>
      <c r="G8923" s="238">
        <f>SUM(C8923,C8899,C8875,C8851,C8827,C8803,C8779,C8755,C8731,C8707,C8683,C8659,C8635,C8611)/POBLA!$B$18*100000</f>
        <v>78.723325273259547</v>
      </c>
      <c r="H8923" s="252">
        <f t="shared" si="763"/>
        <v>0.9375</v>
      </c>
    </row>
    <row r="8924" spans="1:8" x14ac:dyDescent="0.25">
      <c r="A8924" s="105" t="s">
        <v>37</v>
      </c>
      <c r="B8924" s="102">
        <v>44264</v>
      </c>
      <c r="C8924" s="4">
        <v>6</v>
      </c>
      <c r="D8924" s="21">
        <f t="shared" si="762"/>
        <v>20811</v>
      </c>
      <c r="F8924" s="57">
        <f t="shared" si="764"/>
        <v>358</v>
      </c>
      <c r="G8924" s="238">
        <f>SUM(C8924,C8900,C8876,C8852,C8828,C8804,C8780,C8756,C8732,C8708,C8684,C8660,C8636,C8612)/POBLA!$B$19*100000</f>
        <v>50.754630868258282</v>
      </c>
      <c r="H8924" s="252">
        <f t="shared" si="763"/>
        <v>0.1799163179916318</v>
      </c>
    </row>
    <row r="8925" spans="1:8" x14ac:dyDescent="0.25">
      <c r="A8925" s="105" t="s">
        <v>38</v>
      </c>
      <c r="B8925" s="102">
        <v>44264</v>
      </c>
      <c r="C8925" s="4">
        <v>68</v>
      </c>
      <c r="D8925" s="21">
        <f t="shared" si="762"/>
        <v>36825</v>
      </c>
      <c r="E8925" s="4">
        <v>3</v>
      </c>
      <c r="F8925" s="57">
        <f t="shared" si="764"/>
        <v>601</v>
      </c>
      <c r="G8925" s="238">
        <f>SUM(C8925,C8901,C8877,C8853,C8829,C8805,C8781,C8757,C8733,C8709,C8685,C8661,C8637,C8613)/POBLA!$B$20*100000</f>
        <v>381.46229949302432</v>
      </c>
      <c r="H8925" s="252">
        <f t="shared" si="763"/>
        <v>1.0108695652173914</v>
      </c>
    </row>
    <row r="8926" spans="1:8" x14ac:dyDescent="0.25">
      <c r="A8926" s="105" t="s">
        <v>23</v>
      </c>
      <c r="B8926" s="102">
        <v>44264</v>
      </c>
      <c r="C8926" s="4">
        <v>514</v>
      </c>
      <c r="D8926" s="21">
        <f t="shared" si="762"/>
        <v>220066</v>
      </c>
      <c r="E8926" s="4">
        <v>4</v>
      </c>
      <c r="F8926" s="57">
        <f t="shared" si="764"/>
        <v>4078</v>
      </c>
      <c r="G8926" s="238">
        <f>SUM(C8926,C8902,C8878,C8854,C8830,C8806,C8782,C8758,C8734,C8710,C8686,C8662,C8638,C8614)/POBLA!$B$21*100000</f>
        <v>149.41672619017322</v>
      </c>
      <c r="H8926" s="252">
        <f t="shared" si="763"/>
        <v>1.1006040408248281</v>
      </c>
    </row>
    <row r="8927" spans="1:8" x14ac:dyDescent="0.25">
      <c r="A8927" s="105" t="s">
        <v>39</v>
      </c>
      <c r="B8927" s="102">
        <v>44264</v>
      </c>
      <c r="C8927" s="4">
        <v>42</v>
      </c>
      <c r="D8927" s="21">
        <f t="shared" si="762"/>
        <v>23125</v>
      </c>
      <c r="E8927" s="4">
        <v>1</v>
      </c>
      <c r="F8927" s="57">
        <f t="shared" si="764"/>
        <v>272</v>
      </c>
      <c r="G8927" s="238">
        <f>SUM(C8927,C8903,C8879,C8855,C8831,C8807,C8783,C8759,C8735,C8711,C8687,C8663,C8639,C8615)/POBLA!$B$22*100000</f>
        <v>86.884258923268931</v>
      </c>
      <c r="H8927" s="252">
        <f t="shared" si="763"/>
        <v>1.159618008185539</v>
      </c>
    </row>
    <row r="8928" spans="1:8" x14ac:dyDescent="0.25">
      <c r="A8928" s="105" t="s">
        <v>40</v>
      </c>
      <c r="B8928" s="102">
        <v>44264</v>
      </c>
      <c r="C8928" s="4">
        <v>31</v>
      </c>
      <c r="D8928" s="21">
        <f t="shared" si="762"/>
        <v>23241</v>
      </c>
      <c r="F8928" s="57">
        <f t="shared" si="764"/>
        <v>358</v>
      </c>
      <c r="G8928" s="238">
        <f>SUM(C8928,C8904,C8880,C8856,C8832,C8808,C8784,C8760,C8736,C8712,C8688,C8664,C8640,C8616)/POBLA!$B$23*100000</f>
        <v>252.21964598767178</v>
      </c>
      <c r="H8928" s="252">
        <f t="shared" si="763"/>
        <v>0.75979557069846682</v>
      </c>
    </row>
    <row r="8929" spans="1:8" ht="15.75" thickBot="1" x14ac:dyDescent="0.3">
      <c r="A8929" s="106" t="s">
        <v>41</v>
      </c>
      <c r="B8929" s="102">
        <v>44264</v>
      </c>
      <c r="C8929" s="4">
        <v>192</v>
      </c>
      <c r="D8929" s="98">
        <f t="shared" si="762"/>
        <v>81147</v>
      </c>
      <c r="E8929" s="4">
        <v>1</v>
      </c>
      <c r="F8929" s="255">
        <f t="shared" si="764"/>
        <v>1484</v>
      </c>
      <c r="G8929" s="256">
        <f>SUM(C8929,C8905,C8881,C8857,C8833,C8809,C8785,C8761,C8737,C8713,C8689,C8665,C8641,C8617)/POBLA!$B$24*100000</f>
        <v>123.44688243513728</v>
      </c>
      <c r="H8929" s="257">
        <f t="shared" si="763"/>
        <v>1.354922279792746</v>
      </c>
    </row>
    <row r="8930" spans="1:8" x14ac:dyDescent="0.25">
      <c r="A8930" s="45" t="s">
        <v>17</v>
      </c>
      <c r="B8930" s="102">
        <v>44265</v>
      </c>
      <c r="C8930" s="4">
        <v>3263</v>
      </c>
      <c r="D8930" s="97">
        <f t="shared" si="762"/>
        <v>906362</v>
      </c>
      <c r="E8930" s="4">
        <v>29</v>
      </c>
      <c r="F8930" s="250">
        <f t="shared" si="764"/>
        <v>26936</v>
      </c>
      <c r="G8930" s="251">
        <f>SUM(C8930,C8906,C8882,C8858,C8834,C8810,C8786,C8762,C8738,C8714,C8690,C8666,C8642,C8618)/POBLA!$B$1*100000</f>
        <v>202.88303936442904</v>
      </c>
      <c r="H8930" s="230">
        <f t="shared" si="763"/>
        <v>1.0005060444194547</v>
      </c>
    </row>
    <row r="8931" spans="1:8" x14ac:dyDescent="0.25">
      <c r="A8931" s="105" t="s">
        <v>44</v>
      </c>
      <c r="B8931" s="102">
        <v>44265</v>
      </c>
      <c r="C8931" s="4">
        <v>934</v>
      </c>
      <c r="D8931" s="21">
        <f t="shared" si="762"/>
        <v>238950</v>
      </c>
      <c r="E8931" s="4">
        <v>21</v>
      </c>
      <c r="F8931" s="57">
        <f t="shared" si="764"/>
        <v>6653</v>
      </c>
      <c r="G8931" s="238">
        <f>SUM(C8931,C8907,C8883,C8859,C8835,C8811,C8787,C8763,C8739,C8715,C8691,C8667,C8643,C8619)/POBLA!$B$2*100000</f>
        <v>311.12163103296024</v>
      </c>
      <c r="H8931" s="252">
        <f t="shared" si="763"/>
        <v>0.98507309038501134</v>
      </c>
    </row>
    <row r="8932" spans="1:8" x14ac:dyDescent="0.25">
      <c r="A8932" s="105" t="s">
        <v>29</v>
      </c>
      <c r="B8932" s="102">
        <v>44265</v>
      </c>
      <c r="C8932" s="4">
        <v>71</v>
      </c>
      <c r="D8932" s="21">
        <f t="shared" si="762"/>
        <v>8690</v>
      </c>
      <c r="F8932" s="57">
        <f t="shared" si="764"/>
        <v>17</v>
      </c>
      <c r="G8932" s="238">
        <f>SUM(C8932,C8908,C8884,C8860,C8836,C8812,C8788,C8764,C8740,C8716,C8692,C8668,C8644,C8620)/POBLA!$B$3*100000</f>
        <v>283.55615037622943</v>
      </c>
      <c r="H8932" s="252">
        <f t="shared" si="763"/>
        <v>1.1208372978116079</v>
      </c>
    </row>
    <row r="8933" spans="1:8" x14ac:dyDescent="0.25">
      <c r="A8933" s="105" t="s">
        <v>16</v>
      </c>
      <c r="B8933" s="102">
        <v>44265</v>
      </c>
      <c r="C8933" s="4">
        <v>139</v>
      </c>
      <c r="D8933" s="21">
        <f t="shared" si="762"/>
        <v>35419</v>
      </c>
      <c r="E8933" s="4">
        <v>1</v>
      </c>
      <c r="F8933" s="57">
        <f t="shared" si="764"/>
        <v>879</v>
      </c>
      <c r="G8933" s="238">
        <f>SUM(C8933,C8909,C8885,C8861,C8837,C8813,C8789,C8765,C8741,C8717,C8693,C8669,C8645,C8621)/POBLA!$B$4*100000</f>
        <v>144.61940274345164</v>
      </c>
      <c r="H8933" s="252">
        <f t="shared" si="763"/>
        <v>1.0602556299452222</v>
      </c>
    </row>
    <row r="8934" spans="1:8" x14ac:dyDescent="0.25">
      <c r="A8934" s="105" t="s">
        <v>30</v>
      </c>
      <c r="B8934" s="102">
        <v>44265</v>
      </c>
      <c r="C8934" s="4">
        <v>95</v>
      </c>
      <c r="D8934" s="21">
        <f t="shared" si="762"/>
        <v>47807</v>
      </c>
      <c r="E8934" s="4">
        <v>1</v>
      </c>
      <c r="F8934" s="57">
        <f t="shared" si="764"/>
        <v>783</v>
      </c>
      <c r="G8934" s="238">
        <f>SUM(C8934,C8910,C8886,C8862,C8838,C8814,C8790,C8766,C8742,C8718,C8694,C8670,C8646,C8622)/POBLA!$B$5*100000</f>
        <v>196.28623217672543</v>
      </c>
      <c r="H8934" s="252">
        <f t="shared" si="763"/>
        <v>0.59940799210656137</v>
      </c>
    </row>
    <row r="8935" spans="1:8" x14ac:dyDescent="0.25">
      <c r="A8935" s="105" t="s">
        <v>31</v>
      </c>
      <c r="B8935" s="102">
        <v>44265</v>
      </c>
      <c r="C8935" s="4">
        <v>334</v>
      </c>
      <c r="D8935" s="21">
        <f t="shared" si="762"/>
        <v>23958</v>
      </c>
      <c r="E8935" s="4">
        <v>4</v>
      </c>
      <c r="F8935" s="57">
        <f t="shared" si="764"/>
        <v>306</v>
      </c>
      <c r="G8935" s="238">
        <f>SUM(C8935,C8911,C8887,C8863,C8839,C8815,C8791,C8767,C8743,C8719,C8695,C8671,C8647,C8623)/POBLA!$B$7*100000</f>
        <v>70.470289460038032</v>
      </c>
      <c r="H8935" s="252">
        <f t="shared" si="763"/>
        <v>1.1910112359550562</v>
      </c>
    </row>
    <row r="8936" spans="1:8" x14ac:dyDescent="0.25">
      <c r="A8936" s="105" t="s">
        <v>21</v>
      </c>
      <c r="B8936" s="102">
        <v>44265</v>
      </c>
      <c r="C8936" s="4">
        <v>649</v>
      </c>
      <c r="D8936" s="21">
        <f t="shared" si="762"/>
        <v>165680</v>
      </c>
      <c r="E8936" s="4">
        <v>7</v>
      </c>
      <c r="F8936" s="57">
        <f t="shared" si="764"/>
        <v>2897</v>
      </c>
      <c r="G8936" s="238">
        <f>SUM(C8936,C8912,C8888,C8864,C8840,C8816,C8792,C8768,C8744,C8720,C8696,C8672,C8648,C8624)/POBLA!$B$6*100000</f>
        <v>728.13996418632746</v>
      </c>
      <c r="H8936" s="252">
        <f t="shared" si="763"/>
        <v>1.0722638286690316</v>
      </c>
    </row>
    <row r="8937" spans="1:8" x14ac:dyDescent="0.25">
      <c r="A8937" s="105" t="s">
        <v>32</v>
      </c>
      <c r="B8937" s="102">
        <v>44265</v>
      </c>
      <c r="C8937" s="4">
        <v>173</v>
      </c>
      <c r="D8937" s="21">
        <f t="shared" si="762"/>
        <v>46410</v>
      </c>
      <c r="E8937" s="4">
        <v>4</v>
      </c>
      <c r="F8937" s="57">
        <f t="shared" ref="F8937:F8960" si="765">E8937+F8913</f>
        <v>893</v>
      </c>
      <c r="G8937" s="238">
        <f>SUM(C8937,C8913,C8889,C8865,C8841,C8817,C8793,C8769,C8745,C8721,C8697,C8673,C8649,C8625)/POBLA!$B$8*100000</f>
        <v>119.70033788829555</v>
      </c>
      <c r="H8937" s="252">
        <f t="shared" si="763"/>
        <v>0.94047619047619047</v>
      </c>
    </row>
    <row r="8938" spans="1:8" x14ac:dyDescent="0.25">
      <c r="A8938" s="105" t="s">
        <v>42</v>
      </c>
      <c r="B8938" s="102">
        <v>44265</v>
      </c>
      <c r="C8938" s="4">
        <v>8</v>
      </c>
      <c r="D8938" s="21">
        <f t="shared" ref="D8938:D8969" si="766">C8938+D8914</f>
        <v>1428</v>
      </c>
      <c r="F8938" s="57">
        <f t="shared" si="765"/>
        <v>20</v>
      </c>
      <c r="G8938" s="238">
        <f>SUM(C8938,C8914,C8890,C8866,C8842,C8818,C8794,C8770,C8746,C8722,C8698,C8674,C8650,C8626)/POBLA!$B$9*100000</f>
        <v>41.804845726900346</v>
      </c>
      <c r="H8938" s="252">
        <f t="shared" ref="H8938:H8969" si="767">SUM(C8938,C8914,C8890,C8866,C8842,C8818,C8794,C8770,C8746,C8722,C8698,C8674,C8650,C8626)/SUM(C8602,C8578,C8554,C8530,C8506,C8482,C8458,C8434,C8410,C8386,C8362,C8338,C8314,C8290)</f>
        <v>0.8971631205673759</v>
      </c>
    </row>
    <row r="8939" spans="1:8" x14ac:dyDescent="0.25">
      <c r="A8939" s="105" t="s">
        <v>33</v>
      </c>
      <c r="B8939" s="102">
        <v>44265</v>
      </c>
      <c r="C8939" s="4">
        <v>81</v>
      </c>
      <c r="D8939" s="21">
        <f t="shared" si="766"/>
        <v>21445</v>
      </c>
      <c r="E8939" s="4">
        <v>1</v>
      </c>
      <c r="F8939" s="57">
        <f t="shared" si="765"/>
        <v>918</v>
      </c>
      <c r="G8939" s="238">
        <f>SUM(C8939,C8915,C8891,C8867,C8843,C8819,C8795,C8771,C8747,C8723,C8699,C8675,C8651,C8627)/POBLA!$B$10*100000</f>
        <v>137.50501050097225</v>
      </c>
      <c r="H8939" s="252">
        <f t="shared" si="767"/>
        <v>1.4095744680851063</v>
      </c>
    </row>
    <row r="8940" spans="1:8" x14ac:dyDescent="0.25">
      <c r="A8940" s="105" t="s">
        <v>34</v>
      </c>
      <c r="B8940" s="102">
        <v>44265</v>
      </c>
      <c r="C8940" s="4">
        <v>87</v>
      </c>
      <c r="D8940" s="21">
        <f t="shared" si="766"/>
        <v>19507</v>
      </c>
      <c r="F8940" s="57">
        <f t="shared" si="765"/>
        <v>298</v>
      </c>
      <c r="G8940" s="238">
        <f>SUM(C8940,C8916,C8892,C8868,C8844,C8820,C8796,C8772,C8748,C8724,C8700,C8676,C8652,C8628)/POBLA!$B$11*100000</f>
        <v>332.56330420614461</v>
      </c>
      <c r="H8940" s="252">
        <f t="shared" si="767"/>
        <v>1.2390852390852392</v>
      </c>
    </row>
    <row r="8941" spans="1:8" x14ac:dyDescent="0.25">
      <c r="A8941" s="105" t="s">
        <v>22</v>
      </c>
      <c r="B8941" s="102">
        <v>44265</v>
      </c>
      <c r="C8941" s="4">
        <v>27</v>
      </c>
      <c r="D8941" s="21">
        <f t="shared" si="766"/>
        <v>10421</v>
      </c>
      <c r="F8941" s="57">
        <f t="shared" si="765"/>
        <v>444</v>
      </c>
      <c r="G8941" s="238">
        <f>SUM(C8941,C8917,C8893,C8869,C8845,C8821,C8797,C8773,C8749,C8725,C8701,C8677,C8653,C8629)/POBLA!$B$12*100000</f>
        <v>75.216437840983303</v>
      </c>
      <c r="H8941" s="252">
        <f t="shared" si="767"/>
        <v>0.7531806615776081</v>
      </c>
    </row>
    <row r="8942" spans="1:8" x14ac:dyDescent="0.25">
      <c r="A8942" s="105" t="s">
        <v>18</v>
      </c>
      <c r="B8942" s="102">
        <v>44265</v>
      </c>
      <c r="C8942" s="4">
        <v>248</v>
      </c>
      <c r="D8942" s="21">
        <f t="shared" si="766"/>
        <v>68807</v>
      </c>
      <c r="E8942" s="4">
        <v>3</v>
      </c>
      <c r="F8942" s="57">
        <f t="shared" si="765"/>
        <v>1469</v>
      </c>
      <c r="G8942" s="238">
        <f>SUM(C8942,C8918,C8894,C8870,C8846,C8822,C8798,C8774,C8750,C8726,C8702,C8678,C8654,C8630)/POBLA!$B$13*100000</f>
        <v>105.50971744497667</v>
      </c>
      <c r="H8942" s="252">
        <f t="shared" si="767"/>
        <v>1.4189189189189189</v>
      </c>
    </row>
    <row r="8943" spans="1:8" x14ac:dyDescent="0.25">
      <c r="A8943" s="105" t="s">
        <v>24</v>
      </c>
      <c r="B8943" s="102">
        <v>44265</v>
      </c>
      <c r="C8943" s="4">
        <v>113</v>
      </c>
      <c r="D8943" s="21">
        <f t="shared" si="766"/>
        <v>9467</v>
      </c>
      <c r="E8943" s="4">
        <v>5</v>
      </c>
      <c r="F8943" s="57">
        <f t="shared" si="765"/>
        <v>161</v>
      </c>
      <c r="G8943" s="238">
        <f>SUM(C8943,C8919,C8895,C8871,C8847,C8823,C8799,C8775,C8751,C8727,C8703,C8679,C8655,C8631)/POBLA!$B$14*100000</f>
        <v>129.54949440812371</v>
      </c>
      <c r="H8943" s="252">
        <f t="shared" si="767"/>
        <v>1.061038961038961</v>
      </c>
    </row>
    <row r="8944" spans="1:8" x14ac:dyDescent="0.25">
      <c r="A8944" s="105" t="s">
        <v>20</v>
      </c>
      <c r="B8944" s="102">
        <v>44265</v>
      </c>
      <c r="C8944" s="4">
        <v>157</v>
      </c>
      <c r="D8944" s="21">
        <f t="shared" si="766"/>
        <v>62736</v>
      </c>
      <c r="E8944" s="4">
        <v>1</v>
      </c>
      <c r="F8944" s="57">
        <f t="shared" si="765"/>
        <v>950</v>
      </c>
      <c r="G8944" s="238">
        <f>SUM(C8944,C8920,C8896,C8872,C8848,C8824,C8800,C8776,C8752,C8728,C8704,C8680,C8656,C8632)/POBLA!$B$15*100000</f>
        <v>315.635555381541</v>
      </c>
      <c r="H8944" s="252">
        <f t="shared" si="767"/>
        <v>0.69449966865473822</v>
      </c>
    </row>
    <row r="8945" spans="1:8" x14ac:dyDescent="0.25">
      <c r="A8945" s="105" t="s">
        <v>19</v>
      </c>
      <c r="B8945" s="102">
        <v>44265</v>
      </c>
      <c r="C8945" s="4">
        <v>146</v>
      </c>
      <c r="D8945" s="21">
        <f t="shared" si="766"/>
        <v>53513</v>
      </c>
      <c r="E8945" s="4">
        <v>8</v>
      </c>
      <c r="F8945" s="57">
        <f t="shared" si="765"/>
        <v>1227</v>
      </c>
      <c r="G8945" s="238">
        <f>SUM(C8945,C8921,C8897,C8873,C8849,C8825,C8801,C8777,C8753,C8729,C8705,C8681,C8657,C8633)/POBLA!$B$16*100000</f>
        <v>214.55036717004856</v>
      </c>
      <c r="H8945" s="252">
        <f t="shared" si="767"/>
        <v>0.84778012684989434</v>
      </c>
    </row>
    <row r="8946" spans="1:8" x14ac:dyDescent="0.25">
      <c r="A8946" s="105" t="s">
        <v>35</v>
      </c>
      <c r="B8946" s="102">
        <v>44265</v>
      </c>
      <c r="C8946" s="4">
        <v>176</v>
      </c>
      <c r="D8946" s="21">
        <f t="shared" si="766"/>
        <v>27211</v>
      </c>
      <c r="E8946" s="4">
        <v>1</v>
      </c>
      <c r="F8946" s="57">
        <f t="shared" si="765"/>
        <v>1128</v>
      </c>
      <c r="G8946" s="238">
        <f>SUM(C8946,C8922,C8898,C8874,C8850,C8826,C8802,C8778,C8754,C8730,C8706,C8682,C8658,C8634)/POBLA!$B$17*100000</f>
        <v>103.27177044040391</v>
      </c>
      <c r="H8946" s="252">
        <f t="shared" si="767"/>
        <v>1.1988590057049715</v>
      </c>
    </row>
    <row r="8947" spans="1:8" x14ac:dyDescent="0.25">
      <c r="A8947" s="105" t="s">
        <v>36</v>
      </c>
      <c r="B8947" s="102">
        <v>44265</v>
      </c>
      <c r="C8947" s="4">
        <v>72</v>
      </c>
      <c r="D8947" s="21">
        <f t="shared" si="766"/>
        <v>15748</v>
      </c>
      <c r="E8947" s="4">
        <v>1</v>
      </c>
      <c r="F8947" s="57">
        <f t="shared" si="765"/>
        <v>216</v>
      </c>
      <c r="G8947" s="238">
        <f>SUM(C8947,C8923,C8899,C8875,C8851,C8827,C8803,C8779,C8755,C8731,C8707,C8683,C8659,C8635)/POBLA!$B$18*100000</f>
        <v>77.699282017672431</v>
      </c>
      <c r="H8947" s="252">
        <f t="shared" si="767"/>
        <v>0.88742690058479534</v>
      </c>
    </row>
    <row r="8948" spans="1:8" x14ac:dyDescent="0.25">
      <c r="A8948" s="105" t="s">
        <v>37</v>
      </c>
      <c r="B8948" s="102">
        <v>44265</v>
      </c>
      <c r="C8948" s="4">
        <v>2</v>
      </c>
      <c r="D8948" s="21">
        <f t="shared" si="766"/>
        <v>20813</v>
      </c>
      <c r="E8948" s="4">
        <v>1</v>
      </c>
      <c r="F8948" s="57">
        <f t="shared" si="765"/>
        <v>359</v>
      </c>
      <c r="G8948" s="238">
        <f>SUM(C8948,C8924,C8900,C8876,C8852,C8828,C8804,C8780,C8756,C8732,C8708,C8684,C8660,C8636)/POBLA!$B$19*100000</f>
        <v>44.852929604507324</v>
      </c>
      <c r="H8948" s="252">
        <f t="shared" si="767"/>
        <v>0.15605749486652978</v>
      </c>
    </row>
    <row r="8949" spans="1:8" x14ac:dyDescent="0.25">
      <c r="A8949" s="105" t="s">
        <v>38</v>
      </c>
      <c r="B8949" s="102">
        <v>44265</v>
      </c>
      <c r="C8949" s="4">
        <v>138</v>
      </c>
      <c r="D8949" s="21">
        <f t="shared" si="766"/>
        <v>36963</v>
      </c>
      <c r="E8949" s="4">
        <v>3</v>
      </c>
      <c r="F8949" s="57">
        <f t="shared" si="765"/>
        <v>604</v>
      </c>
      <c r="G8949" s="238">
        <f>SUM(C8949,C8925,C8901,C8877,C8853,C8829,C8805,C8781,C8757,C8733,C8709,C8685,C8661,C8637)/POBLA!$B$20*100000</f>
        <v>364.2349698385006</v>
      </c>
      <c r="H8949" s="252">
        <f t="shared" si="767"/>
        <v>0.91609353507565339</v>
      </c>
    </row>
    <row r="8950" spans="1:8" x14ac:dyDescent="0.25">
      <c r="A8950" s="105" t="s">
        <v>23</v>
      </c>
      <c r="B8950" s="102">
        <v>44265</v>
      </c>
      <c r="C8950" s="4">
        <v>509</v>
      </c>
      <c r="D8950" s="21">
        <f t="shared" si="766"/>
        <v>220575</v>
      </c>
      <c r="E8950" s="4">
        <v>12</v>
      </c>
      <c r="F8950" s="57">
        <f t="shared" si="765"/>
        <v>4090</v>
      </c>
      <c r="G8950" s="238">
        <f>SUM(C8950,C8926,C8902,C8878,C8854,C8830,C8806,C8782,C8758,C8734,C8710,C8686,C8662,C8638)/POBLA!$B$21*100000</f>
        <v>150.18021059727667</v>
      </c>
      <c r="H8950" s="252">
        <f t="shared" si="767"/>
        <v>1.1181052631578947</v>
      </c>
    </row>
    <row r="8951" spans="1:8" x14ac:dyDescent="0.25">
      <c r="A8951" s="105" t="s">
        <v>39</v>
      </c>
      <c r="B8951" s="102">
        <v>44265</v>
      </c>
      <c r="C8951" s="4">
        <v>51</v>
      </c>
      <c r="D8951" s="21">
        <f t="shared" si="766"/>
        <v>23176</v>
      </c>
      <c r="F8951" s="57">
        <f t="shared" si="765"/>
        <v>272</v>
      </c>
      <c r="G8951" s="238">
        <f>SUM(C8951,C8927,C8903,C8879,C8855,C8831,C8807,C8783,C8759,C8735,C8711,C8687,C8663,C8639)/POBLA!$B$22*100000</f>
        <v>85.453224070415089</v>
      </c>
      <c r="H8951" s="252">
        <f t="shared" si="767"/>
        <v>1.1824611032531824</v>
      </c>
    </row>
    <row r="8952" spans="1:8" x14ac:dyDescent="0.25">
      <c r="A8952" s="105" t="s">
        <v>40</v>
      </c>
      <c r="B8952" s="102">
        <v>44265</v>
      </c>
      <c r="C8952" s="4">
        <v>15</v>
      </c>
      <c r="D8952" s="21">
        <f t="shared" si="766"/>
        <v>23256</v>
      </c>
      <c r="F8952" s="57">
        <f t="shared" si="765"/>
        <v>358</v>
      </c>
      <c r="G8952" s="238">
        <f>SUM(C8952,C8928,C8904,C8880,C8856,C8832,C8808,C8784,C8760,C8736,C8712,C8688,C8664,C8640)/POBLA!$B$23*100000</f>
        <v>239.21280325736586</v>
      </c>
      <c r="H8952" s="252">
        <f t="shared" si="767"/>
        <v>0.82135922330097089</v>
      </c>
    </row>
    <row r="8953" spans="1:8" ht="15.75" thickBot="1" x14ac:dyDescent="0.3">
      <c r="A8953" s="106" t="s">
        <v>41</v>
      </c>
      <c r="B8953" s="102">
        <v>44265</v>
      </c>
      <c r="C8953" s="4">
        <v>205</v>
      </c>
      <c r="D8953" s="98">
        <f t="shared" si="766"/>
        <v>81352</v>
      </c>
      <c r="E8953" s="4">
        <v>4</v>
      </c>
      <c r="F8953" s="255">
        <f t="shared" si="765"/>
        <v>1488</v>
      </c>
      <c r="G8953" s="256">
        <f>SUM(C8953,C8929,C8905,C8881,C8857,C8833,C8809,C8785,C8761,C8737,C8713,C8689,C8665,C8641)/POBLA!$B$24*100000</f>
        <v>122.62075607084859</v>
      </c>
      <c r="H8953" s="257">
        <f t="shared" si="767"/>
        <v>1.2555891238670696</v>
      </c>
    </row>
    <row r="8954" spans="1:8" x14ac:dyDescent="0.25">
      <c r="A8954" s="45" t="s">
        <v>17</v>
      </c>
      <c r="B8954" s="102">
        <v>44266</v>
      </c>
      <c r="C8954" s="4">
        <v>3450</v>
      </c>
      <c r="D8954" s="97">
        <f t="shared" si="766"/>
        <v>909812</v>
      </c>
      <c r="E8954" s="4">
        <v>54</v>
      </c>
      <c r="F8954" s="250">
        <f t="shared" si="765"/>
        <v>26990</v>
      </c>
      <c r="G8954" s="251">
        <f>SUM(C8954,C8930,C8906,C8882,C8858,C8834,C8810,C8786,C8762,C8738,C8714,C8690,C8666,C8642)/POBLA!$B$1*100000</f>
        <v>204.00041251592469</v>
      </c>
      <c r="H8954" s="294">
        <f t="shared" si="767"/>
        <v>1.0030834781633682</v>
      </c>
    </row>
    <row r="8955" spans="1:8" x14ac:dyDescent="0.25">
      <c r="A8955" s="105" t="s">
        <v>44</v>
      </c>
      <c r="B8955" s="102">
        <v>44266</v>
      </c>
      <c r="C8955" s="4">
        <v>825</v>
      </c>
      <c r="D8955" s="21">
        <f t="shared" si="766"/>
        <v>239775</v>
      </c>
      <c r="E8955" s="4">
        <v>8</v>
      </c>
      <c r="F8955" s="57">
        <f t="shared" si="765"/>
        <v>6661</v>
      </c>
      <c r="G8955" s="238">
        <f>SUM(C8955,C8931,C8907,C8883,C8859,C8835,C8811,C8787,C8763,C8739,C8715,C8691,C8667,C8643)/POBLA!$B$2*100000</f>
        <v>309.20333484412708</v>
      </c>
      <c r="H8955" s="295">
        <f t="shared" si="767"/>
        <v>0.96724979658258747</v>
      </c>
    </row>
    <row r="8956" spans="1:8" x14ac:dyDescent="0.25">
      <c r="A8956" s="105" t="s">
        <v>29</v>
      </c>
      <c r="B8956" s="102">
        <v>44266</v>
      </c>
      <c r="C8956" s="4">
        <v>80</v>
      </c>
      <c r="D8956" s="21">
        <f t="shared" si="766"/>
        <v>8770</v>
      </c>
      <c r="F8956" s="57">
        <f t="shared" si="765"/>
        <v>17</v>
      </c>
      <c r="G8956" s="238">
        <f>SUM(C8956,C8932,C8908,C8884,C8860,C8836,C8812,C8788,C8764,C8740,C8716,C8692,C8668,C8644)/POBLA!$B$3*100000</f>
        <v>272.24278953778901</v>
      </c>
      <c r="H8956" s="295">
        <f t="shared" si="767"/>
        <v>1.049165120593692</v>
      </c>
    </row>
    <row r="8957" spans="1:8" x14ac:dyDescent="0.25">
      <c r="A8957" s="105" t="s">
        <v>16</v>
      </c>
      <c r="B8957" s="102">
        <v>44266</v>
      </c>
      <c r="C8957" s="4">
        <v>140</v>
      </c>
      <c r="D8957" s="21">
        <f t="shared" si="766"/>
        <v>35559</v>
      </c>
      <c r="E8957" s="4">
        <v>7</v>
      </c>
      <c r="F8957" s="57">
        <f t="shared" si="765"/>
        <v>886</v>
      </c>
      <c r="G8957" s="238">
        <f>SUM(C8957,C8933,C8909,C8885,C8861,C8837,C8813,C8789,C8765,C8741,C8717,C8693,C8669,C8645)/POBLA!$B$4*100000</f>
        <v>141.79675079553124</v>
      </c>
      <c r="H8957" s="295">
        <f t="shared" si="767"/>
        <v>1.0172721858248959</v>
      </c>
    </row>
    <row r="8958" spans="1:8" x14ac:dyDescent="0.25">
      <c r="A8958" s="105" t="s">
        <v>30</v>
      </c>
      <c r="B8958" s="102">
        <v>44266</v>
      </c>
      <c r="C8958" s="4">
        <v>105</v>
      </c>
      <c r="D8958" s="21">
        <f t="shared" si="766"/>
        <v>47912</v>
      </c>
      <c r="E8958" s="4">
        <v>24</v>
      </c>
      <c r="F8958" s="57">
        <f t="shared" si="765"/>
        <v>807</v>
      </c>
      <c r="G8958" s="238">
        <f>SUM(C8958,C8934,C8910,C8886,C8862,C8838,C8814,C8790,C8766,C8742,C8718,C8694,C8670,C8646)/POBLA!$B$5*100000</f>
        <v>190.30879136146714</v>
      </c>
      <c r="H8958" s="295">
        <f t="shared" si="767"/>
        <v>0.61067910834629346</v>
      </c>
    </row>
    <row r="8959" spans="1:8" x14ac:dyDescent="0.25">
      <c r="A8959" s="105" t="s">
        <v>31</v>
      </c>
      <c r="B8959" s="102">
        <v>44266</v>
      </c>
      <c r="C8959" s="4">
        <v>71</v>
      </c>
      <c r="D8959" s="21">
        <f t="shared" si="766"/>
        <v>24029</v>
      </c>
      <c r="F8959" s="57">
        <f t="shared" si="765"/>
        <v>306</v>
      </c>
      <c r="G8959" s="238">
        <f>SUM(C8959,C8935,C8911,C8887,C8863,C8839,C8815,C8791,C8767,C8743,C8719,C8695,C8671,C8647)/POBLA!$B$6*100000</f>
        <v>234.29672171955593</v>
      </c>
      <c r="H8959" s="295">
        <f t="shared" si="767"/>
        <v>1.1665926254997778</v>
      </c>
    </row>
    <row r="8960" spans="1:8" x14ac:dyDescent="0.25">
      <c r="A8960" s="105" t="s">
        <v>21</v>
      </c>
      <c r="B8960" s="102">
        <v>44266</v>
      </c>
      <c r="C8960" s="4">
        <v>698</v>
      </c>
      <c r="D8960" s="21">
        <f t="shared" si="766"/>
        <v>166378</v>
      </c>
      <c r="E8960" s="4">
        <v>10</v>
      </c>
      <c r="F8960" s="57">
        <f t="shared" si="765"/>
        <v>2907</v>
      </c>
      <c r="G8960" s="238">
        <f>SUM(C8960,C8936,C8912,C8888,C8864,C8840,C8816,C8792,C8768,C8744,C8720,C8696,C8672,C8648)/POBLA!$B$7*100000</f>
        <v>206.96991051602868</v>
      </c>
      <c r="H8960" s="295">
        <f t="shared" si="767"/>
        <v>0.96911966131241445</v>
      </c>
    </row>
    <row r="8961" spans="1:8" x14ac:dyDescent="0.25">
      <c r="A8961" s="105" t="s">
        <v>32</v>
      </c>
      <c r="B8961" s="102">
        <v>44266</v>
      </c>
      <c r="C8961" s="4">
        <v>141</v>
      </c>
      <c r="D8961" s="21">
        <f t="shared" si="766"/>
        <v>46551</v>
      </c>
      <c r="E8961" s="4">
        <v>1</v>
      </c>
      <c r="F8961" s="57">
        <f t="shared" ref="F8961:F8984" si="768">E8961+F8937</f>
        <v>894</v>
      </c>
      <c r="G8961" s="238">
        <f>SUM(C8961,C8937,C8913,C8889,C8865,C8841,C8817,C8793,C8769,C8745,C8721,C8697,C8673,C8649)/POBLA!$B$8*100000</f>
        <v>118.32944794261887</v>
      </c>
      <c r="H8961" s="295">
        <f t="shared" si="767"/>
        <v>0.93234792495736218</v>
      </c>
    </row>
    <row r="8962" spans="1:8" x14ac:dyDescent="0.25">
      <c r="A8962" s="105" t="s">
        <v>42</v>
      </c>
      <c r="B8962" s="102">
        <v>44266</v>
      </c>
      <c r="C8962" s="4">
        <v>49</v>
      </c>
      <c r="D8962" s="21">
        <f t="shared" si="766"/>
        <v>1477</v>
      </c>
      <c r="F8962" s="57">
        <f t="shared" si="768"/>
        <v>20</v>
      </c>
      <c r="G8962" s="238">
        <f>SUM(C8962,C8938,C8914,C8890,C8866,C8842,C8818,C8794,C8770,C8746,C8722,C8698,C8674,C8650)/POBLA!$B$9*100000</f>
        <v>48.249070957529256</v>
      </c>
      <c r="H8962" s="295">
        <f t="shared" si="767"/>
        <v>1.0695970695970696</v>
      </c>
    </row>
    <row r="8963" spans="1:8" x14ac:dyDescent="0.25">
      <c r="A8963" s="105" t="s">
        <v>33</v>
      </c>
      <c r="B8963" s="102">
        <v>44266</v>
      </c>
      <c r="C8963" s="4">
        <v>67</v>
      </c>
      <c r="D8963" s="21">
        <f t="shared" si="766"/>
        <v>21512</v>
      </c>
      <c r="F8963" s="57">
        <f t="shared" si="768"/>
        <v>918</v>
      </c>
      <c r="G8963" s="238">
        <f>SUM(C8963,C8939,C8915,C8891,C8867,C8843,C8819,C8795,C8771,C8747,C8723,C8699,C8675,C8651)/POBLA!$B$10*100000</f>
        <v>132.44586388820065</v>
      </c>
      <c r="H8963" s="295">
        <f t="shared" si="767"/>
        <v>1.2286401925391095</v>
      </c>
    </row>
    <row r="8964" spans="1:8" x14ac:dyDescent="0.25">
      <c r="A8964" s="105" t="s">
        <v>34</v>
      </c>
      <c r="B8964" s="102">
        <v>44266</v>
      </c>
      <c r="C8964" s="4">
        <v>101</v>
      </c>
      <c r="D8964" s="21">
        <f t="shared" si="766"/>
        <v>19608</v>
      </c>
      <c r="E8964" s="4">
        <v>1</v>
      </c>
      <c r="F8964" s="57">
        <f t="shared" si="768"/>
        <v>299</v>
      </c>
      <c r="G8964" s="238">
        <f>SUM(C8964,C8940,C8916,C8892,C8868,C8844,C8820,C8796,C8772,C8748,C8724,C8700,C8676,C8652)/POBLA!$B$11*100000</f>
        <v>298.80478087649402</v>
      </c>
      <c r="H8964" s="295">
        <f t="shared" si="767"/>
        <v>1.0084745762711864</v>
      </c>
    </row>
    <row r="8965" spans="1:8" x14ac:dyDescent="0.25">
      <c r="A8965" s="105" t="s">
        <v>22</v>
      </c>
      <c r="B8965" s="102">
        <v>44266</v>
      </c>
      <c r="C8965" s="4">
        <v>31</v>
      </c>
      <c r="D8965" s="21">
        <f t="shared" si="766"/>
        <v>10452</v>
      </c>
      <c r="F8965" s="57">
        <f t="shared" si="768"/>
        <v>444</v>
      </c>
      <c r="G8965" s="238">
        <f>SUM(C8965,C8941,C8917,C8893,C8869,C8845,C8821,C8797,C8773,C8749,C8725,C8701,C8677,C8653)/POBLA!$B$12*100000</f>
        <v>77.249314539388251</v>
      </c>
      <c r="H8965" s="295">
        <f t="shared" si="767"/>
        <v>0.77353689567430028</v>
      </c>
    </row>
    <row r="8966" spans="1:8" x14ac:dyDescent="0.25">
      <c r="A8966" s="105" t="s">
        <v>18</v>
      </c>
      <c r="B8966" s="102">
        <v>44266</v>
      </c>
      <c r="C8966" s="4">
        <v>198</v>
      </c>
      <c r="D8966" s="21">
        <f t="shared" si="766"/>
        <v>69005</v>
      </c>
      <c r="E8966" s="4">
        <v>4</v>
      </c>
      <c r="F8966" s="57">
        <f t="shared" si="768"/>
        <v>1473</v>
      </c>
      <c r="G8966" s="238">
        <f>SUM(C8966,C8942,C8918,C8894,C8870,C8846,C8822,C8798,C8774,C8750,C8726,C8702,C8678,C8654)/POBLA!$B$13*100000</f>
        <v>104.40437754793406</v>
      </c>
      <c r="H8966" s="295">
        <f t="shared" si="767"/>
        <v>1.3389175257731958</v>
      </c>
    </row>
    <row r="8967" spans="1:8" x14ac:dyDescent="0.25">
      <c r="A8967" s="105" t="s">
        <v>24</v>
      </c>
      <c r="B8967" s="102">
        <v>44266</v>
      </c>
      <c r="C8967" s="4">
        <v>127</v>
      </c>
      <c r="D8967" s="21">
        <f t="shared" si="766"/>
        <v>9594</v>
      </c>
      <c r="E8967" s="4">
        <v>3</v>
      </c>
      <c r="F8967" s="57">
        <f t="shared" si="768"/>
        <v>164</v>
      </c>
      <c r="G8967" s="238">
        <f>SUM(C8967,C8943,C8919,C8895,C8871,C8847,C8823,C8799,C8775,C8751,C8727,C8703,C8679,C8655)/POBLA!$B$14*100000</f>
        <v>129.54949440812371</v>
      </c>
      <c r="H8967" s="295">
        <f t="shared" si="767"/>
        <v>1.0576051779935276</v>
      </c>
    </row>
    <row r="8968" spans="1:8" x14ac:dyDescent="0.25">
      <c r="A8968" s="105" t="s">
        <v>20</v>
      </c>
      <c r="B8968" s="102">
        <v>44266</v>
      </c>
      <c r="C8968" s="4">
        <v>166</v>
      </c>
      <c r="D8968" s="21">
        <f t="shared" si="766"/>
        <v>62902</v>
      </c>
      <c r="E8968" s="4">
        <v>4</v>
      </c>
      <c r="F8968" s="57">
        <f t="shared" si="768"/>
        <v>954</v>
      </c>
      <c r="G8968" s="238">
        <f>SUM(C8968,C8944,C8920,C8896,C8872,C8848,C8824,C8800,C8776,C8752,C8728,C8704,C8680,C8656)/POBLA!$B$15*100000</f>
        <v>310.36492349301341</v>
      </c>
      <c r="H8968" s="295">
        <f t="shared" si="767"/>
        <v>0.70995521873923528</v>
      </c>
    </row>
    <row r="8969" spans="1:8" x14ac:dyDescent="0.25">
      <c r="A8969" s="105" t="s">
        <v>19</v>
      </c>
      <c r="B8969" s="102">
        <v>44266</v>
      </c>
      <c r="C8969" s="4">
        <v>89</v>
      </c>
      <c r="D8969" s="21">
        <f t="shared" si="766"/>
        <v>53602</v>
      </c>
      <c r="E8969" s="4">
        <v>3</v>
      </c>
      <c r="F8969" s="57">
        <f t="shared" si="768"/>
        <v>1230</v>
      </c>
      <c r="G8969" s="238">
        <f>SUM(C8969,C8945,C8921,C8897,C8873,C8849,C8825,C8801,C8777,C8753,C8729,C8705,C8681,C8657)/POBLA!$B$16*100000</f>
        <v>209.06622436832038</v>
      </c>
      <c r="H8969" s="295">
        <f t="shared" si="767"/>
        <v>0.86881600889382993</v>
      </c>
    </row>
    <row r="8970" spans="1:8" x14ac:dyDescent="0.25">
      <c r="A8970" s="105" t="s">
        <v>35</v>
      </c>
      <c r="B8970" s="102">
        <v>44266</v>
      </c>
      <c r="C8970" s="4">
        <v>141</v>
      </c>
      <c r="D8970" s="21">
        <f t="shared" ref="D8970:D9033" si="769">C8970+D8946</f>
        <v>27352</v>
      </c>
      <c r="E8970" s="4">
        <v>3</v>
      </c>
      <c r="F8970" s="57">
        <f t="shared" si="768"/>
        <v>1131</v>
      </c>
      <c r="G8970" s="238">
        <f>SUM(C8970,C8946,C8922,C8898,C8874,C8850,C8826,C8802,C8778,C8754,C8730,C8706,C8682,C8658)/POBLA!$B$17*100000</f>
        <v>103.41218073332084</v>
      </c>
      <c r="H8970" s="295">
        <f t="shared" ref="H8970:H8993" si="770">SUM(C8970,C8946,C8922,C8898,C8874,C8850,C8826,C8802,C8778,C8754,C8730,C8706,C8682,C8658)/SUM(C8634,C8610,C8586,C8562,C8538,C8514,C8490,C8466,C8442,C8418,C8394,C8370,C8346,C8322)</f>
        <v>1.1598425196850393</v>
      </c>
    </row>
    <row r="8971" spans="1:8" x14ac:dyDescent="0.25">
      <c r="A8971" s="105" t="s">
        <v>36</v>
      </c>
      <c r="B8971" s="102">
        <v>44266</v>
      </c>
      <c r="C8971" s="4">
        <v>60</v>
      </c>
      <c r="D8971" s="21">
        <f t="shared" si="769"/>
        <v>15808</v>
      </c>
      <c r="F8971" s="57">
        <f t="shared" si="768"/>
        <v>216</v>
      </c>
      <c r="G8971" s="238">
        <f>SUM(C8971,C8947,C8923,C8899,C8875,C8851,C8827,C8803,C8779,C8755,C8731,C8707,C8683,C8659)/POBLA!$B$18*100000</f>
        <v>78.851330680207937</v>
      </c>
      <c r="H8971" s="295">
        <f t="shared" si="770"/>
        <v>0.94045801526717554</v>
      </c>
    </row>
    <row r="8972" spans="1:8" x14ac:dyDescent="0.25">
      <c r="A8972" s="105" t="s">
        <v>37</v>
      </c>
      <c r="B8972" s="102">
        <v>44266</v>
      </c>
      <c r="C8972" s="4">
        <v>563</v>
      </c>
      <c r="D8972" s="21">
        <f t="shared" si="769"/>
        <v>21376</v>
      </c>
      <c r="E8972" s="4">
        <v>2</v>
      </c>
      <c r="F8972" s="57">
        <f t="shared" si="768"/>
        <v>361</v>
      </c>
      <c r="G8972" s="238">
        <f>SUM(C8972,C8948,C8924,C8900,C8876,C8852,C8828,C8804,C8780,C8756,C8732,C8708,C8684,C8660)/POBLA!$B$19*100000</f>
        <v>122.55866291056168</v>
      </c>
      <c r="H8972" s="295">
        <f t="shared" si="770"/>
        <v>0.38743781094527363</v>
      </c>
    </row>
    <row r="8973" spans="1:8" x14ac:dyDescent="0.25">
      <c r="A8973" s="105" t="s">
        <v>38</v>
      </c>
      <c r="B8973" s="102">
        <v>44266</v>
      </c>
      <c r="C8973" s="4">
        <v>115</v>
      </c>
      <c r="D8973" s="21">
        <f t="shared" si="769"/>
        <v>37078</v>
      </c>
      <c r="E8973" s="4">
        <v>2</v>
      </c>
      <c r="F8973" s="57">
        <f t="shared" si="768"/>
        <v>606</v>
      </c>
      <c r="G8973" s="238">
        <f>SUM(C8973,C8949,C8925,C8901,C8877,C8853,C8829,C8805,C8781,C8757,C8733,C8709,C8685,C8661)/POBLA!$B$20*100000</f>
        <v>358.49252662032603</v>
      </c>
      <c r="H8973" s="295">
        <f t="shared" si="770"/>
        <v>0.88821138211382111</v>
      </c>
    </row>
    <row r="8974" spans="1:8" x14ac:dyDescent="0.25">
      <c r="A8974" s="105" t="s">
        <v>23</v>
      </c>
      <c r="B8974" s="102">
        <v>44266</v>
      </c>
      <c r="C8974" s="4">
        <v>614</v>
      </c>
      <c r="D8974" s="21">
        <f t="shared" si="769"/>
        <v>221189</v>
      </c>
      <c r="E8974" s="4">
        <v>8</v>
      </c>
      <c r="F8974" s="57">
        <f t="shared" si="768"/>
        <v>4098</v>
      </c>
      <c r="G8974" s="238">
        <f>SUM(C8974,C8950,C8926,C8902,C8878,C8854,C8830,C8806,C8782,C8758,C8734,C8710,C8686,C8662)/POBLA!$B$21*100000</f>
        <v>155.15699784358071</v>
      </c>
      <c r="H8974" s="295">
        <f t="shared" si="770"/>
        <v>1.1595519864750634</v>
      </c>
    </row>
    <row r="8975" spans="1:8" x14ac:dyDescent="0.25">
      <c r="A8975" s="105" t="s">
        <v>39</v>
      </c>
      <c r="B8975" s="102">
        <v>44266</v>
      </c>
      <c r="C8975" s="4">
        <v>67</v>
      </c>
      <c r="D8975" s="21">
        <f t="shared" si="769"/>
        <v>23243</v>
      </c>
      <c r="F8975" s="57">
        <f t="shared" si="768"/>
        <v>272</v>
      </c>
      <c r="G8975" s="238">
        <f>SUM(C8975,C8951,C8927,C8903,C8879,C8855,C8831,C8807,C8783,C8759,C8735,C8711,C8687,C8663)/POBLA!$B$22*100000</f>
        <v>84.328839543172791</v>
      </c>
      <c r="H8975" s="295">
        <f t="shared" si="770"/>
        <v>1.1853448275862069</v>
      </c>
    </row>
    <row r="8976" spans="1:8" x14ac:dyDescent="0.25">
      <c r="A8976" s="105" t="s">
        <v>40</v>
      </c>
      <c r="B8976" s="102">
        <v>44266</v>
      </c>
      <c r="C8976" s="4">
        <v>36</v>
      </c>
      <c r="D8976" s="21">
        <f t="shared" si="769"/>
        <v>23292</v>
      </c>
      <c r="F8976" s="57">
        <f t="shared" si="768"/>
        <v>358</v>
      </c>
      <c r="G8976" s="238">
        <f>SUM(C8976,C8952,C8928,C8904,C8880,C8856,C8832,C8808,C8784,C8760,C8736,C8712,C8688,C8664)/POBLA!$B$23*100000</f>
        <v>240.34383306000112</v>
      </c>
      <c r="H8976" s="295">
        <f t="shared" si="770"/>
        <v>0.84830339321357284</v>
      </c>
    </row>
    <row r="8977" spans="1:8" ht="15.75" thickBot="1" x14ac:dyDescent="0.3">
      <c r="A8977" s="106" t="s">
        <v>41</v>
      </c>
      <c r="B8977" s="102">
        <v>44266</v>
      </c>
      <c r="C8977" s="4">
        <v>270</v>
      </c>
      <c r="D8977" s="98">
        <f t="shared" si="769"/>
        <v>81622</v>
      </c>
      <c r="F8977" s="255">
        <f t="shared" si="768"/>
        <v>1488</v>
      </c>
      <c r="G8977" s="256">
        <f>SUM(C8977,C8953,C8929,C8905,C8881,C8857,C8833,C8809,C8785,C8761,C8737,C8713,C8689,C8665)/POBLA!$B$24*100000</f>
        <v>124.45003587748782</v>
      </c>
      <c r="H8977" s="296">
        <f t="shared" si="770"/>
        <v>1.1908526256352343</v>
      </c>
    </row>
    <row r="8978" spans="1:8" x14ac:dyDescent="0.25">
      <c r="A8978" s="45" t="s">
        <v>17</v>
      </c>
      <c r="B8978" s="102">
        <v>44267</v>
      </c>
      <c r="C8978" s="4">
        <v>3257</v>
      </c>
      <c r="D8978" s="97">
        <f t="shared" si="769"/>
        <v>913069</v>
      </c>
      <c r="E8978" s="4">
        <v>28</v>
      </c>
      <c r="F8978" s="250">
        <f t="shared" si="768"/>
        <v>27018</v>
      </c>
      <c r="G8978" s="251">
        <f>SUM(C8978,C8954,C8930,C8906,C8882,C8858,C8834,C8810,C8786,C8762,C8738,C8714,C8690,C8666)/POBLA!$B$1*100000</f>
        <v>210.66474524091674</v>
      </c>
      <c r="H8978" s="294">
        <f t="shared" si="770"/>
        <v>1.0693966140934741</v>
      </c>
    </row>
    <row r="8979" spans="1:8" x14ac:dyDescent="0.25">
      <c r="A8979" s="105" t="s">
        <v>44</v>
      </c>
      <c r="B8979" s="102">
        <v>44267</v>
      </c>
      <c r="C8979" s="4">
        <v>829</v>
      </c>
      <c r="D8979" s="21">
        <f t="shared" si="769"/>
        <v>240604</v>
      </c>
      <c r="E8979" s="4">
        <v>10</v>
      </c>
      <c r="F8979" s="57">
        <f t="shared" si="768"/>
        <v>6671</v>
      </c>
      <c r="G8979" s="238">
        <f>SUM(C8979,C8955,C8931,C8907,C8883,C8859,C8835,C8811,C8787,C8763,C8739,C8715,C8691,C8667)/POBLA!$B$2*100000</f>
        <v>316.42133067329598</v>
      </c>
      <c r="H8979" s="295">
        <f t="shared" si="770"/>
        <v>1.0109068245559365</v>
      </c>
    </row>
    <row r="8980" spans="1:8" x14ac:dyDescent="0.25">
      <c r="A8980" s="105" t="s">
        <v>29</v>
      </c>
      <c r="B8980" s="102">
        <v>44267</v>
      </c>
      <c r="C8980" s="4">
        <v>101</v>
      </c>
      <c r="D8980" s="21">
        <f t="shared" si="769"/>
        <v>8871</v>
      </c>
      <c r="E8980" s="4">
        <v>1</v>
      </c>
      <c r="F8980" s="57">
        <f t="shared" si="768"/>
        <v>18</v>
      </c>
      <c r="G8980" s="238">
        <f>SUM(C8980,C8956,C8932,C8908,C8884,C8860,C8836,C8812,C8788,C8764,C8740,C8716,C8692,C8668)/POBLA!$B$3*100000</f>
        <v>276.5755660291066</v>
      </c>
      <c r="H8980" s="295">
        <f t="shared" si="770"/>
        <v>1.1058710298363812</v>
      </c>
    </row>
    <row r="8981" spans="1:8" x14ac:dyDescent="0.25">
      <c r="A8981" s="105" t="s">
        <v>16</v>
      </c>
      <c r="B8981" s="102">
        <v>44267</v>
      </c>
      <c r="C8981" s="4">
        <v>156</v>
      </c>
      <c r="D8981" s="21">
        <f t="shared" si="769"/>
        <v>35715</v>
      </c>
      <c r="E8981" s="4">
        <v>4</v>
      </c>
      <c r="F8981" s="57">
        <f t="shared" si="768"/>
        <v>890</v>
      </c>
      <c r="G8981" s="238">
        <f>SUM(C8981,C8957,C8933,C8909,C8885,C8861,C8837,C8813,C8789,C8765,C8741,C8717,C8693,C8669)/POBLA!$B$4*100000</f>
        <v>146.19676706728953</v>
      </c>
      <c r="H8981" s="295">
        <f t="shared" si="770"/>
        <v>1.058929645219483</v>
      </c>
    </row>
    <row r="8982" spans="1:8" x14ac:dyDescent="0.25">
      <c r="A8982" s="105" t="s">
        <v>30</v>
      </c>
      <c r="B8982" s="102">
        <v>44267</v>
      </c>
      <c r="C8982" s="4">
        <v>108</v>
      </c>
      <c r="D8982" s="21">
        <f t="shared" si="769"/>
        <v>48020</v>
      </c>
      <c r="E8982" s="4">
        <v>1</v>
      </c>
      <c r="F8982" s="57">
        <f t="shared" si="768"/>
        <v>808</v>
      </c>
      <c r="G8982" s="238">
        <f>SUM(C8982,C8958,C8934,C8910,C8886,C8862,C8838,C8814,C8790,C8766,C8742,C8718,C8694,C8670)/POBLA!$B$5*100000</f>
        <v>196.28623217672543</v>
      </c>
      <c r="H8982" s="295">
        <f t="shared" si="770"/>
        <v>0.68721719457013575</v>
      </c>
    </row>
    <row r="8983" spans="1:8" x14ac:dyDescent="0.25">
      <c r="A8983" s="105" t="s">
        <v>31</v>
      </c>
      <c r="B8983" s="102">
        <v>44267</v>
      </c>
      <c r="C8983" s="4">
        <v>512</v>
      </c>
      <c r="D8983" s="21">
        <f t="shared" si="769"/>
        <v>24541</v>
      </c>
      <c r="F8983" s="57">
        <f t="shared" si="768"/>
        <v>306</v>
      </c>
      <c r="G8983" s="238">
        <f>SUM(C8983,C8959,C8935,C8911,C8887,C8863,C8839,C8815,C8791,C8767,C8743,C8719,C8695,C8671)/POBLA!$B$6*100000</f>
        <v>260.08185217536385</v>
      </c>
      <c r="H8983" s="295">
        <f t="shared" si="770"/>
        <v>1.2055417700578992</v>
      </c>
    </row>
    <row r="8984" spans="1:8" x14ac:dyDescent="0.25">
      <c r="A8984" s="105" t="s">
        <v>21</v>
      </c>
      <c r="B8984" s="102">
        <v>44267</v>
      </c>
      <c r="C8984" s="4">
        <v>627</v>
      </c>
      <c r="D8984" s="21">
        <f t="shared" si="769"/>
        <v>167005</v>
      </c>
      <c r="E8984" s="4">
        <v>4</v>
      </c>
      <c r="F8984" s="57">
        <f t="shared" si="768"/>
        <v>2911</v>
      </c>
      <c r="G8984" s="238">
        <f>SUM(C8984,C8960,C8936,C8912,C8888,C8864,C8840,C8816,C8792,C8768,C8744,C8720,C8696,C8672)/POBLA!$B$7*100000</f>
        <v>212.58094111077131</v>
      </c>
      <c r="H8984" s="295">
        <f t="shared" si="770"/>
        <v>1.0251346499102334</v>
      </c>
    </row>
    <row r="8985" spans="1:8" x14ac:dyDescent="0.25">
      <c r="A8985" s="105" t="s">
        <v>32</v>
      </c>
      <c r="B8985" s="102">
        <v>44267</v>
      </c>
      <c r="C8985" s="4">
        <v>151</v>
      </c>
      <c r="D8985" s="21">
        <f t="shared" si="769"/>
        <v>46702</v>
      </c>
      <c r="E8985" s="4">
        <v>4</v>
      </c>
      <c r="F8985" s="57">
        <f t="shared" ref="F8985:F9008" si="771">E8985+F8961</f>
        <v>898</v>
      </c>
      <c r="G8985" s="238">
        <f>SUM(C8985,C8961,C8937,C8913,C8889,C8865,C8841,C8817,C8793,C8769,C8745,C8721,C8697,C8673)/POBLA!$B$8*100000</f>
        <v>122.58642198445699</v>
      </c>
      <c r="H8985" s="295">
        <f t="shared" si="770"/>
        <v>1.0101070154577882</v>
      </c>
    </row>
    <row r="8986" spans="1:8" x14ac:dyDescent="0.25">
      <c r="A8986" s="105" t="s">
        <v>42</v>
      </c>
      <c r="B8986" s="102">
        <v>44267</v>
      </c>
      <c r="C8986" s="4">
        <v>26</v>
      </c>
      <c r="D8986" s="21">
        <f t="shared" si="769"/>
        <v>1503</v>
      </c>
      <c r="F8986" s="57">
        <f t="shared" si="771"/>
        <v>20</v>
      </c>
      <c r="G8986" s="238">
        <f>SUM(C8986,C8962,C8938,C8914,C8890,C8866,C8842,C8818,C8794,C8770,C8746,C8722,C8698,C8674)/POBLA!$B$9*100000</f>
        <v>48.74478059065455</v>
      </c>
      <c r="H8986" s="295">
        <f t="shared" si="770"/>
        <v>1.088560885608856</v>
      </c>
    </row>
    <row r="8987" spans="1:8" x14ac:dyDescent="0.25">
      <c r="A8987" s="105" t="s">
        <v>33</v>
      </c>
      <c r="B8987" s="102">
        <v>44267</v>
      </c>
      <c r="C8987" s="4">
        <v>73</v>
      </c>
      <c r="D8987" s="21">
        <f t="shared" si="769"/>
        <v>21585</v>
      </c>
      <c r="E8987" s="4">
        <v>2</v>
      </c>
      <c r="F8987" s="57">
        <f t="shared" si="771"/>
        <v>920</v>
      </c>
      <c r="G8987" s="238">
        <f>SUM(C8987,C8963,C8939,C8915,C8891,C8867,C8843,C8819,C8795,C8771,C8747,C8723,C8699,C8675)/POBLA!$B$10*100000</f>
        <v>131.14864680800278</v>
      </c>
      <c r="H8987" s="295">
        <f t="shared" si="770"/>
        <v>1.1501706484641638</v>
      </c>
    </row>
    <row r="8988" spans="1:8" x14ac:dyDescent="0.25">
      <c r="A8988" s="105" t="s">
        <v>34</v>
      </c>
      <c r="B8988" s="102">
        <v>44267</v>
      </c>
      <c r="C8988" s="4">
        <v>110</v>
      </c>
      <c r="D8988" s="21">
        <f t="shared" si="769"/>
        <v>19718</v>
      </c>
      <c r="F8988" s="57">
        <f t="shared" si="771"/>
        <v>299</v>
      </c>
      <c r="G8988" s="238">
        <f>SUM(C8988,C8964,C8940,C8916,C8892,C8868,C8844,C8820,C8796,C8772,C8748,C8724,C8700,C8676)/POBLA!$B$11*100000</f>
        <v>314.70755632930462</v>
      </c>
      <c r="H8988" s="295">
        <f t="shared" si="770"/>
        <v>1.0804597701149425</v>
      </c>
    </row>
    <row r="8989" spans="1:8" x14ac:dyDescent="0.25">
      <c r="A8989" s="105" t="s">
        <v>22</v>
      </c>
      <c r="B8989" s="102">
        <v>44267</v>
      </c>
      <c r="C8989" s="4">
        <v>34</v>
      </c>
      <c r="D8989" s="21">
        <f t="shared" si="769"/>
        <v>10486</v>
      </c>
      <c r="F8989" s="57">
        <f t="shared" si="771"/>
        <v>444</v>
      </c>
      <c r="G8989" s="238">
        <f>SUM(C8989,C8965,C8941,C8917,C8893,C8869,C8845,C8821,C8797,C8773,C8749,C8725,C8701,C8677)/POBLA!$B$12*100000</f>
        <v>80.552739174296306</v>
      </c>
      <c r="H8989" s="295">
        <f t="shared" si="770"/>
        <v>0.82337662337662343</v>
      </c>
    </row>
    <row r="8990" spans="1:8" x14ac:dyDescent="0.25">
      <c r="A8990" s="105" t="s">
        <v>18</v>
      </c>
      <c r="B8990" s="102">
        <v>44267</v>
      </c>
      <c r="C8990" s="4">
        <v>168</v>
      </c>
      <c r="D8990" s="21">
        <f t="shared" si="769"/>
        <v>69173</v>
      </c>
      <c r="E8990" s="4">
        <v>2</v>
      </c>
      <c r="F8990" s="57">
        <f t="shared" si="771"/>
        <v>1475</v>
      </c>
      <c r="G8990" s="238">
        <f>SUM(C8990,C8966,C8942,C8918,C8894,C8870,C8846,C8822,C8798,C8774,C8750,C8726,C8702,C8678)/POBLA!$B$13*100000</f>
        <v>105.96190194831229</v>
      </c>
      <c r="H8990" s="295">
        <f t="shared" si="770"/>
        <v>1.3650485436893205</v>
      </c>
    </row>
    <row r="8991" spans="1:8" x14ac:dyDescent="0.25">
      <c r="A8991" s="105" t="s">
        <v>24</v>
      </c>
      <c r="B8991" s="102">
        <v>44267</v>
      </c>
      <c r="C8991" s="4">
        <v>135</v>
      </c>
      <c r="D8991" s="21">
        <f t="shared" si="769"/>
        <v>9729</v>
      </c>
      <c r="E8991" s="4">
        <v>1</v>
      </c>
      <c r="F8991" s="57">
        <f t="shared" si="771"/>
        <v>165</v>
      </c>
      <c r="G8991" s="238">
        <f>SUM(C8991,C8967,C8943,C8919,C8895,C8871,C8847,C8823,C8799,C8775,C8751,C8727,C8703,C8679)/POBLA!$B$14*100000</f>
        <v>131.05588387798562</v>
      </c>
      <c r="H8991" s="295">
        <f t="shared" si="770"/>
        <v>1.0623393316195373</v>
      </c>
    </row>
    <row r="8992" spans="1:8" x14ac:dyDescent="0.25">
      <c r="A8992" s="105" t="s">
        <v>20</v>
      </c>
      <c r="B8992" s="102">
        <v>44267</v>
      </c>
      <c r="C8992" s="4">
        <v>155</v>
      </c>
      <c r="D8992" s="21">
        <f t="shared" si="769"/>
        <v>63057</v>
      </c>
      <c r="E8992" s="4">
        <v>2</v>
      </c>
      <c r="F8992" s="57">
        <f t="shared" si="771"/>
        <v>956</v>
      </c>
      <c r="G8992" s="238">
        <f>SUM(C8992,C8968,C8944,C8920,C8896,C8872,C8848,C8824,C8800,C8776,C8752,C8728,C8704,C8680)/POBLA!$B$15*100000</f>
        <v>307.65431280748493</v>
      </c>
      <c r="H8992" s="295">
        <f t="shared" si="770"/>
        <v>0.73861171366594358</v>
      </c>
    </row>
    <row r="8993" spans="1:8" x14ac:dyDescent="0.25">
      <c r="A8993" s="105" t="s">
        <v>19</v>
      </c>
      <c r="B8993" s="102">
        <v>44267</v>
      </c>
      <c r="C8993" s="4">
        <v>112</v>
      </c>
      <c r="D8993" s="21">
        <f t="shared" si="769"/>
        <v>53714</v>
      </c>
      <c r="E8993" s="4">
        <v>7</v>
      </c>
      <c r="F8993" s="57">
        <f t="shared" si="771"/>
        <v>1237</v>
      </c>
      <c r="G8993" s="238">
        <f>SUM(C8993,C8969,C8945,C8921,C8897,C8873,C8849,C8825,C8801,C8777,C8753,C8729,C8705,C8681)/POBLA!$B$16*100000</f>
        <v>204.51839863030187</v>
      </c>
      <c r="H8993" s="295">
        <f t="shared" si="770"/>
        <v>0.85418994413407823</v>
      </c>
    </row>
    <row r="8994" spans="1:8" x14ac:dyDescent="0.25">
      <c r="A8994" s="105" t="s">
        <v>35</v>
      </c>
      <c r="B8994" s="102">
        <v>44267</v>
      </c>
      <c r="C8994" s="4">
        <v>100</v>
      </c>
      <c r="D8994" s="21">
        <f t="shared" si="769"/>
        <v>27452</v>
      </c>
      <c r="E8994" s="4">
        <v>7</v>
      </c>
      <c r="F8994" s="57">
        <f t="shared" si="771"/>
        <v>1138</v>
      </c>
      <c r="G8994" s="238">
        <f>SUM(C8994,C8970,C8946,C8922,C8898,C8874,C8850,C8826,C8802,C8778,C8754,C8730,C8706,C8682)/POBLA!$B$17*100000</f>
        <v>105.65874541999176</v>
      </c>
      <c r="H8994" s="295">
        <f t="shared" ref="H8994:H9017" si="772">SUM(C8994,C8970,C8946,C8922,C8898,C8874,C8850,C8826,C8802,C8778,C8754,C8730,C8706,C8682)/SUM(C8658,C8634,C8610,C8586,C8562,C8538,C8514,C8490,C8466,C8442,C8418,C8394,C8370,C8346)</f>
        <v>1.2068965517241379</v>
      </c>
    </row>
    <row r="8995" spans="1:8" x14ac:dyDescent="0.25">
      <c r="A8995" s="105" t="s">
        <v>36</v>
      </c>
      <c r="B8995" s="102">
        <v>44267</v>
      </c>
      <c r="C8995" s="4">
        <v>51</v>
      </c>
      <c r="D8995" s="21">
        <f t="shared" si="769"/>
        <v>15859</v>
      </c>
      <c r="E8995" s="4">
        <v>1</v>
      </c>
      <c r="F8995" s="57">
        <f t="shared" si="771"/>
        <v>217</v>
      </c>
      <c r="G8995" s="238">
        <f>SUM(C8995,C8971,C8947,C8923,C8899,C8875,C8851,C8827,C8803,C8779,C8755,C8731,C8707,C8683)/POBLA!$B$18*100000</f>
        <v>80.89941719138217</v>
      </c>
      <c r="H8995" s="295">
        <f t="shared" si="772"/>
        <v>1.0047694753577106</v>
      </c>
    </row>
    <row r="8996" spans="1:8" x14ac:dyDescent="0.25">
      <c r="A8996" s="105" t="s">
        <v>37</v>
      </c>
      <c r="B8996" s="102">
        <v>44267</v>
      </c>
      <c r="C8996" s="4">
        <v>139</v>
      </c>
      <c r="D8996" s="21">
        <f t="shared" si="769"/>
        <v>21515</v>
      </c>
      <c r="F8996" s="57">
        <f t="shared" si="771"/>
        <v>361</v>
      </c>
      <c r="G8996" s="238">
        <f>SUM(C8996,C8972,C8948,C8924,C8900,C8876,C8852,C8828,C8804,C8780,C8756,C8732,C8708,C8684)/POBLA!$B$19*100000</f>
        <v>149.31304197289938</v>
      </c>
      <c r="H8996" s="295">
        <f t="shared" si="772"/>
        <v>0.47407870081199249</v>
      </c>
    </row>
    <row r="8997" spans="1:8" x14ac:dyDescent="0.25">
      <c r="A8997" s="105" t="s">
        <v>38</v>
      </c>
      <c r="B8997" s="102">
        <v>44267</v>
      </c>
      <c r="C8997" s="4">
        <v>147</v>
      </c>
      <c r="D8997" s="21">
        <f t="shared" si="769"/>
        <v>37225</v>
      </c>
      <c r="E8997" s="4">
        <v>1</v>
      </c>
      <c r="F8997" s="57">
        <f t="shared" si="771"/>
        <v>607</v>
      </c>
      <c r="G8997" s="238">
        <f>SUM(C8997,C8973,C8949,C8925,C8901,C8877,C8853,C8829,C8805,C8781,C8757,C8733,C8709,C8685)/POBLA!$B$20*100000</f>
        <v>382.2826485241921</v>
      </c>
      <c r="H8997" s="295">
        <f t="shared" si="772"/>
        <v>0.98798586572438163</v>
      </c>
    </row>
    <row r="8998" spans="1:8" x14ac:dyDescent="0.25">
      <c r="A8998" s="105" t="s">
        <v>23</v>
      </c>
      <c r="B8998" s="102">
        <v>44267</v>
      </c>
      <c r="C8998" s="4">
        <v>464</v>
      </c>
      <c r="D8998" s="21">
        <f t="shared" si="769"/>
        <v>221653</v>
      </c>
      <c r="E8998" s="4">
        <v>6</v>
      </c>
      <c r="F8998" s="57">
        <f t="shared" si="771"/>
        <v>4104</v>
      </c>
      <c r="G8998" s="238">
        <f>SUM(C8998,C8974,C8950,C8926,C8902,C8878,C8854,C8830,C8806,C8782,C8758,C8734,C8710,C8686)/POBLA!$B$21*100000</f>
        <v>160.8972694969882</v>
      </c>
      <c r="H8998" s="295">
        <f t="shared" si="772"/>
        <v>1.2202444778039889</v>
      </c>
    </row>
    <row r="8999" spans="1:8" x14ac:dyDescent="0.25">
      <c r="A8999" s="105" t="s">
        <v>39</v>
      </c>
      <c r="B8999" s="102">
        <v>44267</v>
      </c>
      <c r="C8999" s="4">
        <v>68</v>
      </c>
      <c r="D8999" s="21">
        <f t="shared" si="769"/>
        <v>23311</v>
      </c>
      <c r="E8999" s="4">
        <v>2</v>
      </c>
      <c r="F8999" s="57">
        <f t="shared" si="771"/>
        <v>274</v>
      </c>
      <c r="G8999" s="238">
        <f>SUM(C8999,C8975,C8951,C8927,C8903,C8879,C8855,C8831,C8807,C8783,C8759,C8735,C8711,C8687)/POBLA!$B$22*100000</f>
        <v>84.431056318376633</v>
      </c>
      <c r="H8999" s="295">
        <f t="shared" si="772"/>
        <v>1.1617440225035163</v>
      </c>
    </row>
    <row r="9000" spans="1:8" x14ac:dyDescent="0.25">
      <c r="A9000" s="105" t="s">
        <v>40</v>
      </c>
      <c r="B9000" s="102">
        <v>44267</v>
      </c>
      <c r="C9000" s="4">
        <v>25</v>
      </c>
      <c r="D9000" s="21">
        <f t="shared" si="769"/>
        <v>23317</v>
      </c>
      <c r="F9000" s="57">
        <f t="shared" si="771"/>
        <v>358</v>
      </c>
      <c r="G9000" s="238">
        <f>SUM(C9000,C8976,C8952,C8928,C8904,C8880,C8856,C8832,C8808,C8784,C8760,C8736,C8712,C8688)/POBLA!$B$23*100000</f>
        <v>239.21280325736586</v>
      </c>
      <c r="H9000" s="295">
        <f t="shared" si="772"/>
        <v>0.87941787941787941</v>
      </c>
    </row>
    <row r="9001" spans="1:8" ht="15.75" thickBot="1" x14ac:dyDescent="0.3">
      <c r="A9001" s="106" t="s">
        <v>41</v>
      </c>
      <c r="B9001" s="102">
        <v>44267</v>
      </c>
      <c r="C9001" s="4">
        <v>301</v>
      </c>
      <c r="D9001" s="98">
        <f t="shared" si="769"/>
        <v>81923</v>
      </c>
      <c r="E9001" s="4">
        <v>3</v>
      </c>
      <c r="F9001" s="255">
        <f t="shared" si="771"/>
        <v>1491</v>
      </c>
      <c r="G9001" s="256">
        <f>SUM(C9001,C8977,C8953,C8929,C8905,C8881,C8857,C8833,C8809,C8785,C8761,C8737,C8713,C8689)/POBLA!$B$24*100000</f>
        <v>134.71760640507571</v>
      </c>
      <c r="H9001" s="296">
        <f t="shared" si="772"/>
        <v>1.3437316068275456</v>
      </c>
    </row>
    <row r="9002" spans="1:8" x14ac:dyDescent="0.25">
      <c r="A9002" s="45" t="s">
        <v>17</v>
      </c>
      <c r="B9002" s="102">
        <v>44268</v>
      </c>
      <c r="C9002" s="63">
        <v>2692</v>
      </c>
      <c r="D9002" s="97">
        <f t="shared" si="769"/>
        <v>915761</v>
      </c>
      <c r="E9002" s="4">
        <v>21</v>
      </c>
      <c r="F9002" s="250">
        <f t="shared" si="771"/>
        <v>27039</v>
      </c>
      <c r="G9002" s="251">
        <f>SUM(C9002,C8978,C8954,C8930,C8906,C8882,C8858,C8834,C8810,C8786,C8762,C8738,C8714,C8690)/POBLA!$B$1*100000</f>
        <v>212.27809525047428</v>
      </c>
      <c r="H9002" s="294">
        <f t="shared" si="772"/>
        <v>1.0788040329122726</v>
      </c>
    </row>
    <row r="9003" spans="1:8" x14ac:dyDescent="0.25">
      <c r="A9003" s="105" t="s">
        <v>44</v>
      </c>
      <c r="B9003" s="102">
        <v>44268</v>
      </c>
      <c r="C9003" s="63">
        <v>796</v>
      </c>
      <c r="D9003" s="21">
        <f t="shared" si="769"/>
        <v>241400</v>
      </c>
      <c r="E9003" s="4">
        <v>19</v>
      </c>
      <c r="F9003" s="57">
        <f t="shared" si="771"/>
        <v>6690</v>
      </c>
      <c r="G9003" s="238">
        <f>SUM(C9003,C8979,C8955,C8931,C8907,C8883,C8859,C8835,C8811,C8787,C8763,C8739,C8715,C8691)/POBLA!$B$2*100000</f>
        <v>323.34670504993096</v>
      </c>
      <c r="H9003" s="295">
        <f t="shared" si="772"/>
        <v>1.0285448340055849</v>
      </c>
    </row>
    <row r="9004" spans="1:8" x14ac:dyDescent="0.25">
      <c r="A9004" s="105" t="s">
        <v>29</v>
      </c>
      <c r="B9004" s="102">
        <v>44268</v>
      </c>
      <c r="C9004" s="63">
        <v>104</v>
      </c>
      <c r="D9004" s="21">
        <f t="shared" si="769"/>
        <v>8975</v>
      </c>
      <c r="F9004" s="57">
        <f t="shared" si="771"/>
        <v>18</v>
      </c>
      <c r="G9004" s="238">
        <f>SUM(C9004,C8980,C8956,C8932,C8908,C8884,C8860,C8836,C8812,C8788,C8764,C8740,C8716,C8692)/POBLA!$B$3*100000</f>
        <v>273.20562875808184</v>
      </c>
      <c r="H9004" s="295">
        <f t="shared" si="772"/>
        <v>1.051899907321594</v>
      </c>
    </row>
    <row r="9005" spans="1:8" x14ac:dyDescent="0.25">
      <c r="A9005" s="105" t="s">
        <v>16</v>
      </c>
      <c r="B9005" s="102">
        <v>44268</v>
      </c>
      <c r="C9005" s="63">
        <v>140</v>
      </c>
      <c r="D9005" s="21">
        <f t="shared" si="769"/>
        <v>35855</v>
      </c>
      <c r="E9005" s="4">
        <v>4</v>
      </c>
      <c r="F9005" s="57">
        <f t="shared" si="771"/>
        <v>894</v>
      </c>
      <c r="G9005" s="238">
        <f>SUM(C9005,C8981,C8957,C8933,C8909,C8885,C8861,C8837,C8813,C8789,C8765,C8741,C8717,C8693)/POBLA!$B$4*100000</f>
        <v>149.10243819014877</v>
      </c>
      <c r="H9005" s="295">
        <f t="shared" si="772"/>
        <v>1.060838747784997</v>
      </c>
    </row>
    <row r="9006" spans="1:8" x14ac:dyDescent="0.25">
      <c r="A9006" s="105" t="s">
        <v>30</v>
      </c>
      <c r="B9006" s="102">
        <v>44268</v>
      </c>
      <c r="C9006" s="63">
        <v>85</v>
      </c>
      <c r="D9006" s="21">
        <f t="shared" si="769"/>
        <v>48105</v>
      </c>
      <c r="F9006" s="57">
        <f t="shared" si="771"/>
        <v>808</v>
      </c>
      <c r="G9006" s="238">
        <f>SUM(C9006,C8982,C8958,C8934,C8910,C8886,C8862,C8838,C8814,C8790,C8766,C8742,C8718,C8694)/POBLA!$B$5*100000</f>
        <v>197.578651812457</v>
      </c>
      <c r="H9006" s="295">
        <f t="shared" si="772"/>
        <v>0.70571263704558573</v>
      </c>
    </row>
    <row r="9007" spans="1:8" x14ac:dyDescent="0.25">
      <c r="A9007" s="105" t="s">
        <v>31</v>
      </c>
      <c r="B9007" s="102">
        <v>44268</v>
      </c>
      <c r="C9007" s="63">
        <v>298</v>
      </c>
      <c r="D9007" s="21">
        <f t="shared" si="769"/>
        <v>24839</v>
      </c>
      <c r="F9007" s="57">
        <f t="shared" si="771"/>
        <v>306</v>
      </c>
      <c r="G9007" s="238">
        <f>SUM(C9007,C8983,C8959,C8935,C8911,C8887,C8863,C8839,C8815,C8791,C8767,C8743,C8719,C8695)/POBLA!$B$6*100000</f>
        <v>271.32381216647735</v>
      </c>
      <c r="H9007" s="295">
        <f t="shared" si="772"/>
        <v>1.198659834450138</v>
      </c>
    </row>
    <row r="9008" spans="1:8" x14ac:dyDescent="0.25">
      <c r="A9008" s="105" t="s">
        <v>21</v>
      </c>
      <c r="B9008" s="102">
        <v>44268</v>
      </c>
      <c r="C9008" s="63">
        <v>593</v>
      </c>
      <c r="D9008" s="21">
        <f t="shared" si="769"/>
        <v>167598</v>
      </c>
      <c r="E9008" s="4">
        <v>5</v>
      </c>
      <c r="F9008" s="57">
        <f t="shared" si="771"/>
        <v>2916</v>
      </c>
      <c r="G9008" s="238">
        <f>SUM(C9008,C8984,C8960,C8936,C8912,C8888,C8864,C8840,C8816,C8792,C8768,C8744,C8720,C8696)/POBLA!$B$7*100000</f>
        <v>214.17649483439482</v>
      </c>
      <c r="H9008" s="295">
        <f t="shared" si="772"/>
        <v>1.0356178474990356</v>
      </c>
    </row>
    <row r="9009" spans="1:8" x14ac:dyDescent="0.25">
      <c r="A9009" s="105" t="s">
        <v>32</v>
      </c>
      <c r="B9009" s="102">
        <v>44268</v>
      </c>
      <c r="C9009" s="63">
        <v>108</v>
      </c>
      <c r="D9009" s="21">
        <f t="shared" si="769"/>
        <v>46810</v>
      </c>
      <c r="F9009" s="57">
        <f t="shared" ref="F9009:F9032" si="773">E9009+F8985</f>
        <v>898</v>
      </c>
      <c r="G9009" s="238">
        <f>SUM(C9009,C8985,C8961,C8937,C8913,C8889,C8865,C8841,C8817,C8793,C8769,C8745,C8721,C8697)/POBLA!$B$8*100000</f>
        <v>122.29781357484086</v>
      </c>
      <c r="H9009" s="295">
        <f t="shared" si="772"/>
        <v>1.0065320665083135</v>
      </c>
    </row>
    <row r="9010" spans="1:8" x14ac:dyDescent="0.25">
      <c r="A9010" s="105" t="s">
        <v>42</v>
      </c>
      <c r="B9010" s="102">
        <v>44268</v>
      </c>
      <c r="C9010" s="63">
        <v>19</v>
      </c>
      <c r="D9010" s="21">
        <f t="shared" si="769"/>
        <v>1522</v>
      </c>
      <c r="F9010" s="57">
        <f t="shared" si="773"/>
        <v>20</v>
      </c>
      <c r="G9010" s="238">
        <f>SUM(C9010,C8986,C8962,C8938,C8914,C8890,C8866,C8842,C8818,C8794,C8770,C8746,C8722,C8698)/POBLA!$B$9*100000</f>
        <v>49.90143640128025</v>
      </c>
      <c r="H9010" s="295">
        <f t="shared" si="772"/>
        <v>1.1526717557251909</v>
      </c>
    </row>
    <row r="9011" spans="1:8" x14ac:dyDescent="0.25">
      <c r="A9011" s="105" t="s">
        <v>33</v>
      </c>
      <c r="B9011" s="102">
        <v>44268</v>
      </c>
      <c r="C9011" s="63">
        <v>27</v>
      </c>
      <c r="D9011" s="21">
        <f t="shared" si="769"/>
        <v>21612</v>
      </c>
      <c r="E9011" s="4">
        <v>3</v>
      </c>
      <c r="F9011" s="57">
        <f t="shared" si="773"/>
        <v>923</v>
      </c>
      <c r="G9011" s="238">
        <f>SUM(C9011,C8987,C8963,C8939,C8915,C8891,C8867,C8843,C8819,C8795,C8771,C8747,C8723,C8699)/POBLA!$B$10*100000</f>
        <v>122.58701407869698</v>
      </c>
      <c r="H9011" s="295">
        <f t="shared" si="772"/>
        <v>0.99788806758183735</v>
      </c>
    </row>
    <row r="9012" spans="1:8" x14ac:dyDescent="0.25">
      <c r="A9012" s="105" t="s">
        <v>34</v>
      </c>
      <c r="B9012" s="102">
        <v>44268</v>
      </c>
      <c r="C9012" s="63">
        <v>95</v>
      </c>
      <c r="D9012" s="21">
        <f t="shared" si="769"/>
        <v>19813</v>
      </c>
      <c r="F9012" s="57">
        <f t="shared" si="773"/>
        <v>299</v>
      </c>
      <c r="G9012" s="238">
        <f>SUM(C9012,C8988,C8964,C8940,C8916,C8892,C8868,C8844,C8820,C8796,C8772,C8748,C8724,C8700)/POBLA!$B$11*100000</f>
        <v>326.42539087348086</v>
      </c>
      <c r="H9012" s="295">
        <f t="shared" si="772"/>
        <v>1.2</v>
      </c>
    </row>
    <row r="9013" spans="1:8" x14ac:dyDescent="0.25">
      <c r="A9013" s="105" t="s">
        <v>22</v>
      </c>
      <c r="B9013" s="102">
        <v>44268</v>
      </c>
      <c r="C9013" s="63">
        <v>19</v>
      </c>
      <c r="D9013" s="21">
        <f t="shared" si="769"/>
        <v>10505</v>
      </c>
      <c r="E9013" s="4">
        <v>1</v>
      </c>
      <c r="F9013" s="57">
        <f t="shared" si="773"/>
        <v>445</v>
      </c>
      <c r="G9013" s="238">
        <f>SUM(C9013,C8989,C8965,C8941,C8917,C8893,C8869,C8845,C8821,C8797,C8773,C8749,C8725,C8701)/POBLA!$B$12*100000</f>
        <v>84.110273396504979</v>
      </c>
      <c r="H9013" s="295">
        <f t="shared" si="772"/>
        <v>0.92458100558659218</v>
      </c>
    </row>
    <row r="9014" spans="1:8" x14ac:dyDescent="0.25">
      <c r="A9014" s="105" t="s">
        <v>18</v>
      </c>
      <c r="B9014" s="102">
        <v>44268</v>
      </c>
      <c r="C9014" s="63">
        <v>135</v>
      </c>
      <c r="D9014" s="21">
        <f t="shared" si="769"/>
        <v>69308</v>
      </c>
      <c r="E9014" s="4">
        <v>2</v>
      </c>
      <c r="F9014" s="57">
        <f t="shared" si="773"/>
        <v>1477</v>
      </c>
      <c r="G9014" s="238">
        <f>SUM(C9014,C8990,C8966,C8942,C8918,C8894,C8870,C8846,C8822,C8798,C8774,C8750,C8726,C8702)/POBLA!$B$13*100000</f>
        <v>106.66530006461215</v>
      </c>
      <c r="H9014" s="295">
        <f t="shared" si="772"/>
        <v>1.3565495207667733</v>
      </c>
    </row>
    <row r="9015" spans="1:8" x14ac:dyDescent="0.25">
      <c r="A9015" s="105" t="s">
        <v>24</v>
      </c>
      <c r="B9015" s="102">
        <v>44268</v>
      </c>
      <c r="C9015" s="63">
        <v>119</v>
      </c>
      <c r="D9015" s="21">
        <f t="shared" si="769"/>
        <v>9848</v>
      </c>
      <c r="E9015" s="4">
        <v>3</v>
      </c>
      <c r="F9015" s="57">
        <f t="shared" si="773"/>
        <v>168</v>
      </c>
      <c r="G9015" s="238">
        <f>SUM(C9015,C8991,C8967,C8943,C8919,C8895,C8871,C8847,C8823,C8799,C8775,C8751,C8727,C8703)/POBLA!$B$14*100000</f>
        <v>130.58018194013451</v>
      </c>
      <c r="H9015" s="295">
        <f t="shared" si="772"/>
        <v>1.041087231352718</v>
      </c>
    </row>
    <row r="9016" spans="1:8" x14ac:dyDescent="0.25">
      <c r="A9016" s="105" t="s">
        <v>20</v>
      </c>
      <c r="B9016" s="102">
        <v>44268</v>
      </c>
      <c r="C9016" s="63">
        <v>83</v>
      </c>
      <c r="D9016" s="21">
        <f t="shared" si="769"/>
        <v>63140</v>
      </c>
      <c r="F9016" s="57">
        <f t="shared" si="773"/>
        <v>956</v>
      </c>
      <c r="G9016" s="238">
        <f>SUM(C9016,C8992,C8968,C8944,C8920,C8896,C8872,C8848,C8824,C8800,C8776,C8752,C8728,C8704)/POBLA!$B$15*100000</f>
        <v>307.65431280748493</v>
      </c>
      <c r="H9016" s="295">
        <f t="shared" si="772"/>
        <v>0.76631657914478624</v>
      </c>
    </row>
    <row r="9017" spans="1:8" x14ac:dyDescent="0.25">
      <c r="A9017" s="105" t="s">
        <v>19</v>
      </c>
      <c r="B9017" s="102">
        <v>44268</v>
      </c>
      <c r="C9017" s="63">
        <v>36</v>
      </c>
      <c r="D9017" s="21">
        <f t="shared" si="769"/>
        <v>53750</v>
      </c>
      <c r="F9017" s="57">
        <f t="shared" si="773"/>
        <v>1237</v>
      </c>
      <c r="G9017" s="238">
        <f>SUM(C9017,C8993,C8969,C8945,C8921,C8897,C8873,C8849,C8825,C8801,C8777,C8753,C8729,C8705)/POBLA!$B$16*100000</f>
        <v>197.96417918433409</v>
      </c>
      <c r="H9017" s="295">
        <f t="shared" si="772"/>
        <v>0.84090909090909094</v>
      </c>
    </row>
    <row r="9018" spans="1:8" x14ac:dyDescent="0.25">
      <c r="A9018" s="105" t="s">
        <v>35</v>
      </c>
      <c r="B9018" s="102">
        <v>44268</v>
      </c>
      <c r="C9018" s="63">
        <v>140</v>
      </c>
      <c r="D9018" s="21">
        <f t="shared" si="769"/>
        <v>27592</v>
      </c>
      <c r="E9018" s="4">
        <v>2</v>
      </c>
      <c r="F9018" s="57">
        <f t="shared" si="773"/>
        <v>1140</v>
      </c>
      <c r="G9018" s="238">
        <f>SUM(C9018,C8994,C8970,C8946,C8922,C8898,C8874,C8850,C8826,C8802,C8778,C8754,C8730,C8706)/POBLA!$B$17*100000</f>
        <v>107.62448952082882</v>
      </c>
      <c r="H9018" s="295">
        <f t="shared" ref="H9018:H9041" si="774">SUM(C9018,C8994,C8970,C8946,C8922,C8898,C8874,C8850,C8826,C8802,C8778,C8754,C8730,C8706)/SUM(C8682,C8658,C8634,C8610,C8586,C8562,C8538,C8514,C8490,C8466,C8442,C8418,C8394,C8370)</f>
        <v>1.2205414012738853</v>
      </c>
    </row>
    <row r="9019" spans="1:8" x14ac:dyDescent="0.25">
      <c r="A9019" s="105" t="s">
        <v>36</v>
      </c>
      <c r="B9019" s="102">
        <v>44268</v>
      </c>
      <c r="C9019" s="63">
        <v>11</v>
      </c>
      <c r="D9019" s="21">
        <f t="shared" si="769"/>
        <v>15870</v>
      </c>
      <c r="F9019" s="57">
        <f t="shared" si="773"/>
        <v>217</v>
      </c>
      <c r="G9019" s="238">
        <f>SUM(C9019,C8995,C8971,C8947,C8923,C8899,C8875,C8851,C8827,C8803,C8779,C8755,C8731,C8707)/POBLA!$B$18*100000</f>
        <v>80.771411784433781</v>
      </c>
      <c r="H9019" s="295">
        <f t="shared" si="774"/>
        <v>0.99370078740157475</v>
      </c>
    </row>
    <row r="9020" spans="1:8" x14ac:dyDescent="0.25">
      <c r="A9020" s="105" t="s">
        <v>37</v>
      </c>
      <c r="B9020" s="102">
        <v>44268</v>
      </c>
      <c r="C9020" s="63">
        <v>1</v>
      </c>
      <c r="D9020" s="21">
        <f t="shared" si="769"/>
        <v>21516</v>
      </c>
      <c r="F9020" s="57">
        <f t="shared" si="773"/>
        <v>361</v>
      </c>
      <c r="G9020" s="238">
        <f>SUM(C9020,C8996,C8972,C8948,C8924,C8900,C8876,C8852,C8828,C8804,C8780,C8756,C8732,C8708)/POBLA!$B$19*100000</f>
        <v>146.3621913410239</v>
      </c>
      <c r="H9020" s="295">
        <f t="shared" si="774"/>
        <v>0.75151515151515147</v>
      </c>
    </row>
    <row r="9021" spans="1:8" x14ac:dyDescent="0.25">
      <c r="A9021" s="105" t="s">
        <v>38</v>
      </c>
      <c r="B9021" s="102">
        <v>44268</v>
      </c>
      <c r="C9021" s="63">
        <v>99</v>
      </c>
      <c r="D9021" s="21">
        <f t="shared" si="769"/>
        <v>37324</v>
      </c>
      <c r="E9021" s="4">
        <v>3</v>
      </c>
      <c r="F9021" s="57">
        <f t="shared" si="773"/>
        <v>610</v>
      </c>
      <c r="G9021" s="238">
        <f>SUM(C9021,C8997,C8973,C8949,C8925,C8901,C8877,C8853,C8829,C8805,C8781,C8757,C8733,C8709)/POBLA!$B$20*100000</f>
        <v>390.48613883587001</v>
      </c>
      <c r="H9021" s="295">
        <f t="shared" si="774"/>
        <v>1.0063424947145878</v>
      </c>
    </row>
    <row r="9022" spans="1:8" x14ac:dyDescent="0.25">
      <c r="A9022" s="105" t="s">
        <v>23</v>
      </c>
      <c r="B9022" s="102">
        <v>44268</v>
      </c>
      <c r="C9022" s="63">
        <v>471</v>
      </c>
      <c r="D9022" s="21">
        <f t="shared" si="769"/>
        <v>222124</v>
      </c>
      <c r="E9022" s="4">
        <v>1</v>
      </c>
      <c r="F9022" s="57">
        <f t="shared" si="773"/>
        <v>4105</v>
      </c>
      <c r="G9022" s="238">
        <f>SUM(C9022,C8998,C8974,C8950,C8926,C8902,C8878,C8854,C8830,C8806,C8782,C8758,C8734,C8710)/POBLA!$B$21*100000</f>
        <v>163.49877192119257</v>
      </c>
      <c r="H9022" s="295">
        <f t="shared" si="774"/>
        <v>1.2520571676050238</v>
      </c>
    </row>
    <row r="9023" spans="1:8" x14ac:dyDescent="0.25">
      <c r="A9023" s="105" t="s">
        <v>39</v>
      </c>
      <c r="B9023" s="102">
        <v>44268</v>
      </c>
      <c r="C9023" s="63">
        <v>71</v>
      </c>
      <c r="D9023" s="21">
        <f t="shared" si="769"/>
        <v>23382</v>
      </c>
      <c r="E9023" s="4">
        <v>2</v>
      </c>
      <c r="F9023" s="57">
        <f t="shared" si="773"/>
        <v>276</v>
      </c>
      <c r="G9023" s="238">
        <f>SUM(C9023,C8999,C8975,C8951,C8927,C8903,C8879,C8855,C8831,C8807,C8783,C8759,C8735,C8711)/POBLA!$B$22*100000</f>
        <v>83.204455015930478</v>
      </c>
      <c r="H9023" s="295">
        <f t="shared" si="774"/>
        <v>1.1074829931972789</v>
      </c>
    </row>
    <row r="9024" spans="1:8" x14ac:dyDescent="0.25">
      <c r="A9024" s="105" t="s">
        <v>40</v>
      </c>
      <c r="B9024" s="102">
        <v>44268</v>
      </c>
      <c r="C9024" s="63">
        <v>12</v>
      </c>
      <c r="D9024" s="21">
        <f t="shared" si="769"/>
        <v>23329</v>
      </c>
      <c r="F9024" s="57">
        <f t="shared" si="773"/>
        <v>358</v>
      </c>
      <c r="G9024" s="238">
        <f>SUM(C9024,C9000,C8976,C8952,C8928,C8904,C8880,C8856,C8832,C8808,C8784,C8760,C8736,C8712)/POBLA!$B$23*100000</f>
        <v>223.94390092178926</v>
      </c>
      <c r="H9024" s="295">
        <f t="shared" si="774"/>
        <v>0.78260869565217395</v>
      </c>
    </row>
    <row r="9025" spans="1:8" ht="15.75" thickBot="1" x14ac:dyDescent="0.3">
      <c r="A9025" s="106" t="s">
        <v>41</v>
      </c>
      <c r="B9025" s="102">
        <v>44268</v>
      </c>
      <c r="C9025" s="63">
        <v>124</v>
      </c>
      <c r="D9025" s="98">
        <f t="shared" si="769"/>
        <v>82047</v>
      </c>
      <c r="F9025" s="255">
        <f t="shared" si="773"/>
        <v>1491</v>
      </c>
      <c r="G9025" s="256">
        <f>SUM(C9025,C9001,C8977,C8953,C8929,C8905,C8881,C8857,C8833,C8809,C8785,C8761,C8737,C8713)/POBLA!$B$24*100000</f>
        <v>137.72706673212735</v>
      </c>
      <c r="H9025" s="296">
        <f t="shared" si="774"/>
        <v>1.3876337693222354</v>
      </c>
    </row>
    <row r="9026" spans="1:8" x14ac:dyDescent="0.25">
      <c r="A9026" s="45" t="s">
        <v>17</v>
      </c>
      <c r="B9026" s="102">
        <v>44269</v>
      </c>
      <c r="C9026" s="4">
        <v>1539</v>
      </c>
      <c r="D9026" s="97">
        <f t="shared" si="769"/>
        <v>917300</v>
      </c>
      <c r="E9026" s="4">
        <v>12</v>
      </c>
      <c r="F9026" s="250">
        <f t="shared" si="773"/>
        <v>27051</v>
      </c>
      <c r="G9026" s="251">
        <f>SUM(C9026,C9002,C8978,C8954,C8930,C8906,C8882,C8858,C8834,C8810,C8786,C8762,C8738,C8714)/POBLA!$B$1*100000</f>
        <v>213.74322229095588</v>
      </c>
      <c r="H9026" s="294">
        <f t="shared" si="774"/>
        <v>1.0960301683816651</v>
      </c>
    </row>
    <row r="9027" spans="1:8" x14ac:dyDescent="0.25">
      <c r="A9027" s="105" t="s">
        <v>44</v>
      </c>
      <c r="B9027" s="102">
        <v>44269</v>
      </c>
      <c r="C9027" s="4">
        <v>556</v>
      </c>
      <c r="D9027" s="21">
        <f t="shared" si="769"/>
        <v>241956</v>
      </c>
      <c r="E9027" s="4">
        <v>3</v>
      </c>
      <c r="F9027" s="57">
        <f t="shared" si="773"/>
        <v>6693</v>
      </c>
      <c r="G9027" s="238">
        <f>SUM(C9027,C9003,C8979,C8955,C8931,C8907,C8883,C8859,C8835,C8811,C8787,C8763,C8739,C8715)/POBLA!$B$2*100000</f>
        <v>327.21581092232333</v>
      </c>
      <c r="H9027" s="295">
        <f t="shared" si="774"/>
        <v>1.0650862525134934</v>
      </c>
    </row>
    <row r="9028" spans="1:8" x14ac:dyDescent="0.25">
      <c r="A9028" s="105" t="s">
        <v>29</v>
      </c>
      <c r="B9028" s="102">
        <v>44269</v>
      </c>
      <c r="C9028" s="4">
        <v>53</v>
      </c>
      <c r="D9028" s="21">
        <f t="shared" si="769"/>
        <v>9028</v>
      </c>
      <c r="F9028" s="57">
        <f t="shared" si="773"/>
        <v>18</v>
      </c>
      <c r="G9028" s="238">
        <f>SUM(C9028,C9004,C8980,C8956,C8932,C8908,C8884,C8860,C8836,C8812,C8788,C8764,C8740,C8716)/POBLA!$B$3*100000</f>
        <v>275.37201700374061</v>
      </c>
      <c r="H9028" s="295">
        <f t="shared" si="774"/>
        <v>1.0485792850595783</v>
      </c>
    </row>
    <row r="9029" spans="1:8" x14ac:dyDescent="0.25">
      <c r="A9029" s="105" t="s">
        <v>16</v>
      </c>
      <c r="B9029" s="102">
        <v>44269</v>
      </c>
      <c r="C9029" s="4">
        <v>87</v>
      </c>
      <c r="D9029" s="21">
        <f t="shared" si="769"/>
        <v>35942</v>
      </c>
      <c r="F9029" s="57">
        <f t="shared" si="773"/>
        <v>894</v>
      </c>
      <c r="G9029" s="238">
        <f>SUM(C9029,C9005,C8981,C8957,C8933,C8909,C8885,C8861,C8837,C8813,C8789,C8765,C8741,C8717)/POBLA!$B$4*100000</f>
        <v>149.35149571496527</v>
      </c>
      <c r="H9029" s="295">
        <f t="shared" si="774"/>
        <v>1.0601060695344726</v>
      </c>
    </row>
    <row r="9030" spans="1:8" x14ac:dyDescent="0.25">
      <c r="A9030" s="105" t="s">
        <v>30</v>
      </c>
      <c r="B9030" s="102">
        <v>44269</v>
      </c>
      <c r="C9030" s="4">
        <v>23</v>
      </c>
      <c r="D9030" s="21">
        <f t="shared" si="769"/>
        <v>48128</v>
      </c>
      <c r="F9030" s="57">
        <f t="shared" si="773"/>
        <v>808</v>
      </c>
      <c r="G9030" s="238">
        <f>SUM(C9030,C9006,C8982,C8958,C8934,C8910,C8886,C8862,C8838,C8814,C8790,C8766,C8742,C8718)/POBLA!$B$5*100000</f>
        <v>199.84038617498717</v>
      </c>
      <c r="H9030" s="295">
        <f t="shared" si="774"/>
        <v>0.74518072289156623</v>
      </c>
    </row>
    <row r="9031" spans="1:8" x14ac:dyDescent="0.25">
      <c r="A9031" s="105" t="s">
        <v>31</v>
      </c>
      <c r="B9031" s="102">
        <v>44269</v>
      </c>
      <c r="C9031" s="4">
        <v>121</v>
      </c>
      <c r="D9031" s="21">
        <f t="shared" si="769"/>
        <v>24960</v>
      </c>
      <c r="F9031" s="57">
        <f t="shared" si="773"/>
        <v>306</v>
      </c>
      <c r="G9031" s="238">
        <f>SUM(C9031,C9007,C8983,C8959,C8935,C8911,C8887,C8863,C8839,C8815,C8791,C8767,C8743,C8719)/POBLA!$B$6*100000</f>
        <v>276.9447921620341</v>
      </c>
      <c r="H9031" s="295">
        <f t="shared" si="774"/>
        <v>1.2381332269644993</v>
      </c>
    </row>
    <row r="9032" spans="1:8" x14ac:dyDescent="0.25">
      <c r="A9032" s="105" t="s">
        <v>21</v>
      </c>
      <c r="B9032" s="102">
        <v>44269</v>
      </c>
      <c r="C9032" s="4">
        <v>281</v>
      </c>
      <c r="D9032" s="21">
        <f t="shared" si="769"/>
        <v>167879</v>
      </c>
      <c r="E9032" s="4">
        <v>2</v>
      </c>
      <c r="F9032" s="57">
        <f t="shared" si="773"/>
        <v>2918</v>
      </c>
      <c r="G9032" s="238">
        <f>SUM(C9032,C9008,C8984,C8960,C8936,C8912,C8888,C8864,C8840,C8816,C8792,C8768,C8744,C8720)/POBLA!$B$7*100000</f>
        <v>212.76708904519404</v>
      </c>
      <c r="H9032" s="295">
        <f t="shared" si="774"/>
        <v>1.0214477211796247</v>
      </c>
    </row>
    <row r="9033" spans="1:8" x14ac:dyDescent="0.25">
      <c r="A9033" s="105" t="s">
        <v>32</v>
      </c>
      <c r="B9033" s="102">
        <v>44269</v>
      </c>
      <c r="C9033" s="4">
        <v>62</v>
      </c>
      <c r="D9033" s="21">
        <f t="shared" si="769"/>
        <v>46872</v>
      </c>
      <c r="F9033" s="57">
        <f t="shared" ref="F9033:F9056" si="775">E9033+F9009</f>
        <v>898</v>
      </c>
      <c r="G9033" s="238">
        <f>SUM(C9033,C9009,C8985,C8961,C8937,C8913,C8889,C8865,C8841,C8817,C8793,C8769,C8745,C8721)/POBLA!$B$8*100000</f>
        <v>123.01933459888122</v>
      </c>
      <c r="H9033" s="295">
        <f t="shared" si="774"/>
        <v>1.0518198642813079</v>
      </c>
    </row>
    <row r="9034" spans="1:8" x14ac:dyDescent="0.25">
      <c r="A9034" s="105" t="s">
        <v>42</v>
      </c>
      <c r="B9034" s="102">
        <v>44269</v>
      </c>
      <c r="C9034" s="4">
        <v>45</v>
      </c>
      <c r="D9034" s="21">
        <f t="shared" ref="D9034:D9098" si="776">C9034+D9010</f>
        <v>1567</v>
      </c>
      <c r="F9034" s="57">
        <f t="shared" si="775"/>
        <v>20</v>
      </c>
      <c r="G9034" s="238">
        <f>SUM(C9034,C9010,C8986,C8962,C8938,C8914,C8890,C8866,C8842,C8818,C8794,C8770,C8746,C8722)/POBLA!$B$9*100000</f>
        <v>57.171844353784657</v>
      </c>
      <c r="H9034" s="295">
        <f t="shared" si="774"/>
        <v>1.3675889328063242</v>
      </c>
    </row>
    <row r="9035" spans="1:8" x14ac:dyDescent="0.25">
      <c r="A9035" s="105" t="s">
        <v>33</v>
      </c>
      <c r="B9035" s="102">
        <v>44269</v>
      </c>
      <c r="C9035" s="4">
        <v>69</v>
      </c>
      <c r="D9035" s="21">
        <f t="shared" si="776"/>
        <v>21681</v>
      </c>
      <c r="E9035" s="4">
        <v>4</v>
      </c>
      <c r="F9035" s="57">
        <f t="shared" si="775"/>
        <v>927</v>
      </c>
      <c r="G9035" s="238">
        <f>SUM(C9035,C9011,C8987,C8963,C8939,C8915,C8891,C8867,C8843,C8819,C8795,C8771,C8747,C8723)/POBLA!$B$10*100000</f>
        <v>120.51146675038042</v>
      </c>
      <c r="H9035" s="295">
        <f t="shared" si="774"/>
        <v>0.94506612410986779</v>
      </c>
    </row>
    <row r="9036" spans="1:8" x14ac:dyDescent="0.25">
      <c r="A9036" s="105" t="s">
        <v>34</v>
      </c>
      <c r="B9036" s="102">
        <v>44269</v>
      </c>
      <c r="C9036" s="4">
        <v>27</v>
      </c>
      <c r="D9036" s="21">
        <f t="shared" si="776"/>
        <v>19840</v>
      </c>
      <c r="F9036" s="57">
        <f t="shared" si="775"/>
        <v>299</v>
      </c>
      <c r="G9036" s="238">
        <f>SUM(C9036,C9012,C8988,C8964,C8940,C8916,C8892,C8868,C8844,C8820,C8796,C8772,C8748,C8724)/POBLA!$B$11*100000</f>
        <v>320.84546966196837</v>
      </c>
      <c r="H9036" s="295">
        <f t="shared" si="774"/>
        <v>1.1782786885245902</v>
      </c>
    </row>
    <row r="9037" spans="1:8" x14ac:dyDescent="0.25">
      <c r="A9037" s="105" t="s">
        <v>22</v>
      </c>
      <c r="B9037" s="102">
        <v>44269</v>
      </c>
      <c r="C9037" s="4">
        <v>30</v>
      </c>
      <c r="D9037" s="21">
        <f t="shared" si="776"/>
        <v>10535</v>
      </c>
      <c r="F9037" s="57">
        <f t="shared" si="775"/>
        <v>445</v>
      </c>
      <c r="G9037" s="238">
        <f>SUM(C9037,C9013,C8989,C8965,C8941,C8917,C8893,C8869,C8845,C8821,C8797,C8773,C8749,C8725)/POBLA!$B$12*100000</f>
        <v>79.028081650492595</v>
      </c>
      <c r="H9037" s="295">
        <f t="shared" si="774"/>
        <v>0.82493368700265257</v>
      </c>
    </row>
    <row r="9038" spans="1:8" x14ac:dyDescent="0.25">
      <c r="A9038" s="105" t="s">
        <v>18</v>
      </c>
      <c r="B9038" s="102">
        <v>44269</v>
      </c>
      <c r="C9038" s="4">
        <v>60</v>
      </c>
      <c r="D9038" s="21">
        <f t="shared" si="776"/>
        <v>69368</v>
      </c>
      <c r="F9038" s="57">
        <f t="shared" si="775"/>
        <v>1477</v>
      </c>
      <c r="G9038" s="238">
        <f>SUM(C9038,C9014,C8990,C8966,C8942,C8918,C8894,C8870,C8846,C8822,C8798,C8774,C8750,C8726)/POBLA!$B$13*100000</f>
        <v>107.11748456794777</v>
      </c>
      <c r="H9038" s="295">
        <f t="shared" si="774"/>
        <v>1.3553719008264462</v>
      </c>
    </row>
    <row r="9039" spans="1:8" x14ac:dyDescent="0.25">
      <c r="A9039" s="105" t="s">
        <v>24</v>
      </c>
      <c r="B9039" s="102">
        <v>44269</v>
      </c>
      <c r="C9039" s="4">
        <v>122</v>
      </c>
      <c r="D9039" s="21">
        <f t="shared" si="776"/>
        <v>9970</v>
      </c>
      <c r="F9039" s="57">
        <f t="shared" si="775"/>
        <v>168</v>
      </c>
      <c r="G9039" s="238">
        <f>SUM(C9039,C9015,C8991,C8967,C8943,C8919,C8895,C8871,C8847,C8823,C8799,C8775,C8751,C8727)/POBLA!$B$14*100000</f>
        <v>134.46508109925202</v>
      </c>
      <c r="H9039" s="295">
        <f t="shared" si="774"/>
        <v>1.1027308192457737</v>
      </c>
    </row>
    <row r="9040" spans="1:8" x14ac:dyDescent="0.25">
      <c r="A9040" s="105" t="s">
        <v>20</v>
      </c>
      <c r="B9040" s="102">
        <v>44269</v>
      </c>
      <c r="C9040" s="4">
        <v>72</v>
      </c>
      <c r="D9040" s="21">
        <f t="shared" si="776"/>
        <v>63212</v>
      </c>
      <c r="F9040" s="57">
        <f t="shared" si="775"/>
        <v>956</v>
      </c>
      <c r="G9040" s="238">
        <f>SUM(C9040,C9016,C8992,C8968,C8944,C8920,C8896,C8872,C8848,C8824,C8800,C8776,C8752,C8728)/POBLA!$B$15*100000</f>
        <v>306.60018642977934</v>
      </c>
      <c r="H9040" s="295">
        <f t="shared" si="774"/>
        <v>0.81018702745722249</v>
      </c>
    </row>
    <row r="9041" spans="1:8" x14ac:dyDescent="0.25">
      <c r="A9041" s="105" t="s">
        <v>19</v>
      </c>
      <c r="B9041" s="102">
        <v>44269</v>
      </c>
      <c r="C9041" s="4">
        <v>37</v>
      </c>
      <c r="D9041" s="21">
        <f t="shared" si="776"/>
        <v>53787</v>
      </c>
      <c r="F9041" s="57">
        <f t="shared" si="775"/>
        <v>1237</v>
      </c>
      <c r="G9041" s="238">
        <f>SUM(C9041,C9017,C8993,C8969,C8945,C8921,C8897,C8873,C8849,C8825,C8801,C8777,C8753,C8729)/POBLA!$B$16*100000</f>
        <v>195.42274715426493</v>
      </c>
      <c r="H9041" s="295">
        <f t="shared" si="774"/>
        <v>0.84499710815500284</v>
      </c>
    </row>
    <row r="9042" spans="1:8" x14ac:dyDescent="0.25">
      <c r="A9042" s="105" t="s">
        <v>35</v>
      </c>
      <c r="B9042" s="102">
        <v>44269</v>
      </c>
      <c r="C9042" s="4">
        <v>35</v>
      </c>
      <c r="D9042" s="21">
        <f t="shared" si="776"/>
        <v>27627</v>
      </c>
      <c r="E9042" s="4">
        <v>2</v>
      </c>
      <c r="F9042" s="57">
        <f t="shared" si="775"/>
        <v>1142</v>
      </c>
      <c r="G9042" s="238">
        <f>SUM(C9042,C9018,C8994,C8970,C8946,C8922,C8898,C8874,C8850,C8826,C8802,C8778,C8754,C8730)/POBLA!$B$17*100000</f>
        <v>104.3248476372809</v>
      </c>
      <c r="H9042" s="295">
        <f t="shared" ref="H9042:H9065" si="777">SUM(C9042,C9018,C8994,C8970,C8946,C8922,C8898,C8874,C8850,C8826,C8802,C8778,C8754,C8730)/SUM(C8706,C8682,C8658,C8634,C8610,C8586,C8562,C8538,C8514,C8490,C8466,C8442,C8418,C8394)</f>
        <v>1.1395705521472392</v>
      </c>
    </row>
    <row r="9043" spans="1:8" x14ac:dyDescent="0.25">
      <c r="A9043" s="105" t="s">
        <v>36</v>
      </c>
      <c r="B9043" s="102">
        <v>44269</v>
      </c>
      <c r="C9043" s="4">
        <v>4</v>
      </c>
      <c r="D9043" s="21">
        <f t="shared" si="776"/>
        <v>15874</v>
      </c>
      <c r="F9043" s="57">
        <f t="shared" si="775"/>
        <v>217</v>
      </c>
      <c r="G9043" s="238">
        <f>SUM(C9043,C9019,C8995,C8971,C8947,C8923,C8899,C8875,C8851,C8827,C8803,C8779,C8755,C8731)/POBLA!$B$18*100000</f>
        <v>80.643406377485391</v>
      </c>
      <c r="H9043" s="295">
        <f t="shared" si="777"/>
        <v>0.99526066350710896</v>
      </c>
    </row>
    <row r="9044" spans="1:8" x14ac:dyDescent="0.25">
      <c r="A9044" s="105" t="s">
        <v>37</v>
      </c>
      <c r="B9044" s="102">
        <v>44269</v>
      </c>
      <c r="C9044" s="4">
        <v>2</v>
      </c>
      <c r="D9044" s="21">
        <f t="shared" si="776"/>
        <v>21518</v>
      </c>
      <c r="F9044" s="57">
        <f t="shared" si="775"/>
        <v>361</v>
      </c>
      <c r="G9044" s="238">
        <f>SUM(C9044,C9020,C8996,C8972,C8948,C8924,C8900,C8876,C8852,C8828,C8804,C8780,C8756,C8732)/POBLA!$B$19*100000</f>
        <v>146.55891471648226</v>
      </c>
      <c r="H9044" s="295">
        <f t="shared" si="777"/>
        <v>1.0673352435530086</v>
      </c>
    </row>
    <row r="9045" spans="1:8" x14ac:dyDescent="0.25">
      <c r="A9045" s="105" t="s">
        <v>38</v>
      </c>
      <c r="B9045" s="102">
        <v>44269</v>
      </c>
      <c r="C9045" s="4">
        <v>61</v>
      </c>
      <c r="D9045" s="21">
        <f t="shared" si="776"/>
        <v>37385</v>
      </c>
      <c r="E9045" s="4">
        <v>1</v>
      </c>
      <c r="F9045" s="57">
        <f t="shared" si="775"/>
        <v>611</v>
      </c>
      <c r="G9045" s="238">
        <f>SUM(C9045,C9021,C8997,C8973,C8949,C8925,C8901,C8877,C8853,C8829,C8805,C8781,C8757,C8733)/POBLA!$B$20*100000</f>
        <v>397.59583043932423</v>
      </c>
      <c r="H9045" s="295">
        <f t="shared" si="777"/>
        <v>1.043041606886657</v>
      </c>
    </row>
    <row r="9046" spans="1:8" x14ac:dyDescent="0.25">
      <c r="A9046" s="105" t="s">
        <v>23</v>
      </c>
      <c r="B9046" s="102">
        <v>44269</v>
      </c>
      <c r="C9046" s="4">
        <v>190</v>
      </c>
      <c r="D9046" s="21">
        <f t="shared" si="776"/>
        <v>222314</v>
      </c>
      <c r="F9046" s="57">
        <f t="shared" si="775"/>
        <v>4105</v>
      </c>
      <c r="G9046" s="238">
        <f>SUM(C9046,C9022,C8998,C8974,C8950,C8926,C8902,C8878,C8854,C8830,C8806,C8782,C8758,C8734)/POBLA!$B$21*100000</f>
        <v>165.39334433881967</v>
      </c>
      <c r="H9046" s="295">
        <f t="shared" si="777"/>
        <v>1.2860598065083553</v>
      </c>
    </row>
    <row r="9047" spans="1:8" x14ac:dyDescent="0.25">
      <c r="A9047" s="105" t="s">
        <v>39</v>
      </c>
      <c r="B9047" s="102">
        <v>44269</v>
      </c>
      <c r="C9047" s="4">
        <v>78</v>
      </c>
      <c r="D9047" s="21">
        <f t="shared" si="776"/>
        <v>23460</v>
      </c>
      <c r="F9047" s="57">
        <f t="shared" si="775"/>
        <v>276</v>
      </c>
      <c r="G9047" s="238">
        <f>SUM(C9047,C9023,C8999,C8975,C8951,C8927,C8903,C8879,C8855,C8831,C8807,C8783,C8759,C8735)/POBLA!$B$22*100000</f>
        <v>81.977853713484336</v>
      </c>
      <c r="H9047" s="295">
        <f t="shared" si="777"/>
        <v>1.0075376884422111</v>
      </c>
    </row>
    <row r="9048" spans="1:8" x14ac:dyDescent="0.25">
      <c r="A9048" s="105" t="s">
        <v>40</v>
      </c>
      <c r="B9048" s="102">
        <v>44269</v>
      </c>
      <c r="C9048" s="4">
        <v>34</v>
      </c>
      <c r="D9048" s="21">
        <f t="shared" si="776"/>
        <v>23363</v>
      </c>
      <c r="F9048" s="57">
        <f t="shared" si="775"/>
        <v>358</v>
      </c>
      <c r="G9048" s="238">
        <f>SUM(C9048,C9024,C9000,C8976,C8952,C8928,C8904,C8880,C8856,C8832,C8808,C8784,C8760,C8736)/POBLA!$B$23*100000</f>
        <v>239.77831815868348</v>
      </c>
      <c r="H9048" s="295">
        <f t="shared" si="777"/>
        <v>0.87422680412371134</v>
      </c>
    </row>
    <row r="9049" spans="1:8" ht="15.75" thickBot="1" x14ac:dyDescent="0.3">
      <c r="A9049" s="106" t="s">
        <v>41</v>
      </c>
      <c r="B9049" s="102">
        <v>44269</v>
      </c>
      <c r="C9049" s="4">
        <v>109</v>
      </c>
      <c r="D9049" s="98">
        <f t="shared" si="776"/>
        <v>82156</v>
      </c>
      <c r="F9049" s="255">
        <f t="shared" si="775"/>
        <v>1491</v>
      </c>
      <c r="G9049" s="256">
        <f>SUM(C9049,C9025,C9001,C8977,C8953,C8929,C8905,C8881,C8857,C8833,C8809,C8785,C8761,C8737)/POBLA!$B$24*100000</f>
        <v>139.20229238264284</v>
      </c>
      <c r="H9049" s="296">
        <f t="shared" si="777"/>
        <v>1.3868312757201646</v>
      </c>
    </row>
    <row r="9050" spans="1:8" x14ac:dyDescent="0.25">
      <c r="A9050" s="45" t="s">
        <v>17</v>
      </c>
      <c r="B9050" s="102">
        <v>44270</v>
      </c>
      <c r="C9050" s="4">
        <v>2610</v>
      </c>
      <c r="D9050" s="97">
        <f t="shared" si="776"/>
        <v>919910</v>
      </c>
      <c r="E9050" s="4">
        <v>105</v>
      </c>
      <c r="F9050" s="250">
        <f t="shared" si="775"/>
        <v>27156</v>
      </c>
      <c r="G9050" s="251">
        <f>SUM(C9050,C9026,C9002,C8978,C8954,C8930,C8906,C8882,C8858,C8834,C8810,C8786,C8762,C8738)/POBLA!$B$1*100000</f>
        <v>217.19795764711088</v>
      </c>
      <c r="H9050" s="294">
        <f t="shared" si="777"/>
        <v>1.0934477513417329</v>
      </c>
    </row>
    <row r="9051" spans="1:8" x14ac:dyDescent="0.25">
      <c r="A9051" s="105" t="s">
        <v>44</v>
      </c>
      <c r="B9051" s="102">
        <v>44270</v>
      </c>
      <c r="C9051" s="4">
        <v>1086</v>
      </c>
      <c r="D9051" s="21">
        <f t="shared" si="776"/>
        <v>243042</v>
      </c>
      <c r="E9051" s="4">
        <v>9</v>
      </c>
      <c r="F9051" s="57">
        <f t="shared" si="775"/>
        <v>6702</v>
      </c>
      <c r="G9051" s="238">
        <f>SUM(C9051,C9027,C9003,C8979,C8955,C8931,C8907,C8883,C8859,C8835,C8811,C8787,C8763,C8739)/POBLA!$B$2*100000</f>
        <v>348.47963647311815</v>
      </c>
      <c r="H9051" s="295">
        <f t="shared" si="777"/>
        <v>1.1414270500532482</v>
      </c>
    </row>
    <row r="9052" spans="1:8" x14ac:dyDescent="0.25">
      <c r="A9052" s="105" t="s">
        <v>29</v>
      </c>
      <c r="B9052" s="102">
        <v>44270</v>
      </c>
      <c r="C9052" s="4">
        <v>91</v>
      </c>
      <c r="D9052" s="21">
        <f t="shared" si="776"/>
        <v>9119</v>
      </c>
      <c r="F9052" s="57">
        <f t="shared" si="775"/>
        <v>18</v>
      </c>
      <c r="G9052" s="238">
        <f>SUM(C9052,C9028,C9004,C8980,C8956,C8932,C8908,C8884,C8860,C8836,C8812,C8788,C8764,C8740)/POBLA!$B$3*100000</f>
        <v>260.20729928412902</v>
      </c>
      <c r="H9052" s="295">
        <f t="shared" si="777"/>
        <v>0.93189655172413788</v>
      </c>
    </row>
    <row r="9053" spans="1:8" x14ac:dyDescent="0.25">
      <c r="A9053" s="105" t="s">
        <v>16</v>
      </c>
      <c r="B9053" s="102">
        <v>44270</v>
      </c>
      <c r="C9053" s="4">
        <v>120</v>
      </c>
      <c r="D9053" s="21">
        <f t="shared" si="776"/>
        <v>36062</v>
      </c>
      <c r="E9053" s="4">
        <v>1</v>
      </c>
      <c r="F9053" s="57">
        <f t="shared" si="775"/>
        <v>895</v>
      </c>
      <c r="G9053" s="238">
        <f>SUM(C9053,C9029,C9005,C8981,C8957,C8933,C8909,C8885,C8861,C8837,C8813,C8789,C8765,C8741)/POBLA!$B$4*100000</f>
        <v>153.17037776215173</v>
      </c>
      <c r="H9053" s="295">
        <f t="shared" si="777"/>
        <v>1.0802107728337236</v>
      </c>
    </row>
    <row r="9054" spans="1:8" x14ac:dyDescent="0.25">
      <c r="A9054" s="105" t="s">
        <v>30</v>
      </c>
      <c r="B9054" s="102">
        <v>44270</v>
      </c>
      <c r="C9054" s="4">
        <v>123</v>
      </c>
      <c r="D9054" s="21">
        <f t="shared" si="776"/>
        <v>48251</v>
      </c>
      <c r="E9054" s="4">
        <v>3</v>
      </c>
      <c r="F9054" s="57">
        <f t="shared" si="775"/>
        <v>811</v>
      </c>
      <c r="G9054" s="238">
        <f>SUM(C9054,C9030,C9006,C8982,C8958,C8934,C8910,C8886,C8862,C8838,C8814,C8790,C8766,C8742)/POBLA!$B$5*100000</f>
        <v>200.80970090178579</v>
      </c>
      <c r="H9054" s="295">
        <f t="shared" si="777"/>
        <v>0.72435897435897434</v>
      </c>
    </row>
    <row r="9055" spans="1:8" x14ac:dyDescent="0.25">
      <c r="A9055" s="105" t="s">
        <v>31</v>
      </c>
      <c r="B9055" s="102">
        <v>44270</v>
      </c>
      <c r="C9055" s="4">
        <v>69</v>
      </c>
      <c r="D9055" s="21">
        <f t="shared" si="776"/>
        <v>25029</v>
      </c>
      <c r="F9055" s="57">
        <f t="shared" si="775"/>
        <v>306</v>
      </c>
      <c r="G9055" s="238">
        <f>SUM(C9055,C9031,C9007,C8983,C8959,C8935,C8911,C8887,C8863,C8839,C8815,C8791,C8767,C8743)/POBLA!$B$6*100000</f>
        <v>274.80346644944109</v>
      </c>
      <c r="H9055" s="295">
        <f t="shared" si="777"/>
        <v>1.337386018237082</v>
      </c>
    </row>
    <row r="9056" spans="1:8" x14ac:dyDescent="0.25">
      <c r="A9056" s="105" t="s">
        <v>21</v>
      </c>
      <c r="B9056" s="102">
        <v>44270</v>
      </c>
      <c r="C9056" s="4">
        <v>383</v>
      </c>
      <c r="D9056" s="21">
        <f t="shared" si="776"/>
        <v>168262</v>
      </c>
      <c r="E9056" s="4">
        <v>6</v>
      </c>
      <c r="F9056" s="57">
        <f t="shared" si="775"/>
        <v>2924</v>
      </c>
      <c r="G9056" s="238">
        <f>SUM(C9056,C9032,C9008,C8984,C8960,C8936,C8912,C8888,C8864,C8840,C8816,C8792,C8768,C8744)/POBLA!$B$7*100000</f>
        <v>212.50116342459015</v>
      </c>
      <c r="H9056" s="295">
        <f t="shared" si="777"/>
        <v>0.98642142945315392</v>
      </c>
    </row>
    <row r="9057" spans="1:8" x14ac:dyDescent="0.25">
      <c r="A9057" s="105" t="s">
        <v>32</v>
      </c>
      <c r="B9057" s="102">
        <v>44270</v>
      </c>
      <c r="C9057" s="4">
        <v>121</v>
      </c>
      <c r="D9057" s="21">
        <f t="shared" si="776"/>
        <v>46993</v>
      </c>
      <c r="E9057" s="4">
        <v>7</v>
      </c>
      <c r="F9057" s="57">
        <f t="shared" ref="F9057:F9080" si="778">E9057+F9033</f>
        <v>905</v>
      </c>
      <c r="G9057" s="238">
        <f>SUM(C9057,C9033,C9009,C8985,C8961,C8937,C8913,C8889,C8865,C8841,C8817,C8793,C8769,C8745)/POBLA!$B$8*100000</f>
        <v>125.11174556859827</v>
      </c>
      <c r="H9057" s="295">
        <f t="shared" si="777"/>
        <v>1.0321428571428573</v>
      </c>
    </row>
    <row r="9058" spans="1:8" x14ac:dyDescent="0.25">
      <c r="A9058" s="105" t="s">
        <v>42</v>
      </c>
      <c r="B9058" s="102">
        <v>44270</v>
      </c>
      <c r="C9058" s="4">
        <v>32</v>
      </c>
      <c r="D9058" s="21">
        <f t="shared" si="776"/>
        <v>1599</v>
      </c>
      <c r="F9058" s="57">
        <f t="shared" si="778"/>
        <v>20</v>
      </c>
      <c r="G9058" s="238">
        <f>SUM(C9058,C9034,C9010,C8986,C8962,C8938,C8914,C8890,C8866,C8842,C8818,C8794,C8770,C8746)/POBLA!$B$9*100000</f>
        <v>58.824209797535666</v>
      </c>
      <c r="H9058" s="295">
        <f t="shared" si="777"/>
        <v>1.3234200743494424</v>
      </c>
    </row>
    <row r="9059" spans="1:8" x14ac:dyDescent="0.25">
      <c r="A9059" s="105" t="s">
        <v>33</v>
      </c>
      <c r="B9059" s="102">
        <v>44270</v>
      </c>
      <c r="C9059" s="4">
        <v>28</v>
      </c>
      <c r="D9059" s="21">
        <f t="shared" si="776"/>
        <v>21709</v>
      </c>
      <c r="E9059" s="4">
        <v>4</v>
      </c>
      <c r="F9059" s="57">
        <f t="shared" si="778"/>
        <v>931</v>
      </c>
      <c r="G9059" s="238">
        <f>SUM(C9059,C9035,C9011,C8987,C8963,C8939,C8915,C8891,C8867,C8843,C8819,C8795,C8771,C8747)/POBLA!$B$10*100000</f>
        <v>118.43591942206386</v>
      </c>
      <c r="H9059" s="295">
        <f t="shared" si="777"/>
        <v>0.91482965931863724</v>
      </c>
    </row>
    <row r="9060" spans="1:8" x14ac:dyDescent="0.25">
      <c r="A9060" s="105" t="s">
        <v>34</v>
      </c>
      <c r="B9060" s="102">
        <v>44270</v>
      </c>
      <c r="C9060" s="4">
        <v>114</v>
      </c>
      <c r="D9060" s="21">
        <f t="shared" si="776"/>
        <v>19954</v>
      </c>
      <c r="E9060" s="4">
        <v>6</v>
      </c>
      <c r="F9060" s="57">
        <f t="shared" si="778"/>
        <v>305</v>
      </c>
      <c r="G9060" s="238">
        <f>SUM(C9060,C9036,C9012,C8988,C8964,C8940,C8916,C8892,C8868,C8844,C8820,C8796,C8772,C8748)/POBLA!$B$11*100000</f>
        <v>331.72631602441771</v>
      </c>
      <c r="H9060" s="295">
        <f t="shared" si="777"/>
        <v>1.165686274509804</v>
      </c>
    </row>
    <row r="9061" spans="1:8" x14ac:dyDescent="0.25">
      <c r="A9061" s="105" t="s">
        <v>22</v>
      </c>
      <c r="B9061" s="102">
        <v>44270</v>
      </c>
      <c r="C9061" s="4">
        <v>14</v>
      </c>
      <c r="D9061" s="21">
        <f t="shared" si="776"/>
        <v>10549</v>
      </c>
      <c r="F9061" s="57">
        <f t="shared" si="778"/>
        <v>445</v>
      </c>
      <c r="G9061" s="238">
        <f>SUM(C9061,C9037,C9013,C8989,C8965,C8941,C8917,C8893,C8869,C8845,C8821,C8797,C8773,C8749)/POBLA!$B$12*100000</f>
        <v>78.26575288859074</v>
      </c>
      <c r="H9061" s="295">
        <f t="shared" si="777"/>
        <v>0.81052631578947365</v>
      </c>
    </row>
    <row r="9062" spans="1:8" x14ac:dyDescent="0.25">
      <c r="A9062" s="105" t="s">
        <v>18</v>
      </c>
      <c r="B9062" s="102">
        <v>44270</v>
      </c>
      <c r="C9062" s="4">
        <v>125</v>
      </c>
      <c r="D9062" s="21">
        <f t="shared" si="776"/>
        <v>69493</v>
      </c>
      <c r="E9062" s="4">
        <v>3</v>
      </c>
      <c r="F9062" s="57">
        <f t="shared" si="778"/>
        <v>1480</v>
      </c>
      <c r="G9062" s="238">
        <f>SUM(C9062,C9038,C9014,C8990,C8966,C8942,C8918,C8894,C8870,C8846,C8822,C8798,C8774,C8750)/POBLA!$B$13*100000</f>
        <v>108.4740380779546</v>
      </c>
      <c r="H9062" s="295">
        <f t="shared" si="777"/>
        <v>1.3084848484848486</v>
      </c>
    </row>
    <row r="9063" spans="1:8" x14ac:dyDescent="0.25">
      <c r="A9063" s="105" t="s">
        <v>24</v>
      </c>
      <c r="B9063" s="102">
        <v>44270</v>
      </c>
      <c r="C9063" s="4">
        <v>118</v>
      </c>
      <c r="D9063" s="21">
        <f t="shared" si="776"/>
        <v>10088</v>
      </c>
      <c r="E9063" s="4">
        <v>1</v>
      </c>
      <c r="F9063" s="57">
        <f t="shared" si="778"/>
        <v>169</v>
      </c>
      <c r="G9063" s="238">
        <f>SUM(C9063,C9039,C9015,C8991,C8967,C8943,C8919,C8895,C8871,C8847,C8823,C8799,C8775,C8751)/POBLA!$B$14*100000</f>
        <v>135.4164849749543</v>
      </c>
      <c r="H9063" s="295">
        <f t="shared" si="777"/>
        <v>1.1156107119529719</v>
      </c>
    </row>
    <row r="9064" spans="1:8" x14ac:dyDescent="0.25">
      <c r="A9064" s="105" t="s">
        <v>20</v>
      </c>
      <c r="B9064" s="102">
        <v>44270</v>
      </c>
      <c r="C9064" s="4">
        <v>123</v>
      </c>
      <c r="D9064" s="21">
        <f t="shared" si="776"/>
        <v>63335</v>
      </c>
      <c r="F9064" s="57">
        <f t="shared" si="778"/>
        <v>956</v>
      </c>
      <c r="G9064" s="238">
        <f>SUM(C9064,C9040,C9016,C8992,C8968,C8944,C8920,C8896,C8872,C8848,C8824,C8800,C8776,C8752)/POBLA!$B$15*100000</f>
        <v>302.9860388490747</v>
      </c>
      <c r="H9064" s="295">
        <f t="shared" si="777"/>
        <v>0.80095541401273884</v>
      </c>
    </row>
    <row r="9065" spans="1:8" x14ac:dyDescent="0.25">
      <c r="A9065" s="105" t="s">
        <v>19</v>
      </c>
      <c r="B9065" s="102">
        <v>44270</v>
      </c>
      <c r="C9065" s="4">
        <v>94</v>
      </c>
      <c r="D9065" s="21">
        <f t="shared" si="776"/>
        <v>53881</v>
      </c>
      <c r="E9065" s="4">
        <v>3</v>
      </c>
      <c r="F9065" s="57">
        <f t="shared" si="778"/>
        <v>1240</v>
      </c>
      <c r="G9065" s="238">
        <f>SUM(C9065,C9041,C9017,C8993,C8969,C8945,C8921,C8897,C8873,C8849,C8825,C8801,C8777,C8753)/POBLA!$B$16*100000</f>
        <v>193.14883428525567</v>
      </c>
      <c r="H9065" s="295">
        <f t="shared" si="777"/>
        <v>0.82373074729035933</v>
      </c>
    </row>
    <row r="9066" spans="1:8" x14ac:dyDescent="0.25">
      <c r="A9066" s="105" t="s">
        <v>35</v>
      </c>
      <c r="B9066" s="102">
        <v>44270</v>
      </c>
      <c r="C9066" s="4">
        <v>63</v>
      </c>
      <c r="D9066" s="21">
        <f t="shared" si="776"/>
        <v>27690</v>
      </c>
      <c r="E9066" s="4">
        <v>3</v>
      </c>
      <c r="F9066" s="57">
        <f t="shared" si="778"/>
        <v>1145</v>
      </c>
      <c r="G9066" s="238">
        <f>SUM(C9066,C9042,C9018,C8994,C8970,C8946,C8922,C8898,C8874,C8850,C8826,C8802,C8778,C8754)/POBLA!$B$17*100000</f>
        <v>104.81628366249015</v>
      </c>
      <c r="H9066" s="295">
        <f t="shared" ref="H9066:H9089" si="779">SUM(C9066,C9042,C9018,C8994,C8970,C8946,C8922,C8898,C8874,C8850,C8826,C8802,C8778,C8754)/SUM(C8730,C8706,C8682,C8658,C8634,C8610,C8586,C8562,C8538,C8514,C8490,C8466,C8442,C8418)</f>
        <v>1.1125186289120714</v>
      </c>
    </row>
    <row r="9067" spans="1:8" x14ac:dyDescent="0.25">
      <c r="A9067" s="105" t="s">
        <v>36</v>
      </c>
      <c r="B9067" s="102">
        <v>44270</v>
      </c>
      <c r="C9067" s="4">
        <v>69</v>
      </c>
      <c r="D9067" s="21">
        <f t="shared" si="776"/>
        <v>15943</v>
      </c>
      <c r="F9067" s="57">
        <f t="shared" si="778"/>
        <v>217</v>
      </c>
      <c r="G9067" s="238">
        <f>SUM(C9067,C9043,C9019,C8995,C8971,C8947,C8923,C8899,C8875,C8851,C8827,C8803,C8779,C8755)/POBLA!$B$18*100000</f>
        <v>83.331519923401558</v>
      </c>
      <c r="H9067" s="295">
        <f t="shared" si="779"/>
        <v>0.96301775147928992</v>
      </c>
    </row>
    <row r="9068" spans="1:8" x14ac:dyDescent="0.25">
      <c r="A9068" s="105" t="s">
        <v>37</v>
      </c>
      <c r="B9068" s="102">
        <v>44270</v>
      </c>
      <c r="C9068" s="4">
        <v>1</v>
      </c>
      <c r="D9068" s="21">
        <f t="shared" si="776"/>
        <v>21519</v>
      </c>
      <c r="F9068" s="57">
        <f t="shared" si="778"/>
        <v>361</v>
      </c>
      <c r="G9068" s="238">
        <f>SUM(C9068,C9044,C9020,C8996,C8972,C8948,C8924,C8900,C8876,C8852,C8828,C8804,C8780,C8756)/POBLA!$B$19*100000</f>
        <v>146.16546796556554</v>
      </c>
      <c r="H9068" s="295">
        <f t="shared" si="779"/>
        <v>1.0721500721500721</v>
      </c>
    </row>
    <row r="9069" spans="1:8" x14ac:dyDescent="0.25">
      <c r="A9069" s="105" t="s">
        <v>38</v>
      </c>
      <c r="B9069" s="102">
        <v>44270</v>
      </c>
      <c r="C9069" s="4">
        <v>84</v>
      </c>
      <c r="D9069" s="21">
        <f t="shared" si="776"/>
        <v>37469</v>
      </c>
      <c r="E9069" s="4">
        <v>1</v>
      </c>
      <c r="F9069" s="57">
        <f t="shared" si="778"/>
        <v>612</v>
      </c>
      <c r="G9069" s="238">
        <f>SUM(C9069,C9045,C9021,C8997,C8973,C8949,C8925,C8901,C8877,C8853,C8829,C8805,C8781,C8757)/POBLA!$B$20*100000</f>
        <v>403.3382736574988</v>
      </c>
      <c r="H9069" s="295">
        <f t="shared" si="779"/>
        <v>1.0438782731776362</v>
      </c>
    </row>
    <row r="9070" spans="1:8" x14ac:dyDescent="0.25">
      <c r="A9070" s="105" t="s">
        <v>23</v>
      </c>
      <c r="B9070" s="102">
        <v>44270</v>
      </c>
      <c r="C9070" s="4">
        <v>333</v>
      </c>
      <c r="D9070" s="21">
        <f t="shared" si="776"/>
        <v>222647</v>
      </c>
      <c r="E9070" s="4">
        <v>14</v>
      </c>
      <c r="F9070" s="57">
        <f t="shared" si="778"/>
        <v>4119</v>
      </c>
      <c r="G9070" s="238">
        <f>SUM(C9070,C9046,C9022,C8998,C8974,C8950,C8926,C8902,C8878,C8854,C8830,C8806,C8782,C8758)/POBLA!$B$21*100000</f>
        <v>165.93061114381842</v>
      </c>
      <c r="H9070" s="295">
        <f t="shared" si="779"/>
        <v>1.2453310696095077</v>
      </c>
    </row>
    <row r="9071" spans="1:8" x14ac:dyDescent="0.25">
      <c r="A9071" s="105" t="s">
        <v>39</v>
      </c>
      <c r="B9071" s="102">
        <v>44270</v>
      </c>
      <c r="C9071" s="4">
        <v>71</v>
      </c>
      <c r="D9071" s="21">
        <f t="shared" si="776"/>
        <v>23531</v>
      </c>
      <c r="F9071" s="57">
        <f t="shared" si="778"/>
        <v>276</v>
      </c>
      <c r="G9071" s="238">
        <f>SUM(C9071,C9047,C9023,C8999,C8975,C8951,C8927,C8903,C8879,C8855,C8831,C8807,C8783,C8759)/POBLA!$B$22*100000</f>
        <v>85.759874396026632</v>
      </c>
      <c r="H9071" s="295">
        <f t="shared" si="779"/>
        <v>1.0396530359355638</v>
      </c>
    </row>
    <row r="9072" spans="1:8" x14ac:dyDescent="0.25">
      <c r="A9072" s="105" t="s">
        <v>40</v>
      </c>
      <c r="B9072" s="102">
        <v>44270</v>
      </c>
      <c r="C9072" s="4">
        <v>35</v>
      </c>
      <c r="D9072" s="21">
        <f t="shared" si="776"/>
        <v>23398</v>
      </c>
      <c r="F9072" s="57">
        <f t="shared" si="778"/>
        <v>358</v>
      </c>
      <c r="G9072" s="238">
        <f>SUM(C9072,C9048,C9024,C9000,C8976,C8952,C8928,C8904,C8880,C8856,C8832,C8808,C8784,C8760)/POBLA!$B$23*100000</f>
        <v>241.47486286263646</v>
      </c>
      <c r="H9072" s="295">
        <f t="shared" si="779"/>
        <v>0.83725490196078434</v>
      </c>
    </row>
    <row r="9073" spans="1:8" ht="15.75" thickBot="1" x14ac:dyDescent="0.3">
      <c r="A9073" s="106" t="s">
        <v>41</v>
      </c>
      <c r="B9073" s="102">
        <v>44270</v>
      </c>
      <c r="C9073" s="4">
        <v>257</v>
      </c>
      <c r="D9073" s="98">
        <f t="shared" si="776"/>
        <v>82413</v>
      </c>
      <c r="F9073" s="255">
        <f t="shared" si="778"/>
        <v>1491</v>
      </c>
      <c r="G9073" s="256">
        <f>SUM(C9073,C9049,C9025,C9001,C8977,C8953,C8929,C8905,C8881,C8857,C8833,C8809,C8785,C8761)/POBLA!$B$24*100000</f>
        <v>146.75544771328222</v>
      </c>
      <c r="H9073" s="296">
        <f t="shared" si="779"/>
        <v>1.3824346859366314</v>
      </c>
    </row>
    <row r="9074" spans="1:8" x14ac:dyDescent="0.25">
      <c r="A9074" s="45" t="s">
        <v>17</v>
      </c>
      <c r="B9074" s="102">
        <v>44271</v>
      </c>
      <c r="C9074" s="4">
        <v>3762</v>
      </c>
      <c r="D9074" s="97">
        <f t="shared" si="776"/>
        <v>923672</v>
      </c>
      <c r="E9074" s="4">
        <v>139</v>
      </c>
      <c r="F9074" s="250">
        <f t="shared" si="778"/>
        <v>27295</v>
      </c>
      <c r="G9074" s="251">
        <f>SUM(C9074,C9050,C9026,C9002,C8978,C8954,C8930,C8906,C8882,C8858,C8834,C8810,C8786,C8762)/POBLA!$B$1*100000</f>
        <v>221.96389619124551</v>
      </c>
      <c r="H9074" s="294">
        <f t="shared" si="779"/>
        <v>1.0730920816911502</v>
      </c>
    </row>
    <row r="9075" spans="1:8" x14ac:dyDescent="0.25">
      <c r="A9075" s="105" t="s">
        <v>44</v>
      </c>
      <c r="B9075" s="102">
        <v>44271</v>
      </c>
      <c r="C9075" s="4">
        <v>967</v>
      </c>
      <c r="D9075" s="21">
        <f t="shared" si="776"/>
        <v>244009</v>
      </c>
      <c r="E9075" s="4">
        <v>7</v>
      </c>
      <c r="F9075" s="57">
        <f t="shared" si="778"/>
        <v>6709</v>
      </c>
      <c r="G9075" s="238">
        <f>SUM(C9075,C9051,C9027,C9003,C8979,C8955,C8931,C8907,C8883,C8859,C8835,C8811,C8787,C8763)/POBLA!$B$2*100000</f>
        <v>358.72138731180377</v>
      </c>
      <c r="H9075" s="295">
        <f t="shared" si="779"/>
        <v>1.1489117983963344</v>
      </c>
    </row>
    <row r="9076" spans="1:8" x14ac:dyDescent="0.25">
      <c r="A9076" s="105" t="s">
        <v>29</v>
      </c>
      <c r="B9076" s="102">
        <v>44271</v>
      </c>
      <c r="C9076" s="4">
        <v>127</v>
      </c>
      <c r="D9076" s="21">
        <f t="shared" si="776"/>
        <v>9246</v>
      </c>
      <c r="F9076" s="57">
        <f t="shared" si="778"/>
        <v>18</v>
      </c>
      <c r="G9076" s="238">
        <f>SUM(C9076,C9052,C9028,C9004,C8980,C8956,C8932,C8908,C8884,C8860,C8836,C8812,C8788,C8764)/POBLA!$B$3*100000</f>
        <v>268.39143265661784</v>
      </c>
      <c r="H9076" s="295">
        <f t="shared" si="779"/>
        <v>0.89271417133706965</v>
      </c>
    </row>
    <row r="9077" spans="1:8" x14ac:dyDescent="0.25">
      <c r="A9077" s="105" t="s">
        <v>16</v>
      </c>
      <c r="B9077" s="102">
        <v>44271</v>
      </c>
      <c r="C9077" s="4">
        <v>124</v>
      </c>
      <c r="D9077" s="21">
        <f t="shared" si="776"/>
        <v>36186</v>
      </c>
      <c r="E9077" s="4">
        <v>1</v>
      </c>
      <c r="F9077" s="57">
        <f t="shared" si="778"/>
        <v>896</v>
      </c>
      <c r="G9077" s="238">
        <f>SUM(C9077,C9053,C9029,C9005,C8981,C8957,C8933,C8909,C8885,C8861,C8837,C8813,C8789,C8765)/POBLA!$B$4*100000</f>
        <v>154.08358868647892</v>
      </c>
      <c r="H9077" s="295">
        <f t="shared" si="779"/>
        <v>1.0605714285714285</v>
      </c>
    </row>
    <row r="9078" spans="1:8" x14ac:dyDescent="0.25">
      <c r="A9078" s="105" t="s">
        <v>30</v>
      </c>
      <c r="B9078" s="102">
        <v>44271</v>
      </c>
      <c r="C9078" s="4">
        <v>100</v>
      </c>
      <c r="D9078" s="21">
        <f t="shared" si="776"/>
        <v>48351</v>
      </c>
      <c r="E9078" s="4">
        <v>1</v>
      </c>
      <c r="F9078" s="57">
        <f t="shared" si="778"/>
        <v>812</v>
      </c>
      <c r="G9078" s="238">
        <f>SUM(C9078,C9054,C9030,C9006,C8982,C8958,C8934,C8910,C8886,C8862,C8838,C8814,C8790,C8766)/POBLA!$B$5*100000</f>
        <v>195.80157481332614</v>
      </c>
      <c r="H9078" s="295">
        <f t="shared" si="779"/>
        <v>0.67109634551495012</v>
      </c>
    </row>
    <row r="9079" spans="1:8" x14ac:dyDescent="0.25">
      <c r="A9079" s="105" t="s">
        <v>31</v>
      </c>
      <c r="B9079" s="102">
        <v>44271</v>
      </c>
      <c r="C9079" s="4">
        <v>168</v>
      </c>
      <c r="D9079" s="21">
        <f t="shared" si="776"/>
        <v>25197</v>
      </c>
      <c r="F9079" s="57">
        <f t="shared" si="778"/>
        <v>306</v>
      </c>
      <c r="G9079" s="238">
        <f>SUM(C9079,C9055,C9031,C9007,C8983,C8959,C8935,C8911,C8887,C8863,C8839,C8815,C8791,C8767)/POBLA!$B$6*100000</f>
        <v>279.88911501684959</v>
      </c>
      <c r="H9079" s="295">
        <f t="shared" si="779"/>
        <v>1.6270746887966805</v>
      </c>
    </row>
    <row r="9080" spans="1:8" x14ac:dyDescent="0.25">
      <c r="A9080" s="105" t="s">
        <v>21</v>
      </c>
      <c r="B9080" s="102">
        <v>44271</v>
      </c>
      <c r="C9080" s="4">
        <v>809</v>
      </c>
      <c r="D9080" s="21">
        <f t="shared" si="776"/>
        <v>169071</v>
      </c>
      <c r="E9080" s="4">
        <v>16</v>
      </c>
      <c r="F9080" s="57">
        <f t="shared" si="778"/>
        <v>2940</v>
      </c>
      <c r="G9080" s="238">
        <f>SUM(C9080,C9056,C9032,C9008,C8984,C8960,C8936,C8912,C8888,C8864,C8840,C8816,C8792,C8768)/POBLA!$B$7*100000</f>
        <v>213.3255328484623</v>
      </c>
      <c r="H9080" s="295">
        <f>SUM(C9080,C9056,C9032,C9008,C8984,C8960,C8936,C8912,C8888,C8864,C8840,C8816,C8792,C8768)/SUM(C8744,C8720,C8696,C8672,C8648,C8624,C8600,C8576,C8552,C8528,C8504,C8480,C8456,C8432)</f>
        <v>0.93540111940298509</v>
      </c>
    </row>
    <row r="9081" spans="1:8" x14ac:dyDescent="0.25">
      <c r="A9081" s="105" t="s">
        <v>32</v>
      </c>
      <c r="B9081" s="102">
        <v>44271</v>
      </c>
      <c r="C9081" s="4">
        <v>200</v>
      </c>
      <c r="D9081" s="21">
        <f t="shared" si="776"/>
        <v>47193</v>
      </c>
      <c r="E9081" s="4">
        <v>3</v>
      </c>
      <c r="F9081" s="57">
        <f t="shared" ref="F9081:F9104" si="780">E9081+F9057</f>
        <v>908</v>
      </c>
      <c r="G9081" s="238">
        <f>SUM(C9081,C9057,C9033,C9009,C8985,C8961,C8937,C8913,C8889,C8865,C8841,C8817,C8793,C8769)/POBLA!$B$8*100000</f>
        <v>132.39910791140588</v>
      </c>
      <c r="H9081" s="295">
        <f t="shared" si="779"/>
        <v>1.0948687350835322</v>
      </c>
    </row>
    <row r="9082" spans="1:8" x14ac:dyDescent="0.25">
      <c r="A9082" s="105" t="s">
        <v>42</v>
      </c>
      <c r="B9082" s="102">
        <v>44271</v>
      </c>
      <c r="C9082" s="4">
        <v>27</v>
      </c>
      <c r="D9082" s="21">
        <f t="shared" si="776"/>
        <v>1626</v>
      </c>
      <c r="F9082" s="57">
        <f t="shared" si="780"/>
        <v>20</v>
      </c>
      <c r="G9082" s="238">
        <f>SUM(C9082,C9058,C9034,C9010,C8986,C8962,C8938,C8914,C8890,C8866,C8842,C8818,C8794,C8770)/POBLA!$B$9*100000</f>
        <v>60.972284874411962</v>
      </c>
      <c r="H9082" s="295">
        <f t="shared" si="779"/>
        <v>1.3225806451612903</v>
      </c>
    </row>
    <row r="9083" spans="1:8" x14ac:dyDescent="0.25">
      <c r="A9083" s="105" t="s">
        <v>33</v>
      </c>
      <c r="B9083" s="102">
        <v>44271</v>
      </c>
      <c r="C9083" s="4">
        <v>54</v>
      </c>
      <c r="D9083" s="21">
        <f t="shared" si="776"/>
        <v>21763</v>
      </c>
      <c r="E9083" s="4">
        <v>1</v>
      </c>
      <c r="F9083" s="57">
        <f t="shared" si="780"/>
        <v>932</v>
      </c>
      <c r="G9083" s="238">
        <f>SUM(C9083,C9059,C9035,C9011,C8987,C8963,C8939,C8915,C8891,C8867,C8843,C8819,C8795,C8771)/POBLA!$B$10*100000</f>
        <v>113.50649451731202</v>
      </c>
      <c r="H9083" s="295">
        <f t="shared" si="779"/>
        <v>0.82469368520263897</v>
      </c>
    </row>
    <row r="9084" spans="1:8" x14ac:dyDescent="0.25">
      <c r="A9084" s="105" t="s">
        <v>34</v>
      </c>
      <c r="B9084" s="102">
        <v>44271</v>
      </c>
      <c r="C9084" s="4">
        <v>114</v>
      </c>
      <c r="D9084" s="21">
        <f t="shared" si="776"/>
        <v>20068</v>
      </c>
      <c r="F9084" s="57">
        <f t="shared" si="780"/>
        <v>305</v>
      </c>
      <c r="G9084" s="238">
        <f>SUM(C9084,C9060,C9036,C9012,C8988,C8964,C8940,C8916,C8892,C8868,C8844,C8820,C8796,C8772)/POBLA!$B$11*100000</f>
        <v>340.09619784168643</v>
      </c>
      <c r="H9084" s="295">
        <f t="shared" si="779"/>
        <v>1.159847764034253</v>
      </c>
    </row>
    <row r="9085" spans="1:8" x14ac:dyDescent="0.25">
      <c r="A9085" s="105" t="s">
        <v>22</v>
      </c>
      <c r="B9085" s="102">
        <v>44271</v>
      </c>
      <c r="C9085" s="4">
        <v>17</v>
      </c>
      <c r="D9085" s="21">
        <f t="shared" si="776"/>
        <v>10566</v>
      </c>
      <c r="E9085" s="4">
        <v>2</v>
      </c>
      <c r="F9085" s="57">
        <f t="shared" si="780"/>
        <v>447</v>
      </c>
      <c r="G9085" s="238">
        <f>SUM(C9085,C9061,C9037,C9013,C8989,C8965,C8941,C8917,C8893,C8869,C8845,C8821,C8797,C8773)/POBLA!$B$12*100000</f>
        <v>76.741095364787014</v>
      </c>
      <c r="H9085" s="295">
        <f t="shared" si="779"/>
        <v>0.78851174934725854</v>
      </c>
    </row>
    <row r="9086" spans="1:8" x14ac:dyDescent="0.25">
      <c r="A9086" s="105" t="s">
        <v>18</v>
      </c>
      <c r="B9086" s="102">
        <v>44271</v>
      </c>
      <c r="C9086" s="4">
        <v>165</v>
      </c>
      <c r="D9086" s="21">
        <f t="shared" si="776"/>
        <v>69658</v>
      </c>
      <c r="E9086" s="4">
        <v>2</v>
      </c>
      <c r="F9086" s="57">
        <f t="shared" si="780"/>
        <v>1482</v>
      </c>
      <c r="G9086" s="238">
        <f>SUM(C9086,C9062,C9038,C9014,C8990,C8966,C8942,C8918,C8894,C8870,C8846,C8822,C8798,C8774)/POBLA!$B$13*100000</f>
        <v>109.42864980721866</v>
      </c>
      <c r="H9086" s="295">
        <f t="shared" si="779"/>
        <v>1.2445714285714287</v>
      </c>
    </row>
    <row r="9087" spans="1:8" x14ac:dyDescent="0.25">
      <c r="A9087" s="105" t="s">
        <v>24</v>
      </c>
      <c r="B9087" s="102">
        <v>44271</v>
      </c>
      <c r="C9087" s="4">
        <v>101</v>
      </c>
      <c r="D9087" s="21">
        <f t="shared" si="776"/>
        <v>10189</v>
      </c>
      <c r="E9087" s="4">
        <v>3</v>
      </c>
      <c r="F9087" s="57">
        <f t="shared" si="780"/>
        <v>172</v>
      </c>
      <c r="G9087" s="238">
        <f>SUM(C9087,C9063,C9039,C9015,C8991,C8967,C8943,C8919,C8895,C8871,C8847,C8823,C8799,C8775)/POBLA!$B$14*100000</f>
        <v>131.21445119060266</v>
      </c>
      <c r="H9087" s="295">
        <f t="shared" si="779"/>
        <v>1.0541401273885351</v>
      </c>
    </row>
    <row r="9088" spans="1:8" x14ac:dyDescent="0.25">
      <c r="A9088" s="105" t="s">
        <v>20</v>
      </c>
      <c r="B9088" s="102">
        <v>44271</v>
      </c>
      <c r="C9088" s="4">
        <v>127</v>
      </c>
      <c r="D9088" s="21">
        <f t="shared" si="776"/>
        <v>63462</v>
      </c>
      <c r="F9088" s="57">
        <f t="shared" si="780"/>
        <v>956</v>
      </c>
      <c r="G9088" s="238">
        <f>SUM(C9088,C9064,C9040,C9016,C8992,C8968,C8944,C8920,C8896,C8872,C8848,C8824,C8800,C8776)/POBLA!$B$15*100000</f>
        <v>295.607154205136</v>
      </c>
      <c r="H9088" s="295">
        <f t="shared" si="779"/>
        <v>0.76203416149068326</v>
      </c>
    </row>
    <row r="9089" spans="1:8" x14ac:dyDescent="0.25">
      <c r="A9089" s="105" t="s">
        <v>19</v>
      </c>
      <c r="B9089" s="102">
        <v>44271</v>
      </c>
      <c r="C9089" s="4">
        <v>115</v>
      </c>
      <c r="D9089" s="21">
        <f t="shared" si="776"/>
        <v>53996</v>
      </c>
      <c r="E9089" s="4">
        <v>3</v>
      </c>
      <c r="F9089" s="57">
        <f t="shared" si="780"/>
        <v>1243</v>
      </c>
      <c r="G9089" s="238">
        <f>SUM(C9089,C9065,C9041,C9017,C8993,C8969,C8945,C8921,C8897,C8873,C8849,C8825,C8801,C8777)/POBLA!$B$16*100000</f>
        <v>192.4800363826059</v>
      </c>
      <c r="H9089" s="295">
        <f t="shared" si="779"/>
        <v>0.81761363636363638</v>
      </c>
    </row>
    <row r="9090" spans="1:8" x14ac:dyDescent="0.25">
      <c r="A9090" s="105" t="s">
        <v>35</v>
      </c>
      <c r="B9090" s="102">
        <v>44271</v>
      </c>
      <c r="C9090" s="4">
        <v>131</v>
      </c>
      <c r="D9090" s="21">
        <f t="shared" si="776"/>
        <v>27821</v>
      </c>
      <c r="E9090" s="4">
        <v>5</v>
      </c>
      <c r="F9090" s="57">
        <f t="shared" si="780"/>
        <v>1150</v>
      </c>
      <c r="G9090" s="238">
        <f>SUM(C9090,C9066,C9042,C9018,C8994,C8970,C8946,C8922,C8898,C8874,C8850,C8826,C8802,C8778)/POBLA!$B$17*100000</f>
        <v>106.78202776332722</v>
      </c>
      <c r="H9090" s="295">
        <f t="shared" ref="H9090:H9103" si="781">SUM(C9090,C9066,C9042,C9018,C8994,C8970,C8946,C8922,C8898,C8874,C8850,C8826,C8802,C8778)/SUM(C8754,C8730,C8706,C8682,C8658,C8634,C8610,C8586,C8562,C8538,C8514,C8490,C8466,C8442)</f>
        <v>1.087205146533238</v>
      </c>
    </row>
    <row r="9091" spans="1:8" x14ac:dyDescent="0.25">
      <c r="A9091" s="105" t="s">
        <v>36</v>
      </c>
      <c r="B9091" s="102">
        <v>44271</v>
      </c>
      <c r="C9091" s="4">
        <v>74</v>
      </c>
      <c r="D9091" s="21">
        <f t="shared" si="776"/>
        <v>16017</v>
      </c>
      <c r="E9091" s="4">
        <v>1</v>
      </c>
      <c r="F9091" s="57">
        <f t="shared" si="780"/>
        <v>218</v>
      </c>
      <c r="G9091" s="238">
        <f>SUM(C9091,C9067,C9043,C9019,C8995,C8971,C8947,C8923,C8899,C8875,C8851,C8827,C8803,C8779)/POBLA!$B$18*100000</f>
        <v>86.275644283214518</v>
      </c>
      <c r="H9091" s="295">
        <f t="shared" si="781"/>
        <v>0.98682284040995605</v>
      </c>
    </row>
    <row r="9092" spans="1:8" x14ac:dyDescent="0.25">
      <c r="A9092" s="105" t="s">
        <v>37</v>
      </c>
      <c r="B9092" s="102">
        <v>44271</v>
      </c>
      <c r="C9092" s="4">
        <v>1</v>
      </c>
      <c r="D9092" s="21">
        <f t="shared" si="776"/>
        <v>21520</v>
      </c>
      <c r="F9092" s="57">
        <f t="shared" si="780"/>
        <v>361</v>
      </c>
      <c r="G9092" s="238">
        <f>SUM(C9092,C9068,C9044,C9020,C8996,C8972,C8948,C8924,C8900,C8876,C8852,C8828,C8804,C8780)/POBLA!$B$19*100000</f>
        <v>145.1818510882737</v>
      </c>
      <c r="H9092" s="295">
        <f t="shared" si="781"/>
        <v>1.3155080213903743</v>
      </c>
    </row>
    <row r="9093" spans="1:8" x14ac:dyDescent="0.25">
      <c r="A9093" s="105" t="s">
        <v>38</v>
      </c>
      <c r="B9093" s="102">
        <v>44271</v>
      </c>
      <c r="C9093" s="4">
        <v>105</v>
      </c>
      <c r="D9093" s="21">
        <f t="shared" si="776"/>
        <v>37574</v>
      </c>
      <c r="E9093" s="4">
        <v>1</v>
      </c>
      <c r="F9093" s="57">
        <f t="shared" si="780"/>
        <v>613</v>
      </c>
      <c r="G9093" s="238">
        <f>SUM(C9093,C9069,C9045,C9021,C8997,C8973,C8949,C8925,C8901,C8877,C8853,C8829,C8805,C8781)/POBLA!$B$20*100000</f>
        <v>403.61172333455477</v>
      </c>
      <c r="H9093" s="295">
        <f t="shared" si="781"/>
        <v>1.0075085324232083</v>
      </c>
    </row>
    <row r="9094" spans="1:8" x14ac:dyDescent="0.25">
      <c r="A9094" s="105" t="s">
        <v>23</v>
      </c>
      <c r="B9094" s="102">
        <v>44271</v>
      </c>
      <c r="C9094" s="4">
        <v>583</v>
      </c>
      <c r="D9094" s="21">
        <f t="shared" si="776"/>
        <v>223230</v>
      </c>
      <c r="E9094" s="4">
        <v>17</v>
      </c>
      <c r="F9094" s="57">
        <f t="shared" si="780"/>
        <v>4136</v>
      </c>
      <c r="G9094" s="238">
        <f>SUM(C9094,C9070,C9046,C9022,C8998,C8974,C8950,C8926,C8902,C8878,C8854,C8830,C8806,C8782)/POBLA!$B$21*100000</f>
        <v>170.85084398959626</v>
      </c>
      <c r="H9094" s="295">
        <f t="shared" si="781"/>
        <v>1.2228293867638129</v>
      </c>
    </row>
    <row r="9095" spans="1:8" x14ac:dyDescent="0.25">
      <c r="A9095" s="105" t="s">
        <v>39</v>
      </c>
      <c r="B9095" s="102">
        <v>44271</v>
      </c>
      <c r="C9095" s="4">
        <v>76</v>
      </c>
      <c r="D9095" s="21">
        <f t="shared" si="776"/>
        <v>23607</v>
      </c>
      <c r="F9095" s="57">
        <f t="shared" si="780"/>
        <v>276</v>
      </c>
      <c r="G9095" s="238">
        <f>SUM(C9095,C9071,C9047,C9023,C8999,C8975,C8951,C8927,C8903,C8879,C8855,C8831,C8807,C8783)/POBLA!$B$22*100000</f>
        <v>89.439678303365085</v>
      </c>
      <c r="H9095" s="295">
        <f t="shared" si="781"/>
        <v>1.0696821515892421</v>
      </c>
    </row>
    <row r="9096" spans="1:8" x14ac:dyDescent="0.25">
      <c r="A9096" s="105" t="s">
        <v>40</v>
      </c>
      <c r="B9096" s="102">
        <v>44271</v>
      </c>
      <c r="C9096" s="4">
        <v>18</v>
      </c>
      <c r="D9096" s="21">
        <f t="shared" si="776"/>
        <v>23416</v>
      </c>
      <c r="F9096" s="57">
        <f t="shared" si="780"/>
        <v>358</v>
      </c>
      <c r="G9096" s="238">
        <f>SUM(C9096,C9072,C9048,C9024,C9000,C8976,C8952,C8928,C8904,C8880,C8856,C8832,C8808,C8784)/POBLA!$B$23*100000</f>
        <v>220.55081151388339</v>
      </c>
      <c r="H9096" s="295">
        <f t="shared" si="781"/>
        <v>0.71823204419889508</v>
      </c>
    </row>
    <row r="9097" spans="1:8" ht="15.75" thickBot="1" x14ac:dyDescent="0.3">
      <c r="A9097" s="106" t="s">
        <v>41</v>
      </c>
      <c r="B9097" s="102">
        <v>44271</v>
      </c>
      <c r="C9097" s="4">
        <v>270</v>
      </c>
      <c r="D9097" s="98">
        <f t="shared" si="776"/>
        <v>82683</v>
      </c>
      <c r="F9097" s="255">
        <f t="shared" si="780"/>
        <v>1491</v>
      </c>
      <c r="G9097" s="256">
        <f>SUM(C9097,C9073,C9049,C9025,C9001,C8977,C8953,C8929,C8905,C8881,C8857,C8833,C8809,C8785)/POBLA!$B$24*100000</f>
        <v>152.47932323728236</v>
      </c>
      <c r="H9097" s="296">
        <f t="shared" si="781"/>
        <v>1.3564304461942258</v>
      </c>
    </row>
    <row r="9098" spans="1:8" x14ac:dyDescent="0.25">
      <c r="A9098" s="45" t="s">
        <v>17</v>
      </c>
      <c r="B9098" s="102">
        <v>44272</v>
      </c>
      <c r="C9098" s="4">
        <v>3596</v>
      </c>
      <c r="D9098" s="97">
        <f t="shared" si="776"/>
        <v>927268</v>
      </c>
      <c r="E9098" s="4">
        <v>75</v>
      </c>
      <c r="F9098" s="250">
        <f t="shared" si="780"/>
        <v>27370</v>
      </c>
      <c r="G9098" s="251">
        <f>SUM(C9098,C9074,C9050,C9026,C9002,C8978,C8954,C8930,C8906,C8882,C8858,C8834,C8810,C8786)/POBLA!$B$1*100000</f>
        <v>222.73921633718126</v>
      </c>
      <c r="H9098" s="294">
        <f t="shared" si="781"/>
        <v>1.0519641366683719</v>
      </c>
    </row>
    <row r="9099" spans="1:8" x14ac:dyDescent="0.25">
      <c r="A9099" s="105" t="s">
        <v>44</v>
      </c>
      <c r="B9099" s="102">
        <v>44272</v>
      </c>
      <c r="C9099" s="4">
        <v>929</v>
      </c>
      <c r="D9099" s="21">
        <f t="shared" ref="D9099:D9162" si="782">C9099+D9075</f>
        <v>244938</v>
      </c>
      <c r="E9099" s="4">
        <v>12</v>
      </c>
      <c r="F9099" s="57">
        <f t="shared" si="780"/>
        <v>6721</v>
      </c>
      <c r="G9099" s="238">
        <f>SUM(C9099,C9075,C9051,C9027,C9003,C8979,C8955,C8931,C8907,C8883,C8859,C8835,C8811,C8787)/POBLA!$B$2*100000</f>
        <v>360.99733194262279</v>
      </c>
      <c r="H9099" s="295">
        <f t="shared" si="781"/>
        <v>1.1448752320065994</v>
      </c>
    </row>
    <row r="9100" spans="1:8" x14ac:dyDescent="0.25">
      <c r="A9100" s="105" t="s">
        <v>29</v>
      </c>
      <c r="B9100" s="102">
        <v>44272</v>
      </c>
      <c r="C9100" s="4">
        <v>112</v>
      </c>
      <c r="D9100" s="21">
        <f t="shared" si="782"/>
        <v>9358</v>
      </c>
      <c r="F9100" s="57">
        <f t="shared" si="780"/>
        <v>18</v>
      </c>
      <c r="G9100" s="238">
        <f>SUM(C9100,C9076,C9052,C9028,C9004,C8980,C8956,C8932,C8908,C8884,C8860,C8836,C8812,C8788)/POBLA!$B$3*100000</f>
        <v>282.59331115593665</v>
      </c>
      <c r="H9100" s="295">
        <f t="shared" si="781"/>
        <v>0.96150696150696147</v>
      </c>
    </row>
    <row r="9101" spans="1:8" x14ac:dyDescent="0.25">
      <c r="A9101" s="105" t="s">
        <v>16</v>
      </c>
      <c r="B9101" s="102">
        <v>44272</v>
      </c>
      <c r="C9101" s="4">
        <v>139</v>
      </c>
      <c r="D9101" s="21">
        <f t="shared" si="782"/>
        <v>36325</v>
      </c>
      <c r="E9101" s="4">
        <v>4</v>
      </c>
      <c r="F9101" s="57">
        <f t="shared" si="780"/>
        <v>900</v>
      </c>
      <c r="G9101" s="238">
        <f>SUM(C9101,C9077,C9053,C9029,C9005,C8981,C8957,C8933,C8909,C8885,C8861,C8837,C8813,C8789)/POBLA!$B$4*100000</f>
        <v>151.17791756361967</v>
      </c>
      <c r="H9101" s="295">
        <f t="shared" si="781"/>
        <v>1.0005494505494505</v>
      </c>
    </row>
    <row r="9102" spans="1:8" x14ac:dyDescent="0.25">
      <c r="A9102" s="105" t="s">
        <v>30</v>
      </c>
      <c r="B9102" s="102">
        <v>44272</v>
      </c>
      <c r="C9102" s="4">
        <v>126</v>
      </c>
      <c r="D9102" s="21">
        <f t="shared" si="782"/>
        <v>48477</v>
      </c>
      <c r="F9102" s="57">
        <f t="shared" si="780"/>
        <v>812</v>
      </c>
      <c r="G9102" s="238">
        <f>SUM(C9102,C9078,C9054,C9030,C9006,C8982,C8958,C8934,C8910,C8886,C8862,C8838,C8814,C8790)/POBLA!$B$5*100000</f>
        <v>194.99381254099393</v>
      </c>
      <c r="H9102" s="295">
        <f t="shared" si="781"/>
        <v>0.6850170261066969</v>
      </c>
    </row>
    <row r="9103" spans="1:8" x14ac:dyDescent="0.25">
      <c r="A9103" s="105" t="s">
        <v>31</v>
      </c>
      <c r="B9103" s="102">
        <v>44272</v>
      </c>
      <c r="C9103" s="4">
        <v>264</v>
      </c>
      <c r="D9103" s="21">
        <f t="shared" si="782"/>
        <v>25461</v>
      </c>
      <c r="F9103" s="57">
        <f t="shared" si="780"/>
        <v>306</v>
      </c>
      <c r="G9103" s="238">
        <f>SUM(C9103,C9079,C9055,C9031,C9007,C8983,C8959,C8935,C8911,C8887,C8863,C8839,C8815,C8791)/POBLA!$B$6*100000</f>
        <v>280.87055596845471</v>
      </c>
      <c r="H9103" s="295">
        <f t="shared" si="781"/>
        <v>1.6638477801268499</v>
      </c>
    </row>
    <row r="9104" spans="1:8" x14ac:dyDescent="0.25">
      <c r="A9104" s="105" t="s">
        <v>21</v>
      </c>
      <c r="B9104" s="102">
        <v>44272</v>
      </c>
      <c r="C9104" s="4">
        <v>781</v>
      </c>
      <c r="D9104" s="21">
        <f t="shared" si="782"/>
        <v>169852</v>
      </c>
      <c r="E9104" s="4">
        <v>12</v>
      </c>
      <c r="F9104" s="57">
        <f t="shared" si="780"/>
        <v>2952</v>
      </c>
      <c r="G9104" s="238">
        <f>SUM(C9104,C9080,C9056,C9032,C9008,C8984,C8960,C8936,C8912,C8888,C8864,C8840,C8816,C8792)/POBLA!$B$7*100000</f>
        <v>215.5061229374144</v>
      </c>
      <c r="H9104" s="295">
        <f>SUM(C9104,C9080,C9056,C9032,C9008,C8984,C8960,C8936,C8912,C8888,C8864,C8840,C8816,C8792)/SUM(C8768,C8744,C8720,C8696,C8672,C8648,C8624,C8600,C8576,C8552,C8528,C8504,C8480,C8456)</f>
        <v>0.91705329863075702</v>
      </c>
    </row>
    <row r="9105" spans="1:8" x14ac:dyDescent="0.25">
      <c r="A9105" s="105" t="s">
        <v>32</v>
      </c>
      <c r="B9105" s="102">
        <v>44272</v>
      </c>
      <c r="C9105" s="4">
        <v>203</v>
      </c>
      <c r="D9105" s="21">
        <f t="shared" si="782"/>
        <v>47396</v>
      </c>
      <c r="E9105" s="4">
        <v>10</v>
      </c>
      <c r="F9105" s="57">
        <f t="shared" ref="F9105:F9128" si="783">E9105+F9081</f>
        <v>918</v>
      </c>
      <c r="G9105" s="238">
        <f>SUM(C9105,C9081,C9057,C9033,C9009,C8985,C8961,C8937,C8913,C8889,C8865,C8841,C8817,C8793)/POBLA!$B$8*100000</f>
        <v>135.42949621237537</v>
      </c>
      <c r="H9105" s="295">
        <f t="shared" ref="H9105:H9127" si="784">SUM(C9105,C9081,C9057,C9033,C9009,C8985,C8961,C8937,C8913,C8889,C8865,C8841,C8817,C8793)/SUM(C8769,C8745,C8721,C8697,C8673,C8649,C8625,C8601,C8577,C8553,C8529,C8505,C8481,C8457)</f>
        <v>1.0713470319634704</v>
      </c>
    </row>
    <row r="9106" spans="1:8" x14ac:dyDescent="0.25">
      <c r="A9106" s="105" t="s">
        <v>42</v>
      </c>
      <c r="B9106" s="102">
        <v>44272</v>
      </c>
      <c r="C9106" s="4">
        <v>21</v>
      </c>
      <c r="D9106" s="21">
        <f t="shared" si="782"/>
        <v>1647</v>
      </c>
      <c r="E9106" s="4">
        <v>3</v>
      </c>
      <c r="F9106" s="57">
        <f t="shared" si="783"/>
        <v>23</v>
      </c>
      <c r="G9106" s="238">
        <f>SUM(C9106,C9082,C9058,C9034,C9010,C8986,C8962,C8938,C8914,C8890,C8866,C8842,C8818,C8794)/POBLA!$B$9*100000</f>
        <v>59.650392519411163</v>
      </c>
      <c r="H9106" s="295">
        <f t="shared" si="784"/>
        <v>1.2114093959731544</v>
      </c>
    </row>
    <row r="9107" spans="1:8" x14ac:dyDescent="0.25">
      <c r="A9107" s="105" t="s">
        <v>33</v>
      </c>
      <c r="B9107" s="102">
        <v>44272</v>
      </c>
      <c r="C9107" s="4">
        <v>75</v>
      </c>
      <c r="D9107" s="21">
        <f t="shared" si="782"/>
        <v>21838</v>
      </c>
      <c r="E9107" s="4">
        <v>5</v>
      </c>
      <c r="F9107" s="57">
        <f t="shared" si="783"/>
        <v>937</v>
      </c>
      <c r="G9107" s="238">
        <f>SUM(C9107,C9083,C9059,C9035,C9011,C8987,C8963,C8939,C8915,C8891,C8867,C8843,C8819,C8795)/POBLA!$B$10*100000</f>
        <v>111.0417820649361</v>
      </c>
      <c r="H9107" s="295">
        <f t="shared" si="784"/>
        <v>0.77536231884057971</v>
      </c>
    </row>
    <row r="9108" spans="1:8" x14ac:dyDescent="0.25">
      <c r="A9108" s="105" t="s">
        <v>34</v>
      </c>
      <c r="B9108" s="102">
        <v>44272</v>
      </c>
      <c r="C9108" s="4">
        <v>160</v>
      </c>
      <c r="D9108" s="21">
        <f t="shared" si="782"/>
        <v>20228</v>
      </c>
      <c r="E9108" s="4">
        <v>3</v>
      </c>
      <c r="F9108" s="57">
        <f t="shared" si="783"/>
        <v>308</v>
      </c>
      <c r="G9108" s="238">
        <f>SUM(C9108,C9084,C9060,C9036,C9012,C8988,C8964,C8940,C8916,C8892,C8868,C8844,C8820,C8796)/POBLA!$B$11*100000</f>
        <v>355.7199772339215</v>
      </c>
      <c r="H9108" s="295">
        <f t="shared" si="784"/>
        <v>1.1465827338129497</v>
      </c>
    </row>
    <row r="9109" spans="1:8" x14ac:dyDescent="0.25">
      <c r="A9109" s="105" t="s">
        <v>22</v>
      </c>
      <c r="B9109" s="102">
        <v>44272</v>
      </c>
      <c r="C9109" s="4">
        <v>1</v>
      </c>
      <c r="D9109" s="21">
        <f t="shared" si="782"/>
        <v>10567</v>
      </c>
      <c r="F9109" s="57">
        <f t="shared" si="783"/>
        <v>447</v>
      </c>
      <c r="G9109" s="238">
        <f>SUM(C9109,C9085,C9061,C9037,C9013,C8989,C8965,C8941,C8917,C8893,C8869,C8845,C8821,C8797)/POBLA!$B$12*100000</f>
        <v>71.150684444173393</v>
      </c>
      <c r="H9109" s="295">
        <f t="shared" si="784"/>
        <v>0.75471698113207553</v>
      </c>
    </row>
    <row r="9110" spans="1:8" x14ac:dyDescent="0.25">
      <c r="A9110" s="105" t="s">
        <v>18</v>
      </c>
      <c r="B9110" s="102">
        <v>44272</v>
      </c>
      <c r="C9110" s="4">
        <v>149</v>
      </c>
      <c r="D9110" s="21">
        <f t="shared" si="782"/>
        <v>69807</v>
      </c>
      <c r="E9110" s="4">
        <v>2</v>
      </c>
      <c r="F9110" s="57">
        <f t="shared" si="783"/>
        <v>1484</v>
      </c>
      <c r="G9110" s="238">
        <f>SUM(C9110,C9086,C9062,C9038,C9014,C8990,C8966,C8942,C8918,C8894,C8870,C8846,C8822,C8798)/POBLA!$B$13*100000</f>
        <v>106.5145718968336</v>
      </c>
      <c r="H9110" s="295">
        <f t="shared" si="784"/>
        <v>1.1629182665935272</v>
      </c>
    </row>
    <row r="9111" spans="1:8" x14ac:dyDescent="0.25">
      <c r="A9111" s="105" t="s">
        <v>24</v>
      </c>
      <c r="B9111" s="102">
        <v>44272</v>
      </c>
      <c r="C9111" s="4">
        <v>141</v>
      </c>
      <c r="D9111" s="21">
        <f t="shared" si="782"/>
        <v>10330</v>
      </c>
      <c r="E9111" s="4">
        <v>4</v>
      </c>
      <c r="F9111" s="57">
        <f t="shared" si="783"/>
        <v>176</v>
      </c>
      <c r="G9111" s="238">
        <f>SUM(C9111,C9087,C9063,C9039,C9015,C8991,C8967,C8943,C8919,C8895,C8871,C8847,C8823,C8799)/POBLA!$B$14*100000</f>
        <v>133.19654259831569</v>
      </c>
      <c r="H9111" s="295">
        <f t="shared" si="784"/>
        <v>1.0559396605908233</v>
      </c>
    </row>
    <row r="9112" spans="1:8" x14ac:dyDescent="0.25">
      <c r="A9112" s="105" t="s">
        <v>20</v>
      </c>
      <c r="B9112" s="102">
        <v>44272</v>
      </c>
      <c r="C9112" s="4">
        <v>131</v>
      </c>
      <c r="D9112" s="21">
        <f t="shared" si="782"/>
        <v>63593</v>
      </c>
      <c r="E9112" s="4">
        <v>11</v>
      </c>
      <c r="F9112" s="57">
        <f t="shared" si="783"/>
        <v>967</v>
      </c>
      <c r="G9112" s="238">
        <f>SUM(C9112,C9088,C9064,C9040,C9016,C8992,C8968,C8944,C8920,C8896,C8872,C8848,C8824,C8800)/POBLA!$B$15*100000</f>
        <v>288.83062749131477</v>
      </c>
      <c r="H9112" s="295">
        <f t="shared" si="784"/>
        <v>0.75900277008310246</v>
      </c>
    </row>
    <row r="9113" spans="1:8" x14ac:dyDescent="0.25">
      <c r="A9113" s="105" t="s">
        <v>19</v>
      </c>
      <c r="B9113" s="102">
        <v>44272</v>
      </c>
      <c r="C9113" s="4">
        <v>110</v>
      </c>
      <c r="D9113" s="21">
        <f t="shared" si="782"/>
        <v>54106</v>
      </c>
      <c r="E9113" s="4">
        <v>6</v>
      </c>
      <c r="F9113" s="57">
        <f t="shared" si="783"/>
        <v>1249</v>
      </c>
      <c r="G9113" s="238">
        <f>SUM(C9113,C9089,C9065,C9041,C9017,C8993,C8969,C8945,C8921,C8897,C8873,C8849,C8825,C8801)/POBLA!$B$16*100000</f>
        <v>182.44806784285925</v>
      </c>
      <c r="H9113" s="295">
        <f t="shared" si="784"/>
        <v>0.76031215161649945</v>
      </c>
    </row>
    <row r="9114" spans="1:8" x14ac:dyDescent="0.25">
      <c r="A9114" s="105" t="s">
        <v>35</v>
      </c>
      <c r="B9114" s="102">
        <v>44272</v>
      </c>
      <c r="C9114" s="4">
        <v>123</v>
      </c>
      <c r="D9114" s="21">
        <f t="shared" si="782"/>
        <v>27944</v>
      </c>
      <c r="E9114" s="4">
        <v>2</v>
      </c>
      <c r="F9114" s="57">
        <f t="shared" si="783"/>
        <v>1152</v>
      </c>
      <c r="G9114" s="238">
        <f>SUM(C9114,C9090,C9066,C9042,C9018,C8994,C8970,C8946,C8922,C8898,C8874,C8850,C8826,C8802)/POBLA!$B$17*100000</f>
        <v>105.58854027353328</v>
      </c>
      <c r="H9114" s="295">
        <f t="shared" si="784"/>
        <v>0.99933554817275749</v>
      </c>
    </row>
    <row r="9115" spans="1:8" x14ac:dyDescent="0.25">
      <c r="A9115" s="105" t="s">
        <v>36</v>
      </c>
      <c r="B9115" s="102">
        <v>44272</v>
      </c>
      <c r="C9115" s="4">
        <v>74</v>
      </c>
      <c r="D9115" s="21">
        <f t="shared" si="782"/>
        <v>16091</v>
      </c>
      <c r="E9115" s="4">
        <v>1</v>
      </c>
      <c r="F9115" s="57">
        <f t="shared" si="783"/>
        <v>219</v>
      </c>
      <c r="G9115" s="238">
        <f>SUM(C9115,C9091,C9067,C9043,C9019,C8995,C8971,C8947,C8923,C8899,C8875,C8851,C8827,C8803)/POBLA!$B$18*100000</f>
        <v>87.939714573543583</v>
      </c>
      <c r="H9115" s="295">
        <f t="shared" si="784"/>
        <v>1.0377643504531722</v>
      </c>
    </row>
    <row r="9116" spans="1:8" x14ac:dyDescent="0.25">
      <c r="A9116" s="105" t="s">
        <v>37</v>
      </c>
      <c r="B9116" s="102">
        <v>44272</v>
      </c>
      <c r="C9116" s="4">
        <v>4</v>
      </c>
      <c r="D9116" s="21">
        <f t="shared" si="782"/>
        <v>21524</v>
      </c>
      <c r="E9116" s="4">
        <v>1</v>
      </c>
      <c r="F9116" s="57">
        <f t="shared" si="783"/>
        <v>362</v>
      </c>
      <c r="G9116" s="238">
        <f>SUM(C9116,C9092,C9068,C9044,C9020,C8996,C8972,C8948,C8924,C8900,C8876,C8852,C8828,C8804)/POBLA!$B$19*100000</f>
        <v>144.78840433735698</v>
      </c>
      <c r="H9116" s="295">
        <f t="shared" si="784"/>
        <v>1.3119429590017826</v>
      </c>
    </row>
    <row r="9117" spans="1:8" x14ac:dyDescent="0.25">
      <c r="A9117" s="105" t="s">
        <v>38</v>
      </c>
      <c r="B9117" s="102">
        <v>44272</v>
      </c>
      <c r="C9117" s="4">
        <v>142</v>
      </c>
      <c r="D9117" s="21">
        <f t="shared" si="782"/>
        <v>37716</v>
      </c>
      <c r="F9117" s="57">
        <f t="shared" si="783"/>
        <v>613</v>
      </c>
      <c r="G9117" s="238">
        <f>SUM(C9117,C9093,C9069,C9045,C9021,C8997,C8973,C8949,C8925,C8901,C8877,C8853,C8829,C8805)/POBLA!$B$20*100000</f>
        <v>404.43207236572249</v>
      </c>
      <c r="H9117" s="295">
        <f t="shared" si="784"/>
        <v>0.99462004034969742</v>
      </c>
    </row>
    <row r="9118" spans="1:8" x14ac:dyDescent="0.25">
      <c r="A9118" s="105" t="s">
        <v>23</v>
      </c>
      <c r="B9118" s="102">
        <v>44272</v>
      </c>
      <c r="C9118" s="4">
        <v>596</v>
      </c>
      <c r="D9118" s="21">
        <f t="shared" si="782"/>
        <v>223826</v>
      </c>
      <c r="E9118" s="4">
        <v>43</v>
      </c>
      <c r="F9118" s="57">
        <f t="shared" si="783"/>
        <v>4179</v>
      </c>
      <c r="G9118" s="238">
        <f>SUM(C9118,C9094,C9070,C9046,C9022,C8998,C8974,C8950,C8926,C8902,C8878,C8854,C8830,C8806)/POBLA!$B$21*100000</f>
        <v>173.48062361406372</v>
      </c>
      <c r="H9118" s="295">
        <f t="shared" si="784"/>
        <v>1.1973067915690867</v>
      </c>
    </row>
    <row r="9119" spans="1:8" x14ac:dyDescent="0.25">
      <c r="A9119" s="105" t="s">
        <v>39</v>
      </c>
      <c r="B9119" s="102">
        <v>44272</v>
      </c>
      <c r="C9119" s="4">
        <v>108</v>
      </c>
      <c r="D9119" s="21">
        <f t="shared" si="782"/>
        <v>23715</v>
      </c>
      <c r="F9119" s="57">
        <f t="shared" si="783"/>
        <v>276</v>
      </c>
      <c r="G9119" s="238">
        <f>SUM(C9119,C9095,C9071,C9047,C9023,C8999,C8975,C8951,C8927,C8903,C8879,C8855,C8831,C8807)/POBLA!$B$22*100000</f>
        <v>94.857167389168907</v>
      </c>
      <c r="H9119" s="295">
        <f t="shared" si="784"/>
        <v>1.1248484848484848</v>
      </c>
    </row>
    <row r="9120" spans="1:8" x14ac:dyDescent="0.25">
      <c r="A9120" s="105" t="s">
        <v>40</v>
      </c>
      <c r="B9120" s="102">
        <v>44272</v>
      </c>
      <c r="C9120" s="4">
        <v>33</v>
      </c>
      <c r="D9120" s="21">
        <f t="shared" si="782"/>
        <v>23449</v>
      </c>
      <c r="F9120" s="57">
        <f t="shared" si="783"/>
        <v>358</v>
      </c>
      <c r="G9120" s="238">
        <f>SUM(C9120,C9096,C9072,C9048,C9024,C9000,C8976,C8952,C8928,C8904,C8880,C8856,C8832,C8808)/POBLA!$B$23*100000</f>
        <v>226.77147542837753</v>
      </c>
      <c r="H9120" s="295">
        <f t="shared" si="784"/>
        <v>0.77263969171483626</v>
      </c>
    </row>
    <row r="9121" spans="1:8" ht="15.75" thickBot="1" x14ac:dyDescent="0.3">
      <c r="A9121" s="106" t="s">
        <v>41</v>
      </c>
      <c r="B9121" s="102">
        <v>44272</v>
      </c>
      <c r="C9121" s="4">
        <v>286</v>
      </c>
      <c r="D9121" s="98">
        <f t="shared" si="782"/>
        <v>82969</v>
      </c>
      <c r="E9121" s="4">
        <v>1</v>
      </c>
      <c r="F9121" s="255">
        <f t="shared" si="783"/>
        <v>1492</v>
      </c>
      <c r="G9121" s="256">
        <f>SUM(C9121,C9097,C9073,C9049,C9025,C9001,C8977,C8953,C8929,C8905,C8881,C8857,C8833,C8809)/POBLA!$B$24*100000</f>
        <v>157.2590543449526</v>
      </c>
      <c r="H9121" s="296">
        <f t="shared" si="784"/>
        <v>1.3452801615345784</v>
      </c>
    </row>
    <row r="9122" spans="1:8" x14ac:dyDescent="0.25">
      <c r="A9122" s="45" t="s">
        <v>17</v>
      </c>
      <c r="B9122" s="102">
        <v>44273</v>
      </c>
      <c r="C9122" s="4">
        <v>3583</v>
      </c>
      <c r="D9122" s="97">
        <f t="shared" si="782"/>
        <v>930851</v>
      </c>
      <c r="E9122" s="4">
        <v>75</v>
      </c>
      <c r="F9122" s="250">
        <f t="shared" si="783"/>
        <v>27445</v>
      </c>
      <c r="G9122" s="251">
        <f>SUM(C9122,C9098,C9074,C9050,C9026,C9002,C8978,C8954,C8930,C8906,C8882,C8858,C8834,C8810)/POBLA!$B$1*100000</f>
        <v>225.68657306842238</v>
      </c>
      <c r="H9122" s="294">
        <f t="shared" si="784"/>
        <v>1.071306795118123</v>
      </c>
    </row>
    <row r="9123" spans="1:8" x14ac:dyDescent="0.25">
      <c r="A9123" s="105" t="s">
        <v>44</v>
      </c>
      <c r="B9123" s="102">
        <v>44273</v>
      </c>
      <c r="C9123" s="4">
        <v>916</v>
      </c>
      <c r="D9123" s="21">
        <f t="shared" si="782"/>
        <v>245854</v>
      </c>
      <c r="E9123" s="4">
        <v>32</v>
      </c>
      <c r="F9123" s="57">
        <f t="shared" si="783"/>
        <v>6753</v>
      </c>
      <c r="G9123" s="238">
        <f>SUM(C9123,C9099,C9075,C9051,C9027,C9003,C8979,C8955,C8931,C8907,C8883,C8859,C8835,C8811)/POBLA!$B$2*100000</f>
        <v>369.06067863466728</v>
      </c>
      <c r="H9123" s="295">
        <f t="shared" si="784"/>
        <v>1.1858545758462182</v>
      </c>
    </row>
    <row r="9124" spans="1:8" x14ac:dyDescent="0.25">
      <c r="A9124" s="105" t="s">
        <v>29</v>
      </c>
      <c r="B9124" s="102">
        <v>44273</v>
      </c>
      <c r="C9124" s="4">
        <v>101</v>
      </c>
      <c r="D9124" s="21">
        <f t="shared" si="782"/>
        <v>9459</v>
      </c>
      <c r="F9124" s="57">
        <f t="shared" si="783"/>
        <v>18</v>
      </c>
      <c r="G9124" s="238">
        <f>SUM(C9124,C9100,C9076,C9052,C9028,C9004,C8980,C8956,C8932,C8908,C8884,C8860,C8836,C8812)/POBLA!$B$3*100000</f>
        <v>292.70312296901102</v>
      </c>
      <c r="H9124" s="295">
        <f t="shared" si="784"/>
        <v>1.0033003300330032</v>
      </c>
    </row>
    <row r="9125" spans="1:8" x14ac:dyDescent="0.25">
      <c r="A9125" s="105" t="s">
        <v>16</v>
      </c>
      <c r="B9125" s="102">
        <v>44273</v>
      </c>
      <c r="C9125" s="4">
        <v>181</v>
      </c>
      <c r="D9125" s="21">
        <f t="shared" si="782"/>
        <v>36506</v>
      </c>
      <c r="E9125" s="4">
        <v>3</v>
      </c>
      <c r="F9125" s="57">
        <f t="shared" si="783"/>
        <v>903</v>
      </c>
      <c r="G9125" s="238">
        <f>SUM(C9125,C9101,C9077,C9053,C9029,C9005,C8981,C8957,C8933,C8909,C8885,C8861,C8837,C8813)/POBLA!$B$4*100000</f>
        <v>151.17791756361967</v>
      </c>
      <c r="H9125" s="295">
        <f t="shared" si="784"/>
        <v>0.95791688584955281</v>
      </c>
    </row>
    <row r="9126" spans="1:8" x14ac:dyDescent="0.25">
      <c r="A9126" s="105" t="s">
        <v>30</v>
      </c>
      <c r="B9126" s="102">
        <v>44273</v>
      </c>
      <c r="C9126" s="4">
        <v>91</v>
      </c>
      <c r="D9126" s="21">
        <f t="shared" si="782"/>
        <v>48568</v>
      </c>
      <c r="E9126" s="4">
        <v>1</v>
      </c>
      <c r="F9126" s="57">
        <f t="shared" si="783"/>
        <v>813</v>
      </c>
      <c r="G9126" s="238">
        <f>SUM(C9126,C9102,C9078,C9054,C9030,C9006,C8982,C8958,C8934,C8910,C8886,C8862,C8838,C8814)/POBLA!$B$5*100000</f>
        <v>196.28623217672543</v>
      </c>
      <c r="H9126" s="295">
        <f t="shared" si="784"/>
        <v>0.79359895493141741</v>
      </c>
    </row>
    <row r="9127" spans="1:8" x14ac:dyDescent="0.25">
      <c r="A9127" s="105" t="s">
        <v>31</v>
      </c>
      <c r="B9127" s="102">
        <v>44273</v>
      </c>
      <c r="C9127" s="4">
        <v>318</v>
      </c>
      <c r="D9127" s="21">
        <f t="shared" si="782"/>
        <v>25779</v>
      </c>
      <c r="E9127" s="4">
        <v>6</v>
      </c>
      <c r="F9127" s="57">
        <f t="shared" si="783"/>
        <v>312</v>
      </c>
      <c r="G9127" s="238">
        <f>SUM(C9127,C9103,C9079,C9055,C9031,C9007,C8983,C8959,C8935,C8911,C8887,C8863,C8839,C8815)/POBLA!$B$6*100000</f>
        <v>273.91124740252729</v>
      </c>
      <c r="H9127" s="295">
        <f t="shared" si="784"/>
        <v>1.4339093881363849</v>
      </c>
    </row>
    <row r="9128" spans="1:8" x14ac:dyDescent="0.25">
      <c r="A9128" s="105" t="s">
        <v>21</v>
      </c>
      <c r="B9128" s="102">
        <v>44273</v>
      </c>
      <c r="C9128" s="4">
        <v>709</v>
      </c>
      <c r="D9128" s="21">
        <f t="shared" si="782"/>
        <v>170561</v>
      </c>
      <c r="E9128" s="4">
        <v>5</v>
      </c>
      <c r="F9128" s="57">
        <f t="shared" si="783"/>
        <v>2957</v>
      </c>
      <c r="G9128" s="238">
        <f>SUM(C9128,C9104,C9080,C9056,C9032,C9008,C8984,C8960,C8936,C8912,C8888,C8864,C8840,C8816)/POBLA!$B$7*100000</f>
        <v>215.85182624419951</v>
      </c>
      <c r="H9128" s="295">
        <f>SUM(C9128,C9104,C9080,C9056,C9032,C9008,C8984,C8960,C8936,C8912,C8888,C8864,C8840,C8816)/SUM(C8792,C8768,C8744,C8720,C8696,C8672,C8648,C8624,C8600,C8576,C8552,C8528,C8504,C8480)</f>
        <v>0.93459988485895218</v>
      </c>
    </row>
    <row r="9129" spans="1:8" x14ac:dyDescent="0.25">
      <c r="A9129" s="105" t="s">
        <v>32</v>
      </c>
      <c r="B9129" s="102">
        <v>44273</v>
      </c>
      <c r="C9129" s="4">
        <v>211</v>
      </c>
      <c r="D9129" s="21">
        <f t="shared" si="782"/>
        <v>47607</v>
      </c>
      <c r="E9129" s="4">
        <v>2</v>
      </c>
      <c r="F9129" s="57">
        <f t="shared" ref="F9129:F9152" si="785">E9129+F9105</f>
        <v>920</v>
      </c>
      <c r="G9129" s="238">
        <f>SUM(C9129,C9105,C9081,C9057,C9033,C9009,C8985,C8961,C8937,C8913,C8889,C8865,C8841,C8817)/POBLA!$B$8*100000</f>
        <v>136.43962564603189</v>
      </c>
      <c r="H9129" s="295">
        <f t="shared" ref="H9129:H9151" si="786">SUM(C9129,C9105,C9081,C9057,C9033,C9009,C8985,C8961,C8937,C8913,C8889,C8865,C8841,C8817)/SUM(C8793,C8769,C8745,C8721,C8697,C8673,C8649,C8625,C8601,C8577,C8553,C8529,C8505,C8481)</f>
        <v>1.076879271070615</v>
      </c>
    </row>
    <row r="9130" spans="1:8" x14ac:dyDescent="0.25">
      <c r="A9130" s="105" t="s">
        <v>42</v>
      </c>
      <c r="B9130" s="102">
        <v>44273</v>
      </c>
      <c r="C9130" s="4">
        <v>13</v>
      </c>
      <c r="D9130" s="21">
        <f t="shared" si="782"/>
        <v>1660</v>
      </c>
      <c r="F9130" s="57">
        <f t="shared" si="785"/>
        <v>23</v>
      </c>
      <c r="G9130" s="238">
        <f>SUM(C9130,C9106,C9082,C9058,C9034,C9010,C8986,C8962,C8938,C8914,C8890,C8866,C8842,C8818)/POBLA!$B$9*100000</f>
        <v>57.998027075660161</v>
      </c>
      <c r="H9130" s="295">
        <f t="shared" si="786"/>
        <v>1.3048327137546469</v>
      </c>
    </row>
    <row r="9131" spans="1:8" x14ac:dyDescent="0.25">
      <c r="A9131" s="105" t="s">
        <v>33</v>
      </c>
      <c r="B9131" s="102">
        <v>44273</v>
      </c>
      <c r="C9131" s="4">
        <v>52</v>
      </c>
      <c r="D9131" s="21">
        <f t="shared" si="782"/>
        <v>21890</v>
      </c>
      <c r="F9131" s="57">
        <f t="shared" si="785"/>
        <v>937</v>
      </c>
      <c r="G9131" s="238">
        <f>SUM(C9131,C9107,C9083,C9059,C9035,C9011,C8987,C8963,C8939,C8915,C8891,C8867,C8843,C8819)/POBLA!$B$10*100000</f>
        <v>106.50152228424362</v>
      </c>
      <c r="H9131" s="295">
        <f t="shared" si="786"/>
        <v>0.71640488656195467</v>
      </c>
    </row>
    <row r="9132" spans="1:8" x14ac:dyDescent="0.25">
      <c r="A9132" s="105" t="s">
        <v>34</v>
      </c>
      <c r="B9132" s="102">
        <v>44273</v>
      </c>
      <c r="C9132" s="4">
        <v>83</v>
      </c>
      <c r="D9132" s="21">
        <f t="shared" si="782"/>
        <v>20311</v>
      </c>
      <c r="F9132" s="57">
        <f t="shared" si="785"/>
        <v>308</v>
      </c>
      <c r="G9132" s="238">
        <f>SUM(C9132,C9108,C9084,C9060,C9036,C9012,C8988,C8964,C8940,C8916,C8892,C8868,C8844,C8820)/POBLA!$B$11*100000</f>
        <v>350.69804814356019</v>
      </c>
      <c r="H9132" s="295">
        <f t="shared" si="786"/>
        <v>1.1293800539083558</v>
      </c>
    </row>
    <row r="9133" spans="1:8" x14ac:dyDescent="0.25">
      <c r="A9133" s="105" t="s">
        <v>22</v>
      </c>
      <c r="B9133" s="102">
        <v>44273</v>
      </c>
      <c r="C9133" s="4">
        <v>53</v>
      </c>
      <c r="D9133" s="21">
        <f t="shared" si="782"/>
        <v>10620</v>
      </c>
      <c r="F9133" s="57">
        <f t="shared" si="785"/>
        <v>447</v>
      </c>
      <c r="G9133" s="238">
        <f>SUM(C9133,C9109,C9085,C9061,C9037,C9013,C8989,C8965,C8941,C8917,C8893,C8869,C8845,C8821)/POBLA!$B$12*100000</f>
        <v>79.790410412394451</v>
      </c>
      <c r="H9133" s="295">
        <f t="shared" si="786"/>
        <v>0.86980609418282551</v>
      </c>
    </row>
    <row r="9134" spans="1:8" x14ac:dyDescent="0.25">
      <c r="A9134" s="105" t="s">
        <v>18</v>
      </c>
      <c r="B9134" s="102">
        <v>44273</v>
      </c>
      <c r="C9134" s="4">
        <v>218</v>
      </c>
      <c r="D9134" s="21">
        <f t="shared" si="782"/>
        <v>70025</v>
      </c>
      <c r="E9134" s="4">
        <v>2</v>
      </c>
      <c r="F9134" s="57">
        <f t="shared" si="785"/>
        <v>1486</v>
      </c>
      <c r="G9134" s="238">
        <f>SUM(C9134,C9110,C9086,C9062,C9038,C9014,C8990,C8966,C8942,C8918,C8894,C8870,C8846,C8822)/POBLA!$B$13*100000</f>
        <v>107.46918362609767</v>
      </c>
      <c r="H9134" s="295">
        <f t="shared" si="786"/>
        <v>1.1512378902045211</v>
      </c>
    </row>
    <row r="9135" spans="1:8" x14ac:dyDescent="0.25">
      <c r="A9135" s="105" t="s">
        <v>24</v>
      </c>
      <c r="B9135" s="102">
        <v>44273</v>
      </c>
      <c r="C9135" s="4">
        <v>132</v>
      </c>
      <c r="D9135" s="21">
        <f t="shared" si="782"/>
        <v>10462</v>
      </c>
      <c r="E9135" s="4">
        <v>2</v>
      </c>
      <c r="F9135" s="57">
        <f t="shared" si="785"/>
        <v>178</v>
      </c>
      <c r="G9135" s="238">
        <f>SUM(C9135,C9111,C9087,C9063,C9039,C9015,C8991,C8967,C8943,C8919,C8895,C8871,C8847,C8823)/POBLA!$B$14*100000</f>
        <v>132.16585506630494</v>
      </c>
      <c r="H9135" s="295">
        <f t="shared" si="786"/>
        <v>1.0201958384332925</v>
      </c>
    </row>
    <row r="9136" spans="1:8" x14ac:dyDescent="0.25">
      <c r="A9136" s="105" t="s">
        <v>20</v>
      </c>
      <c r="B9136" s="102">
        <v>44273</v>
      </c>
      <c r="C9136" s="4">
        <v>157</v>
      </c>
      <c r="D9136" s="21">
        <f t="shared" si="782"/>
        <v>63750</v>
      </c>
      <c r="E9136" s="4">
        <v>1</v>
      </c>
      <c r="F9136" s="57">
        <f t="shared" si="785"/>
        <v>968</v>
      </c>
      <c r="G9136" s="238">
        <f>SUM(C9136,C9112,C9088,C9064,C9040,C9016,C8992,C8968,C8944,C8920,C8896,C8872,C8848,C8824)/POBLA!$B$15*100000</f>
        <v>280.24702698714117</v>
      </c>
      <c r="H9136" s="295">
        <f t="shared" si="786"/>
        <v>0.76052308949734371</v>
      </c>
    </row>
    <row r="9137" spans="1:8" x14ac:dyDescent="0.25">
      <c r="A9137" s="105" t="s">
        <v>19</v>
      </c>
      <c r="B9137" s="102">
        <v>44273</v>
      </c>
      <c r="C9137" s="4">
        <v>119</v>
      </c>
      <c r="D9137" s="21">
        <f t="shared" si="782"/>
        <v>54225</v>
      </c>
      <c r="E9137" s="4">
        <v>1</v>
      </c>
      <c r="F9137" s="57">
        <f t="shared" si="785"/>
        <v>1250</v>
      </c>
      <c r="G9137" s="238">
        <f>SUM(C9137,C9113,C9089,C9065,C9041,C9017,C8993,C8969,C8945,C8921,C8897,C8873,C8849,C8825)/POBLA!$B$16*100000</f>
        <v>180.70919329596981</v>
      </c>
      <c r="H9137" s="295">
        <f t="shared" si="786"/>
        <v>0.79237536656891494</v>
      </c>
    </row>
    <row r="9138" spans="1:8" x14ac:dyDescent="0.25">
      <c r="A9138" s="105" t="s">
        <v>35</v>
      </c>
      <c r="B9138" s="102">
        <v>44273</v>
      </c>
      <c r="C9138" s="4">
        <v>145</v>
      </c>
      <c r="D9138" s="21">
        <f t="shared" si="782"/>
        <v>28089</v>
      </c>
      <c r="E9138" s="4">
        <v>1</v>
      </c>
      <c r="F9138" s="57">
        <f t="shared" si="785"/>
        <v>1153</v>
      </c>
      <c r="G9138" s="238">
        <f>SUM(C9138,C9114,C9090,C9066,C9042,C9018,C8994,C8970,C8946,C8922,C8898,C8874,C8850,C8826)/POBLA!$B$17*100000</f>
        <v>103.90361675853011</v>
      </c>
      <c r="H9138" s="295">
        <f t="shared" si="786"/>
        <v>0.93375394321766558</v>
      </c>
    </row>
    <row r="9139" spans="1:8" x14ac:dyDescent="0.25">
      <c r="A9139" s="105" t="s">
        <v>36</v>
      </c>
      <c r="B9139" s="102">
        <v>44273</v>
      </c>
      <c r="C9139" s="4">
        <v>87</v>
      </c>
      <c r="D9139" s="21">
        <f t="shared" si="782"/>
        <v>16178</v>
      </c>
      <c r="F9139" s="57">
        <f t="shared" si="785"/>
        <v>219</v>
      </c>
      <c r="G9139" s="238">
        <f>SUM(C9139,C9115,C9091,C9067,C9043,C9019,C8995,C8971,C8947,C8923,C8899,C8875,C8851,C8827)/POBLA!$B$18*100000</f>
        <v>92.291898409788828</v>
      </c>
      <c r="H9139" s="295">
        <f t="shared" si="786"/>
        <v>1.1336477987421383</v>
      </c>
    </row>
    <row r="9140" spans="1:8" x14ac:dyDescent="0.25">
      <c r="A9140" s="105" t="s">
        <v>37</v>
      </c>
      <c r="B9140" s="102">
        <v>44273</v>
      </c>
      <c r="C9140" s="4">
        <v>12</v>
      </c>
      <c r="D9140" s="21">
        <f t="shared" si="782"/>
        <v>21536</v>
      </c>
      <c r="E9140" s="4">
        <v>4</v>
      </c>
      <c r="F9140" s="57">
        <f t="shared" si="785"/>
        <v>366</v>
      </c>
      <c r="G9140" s="238">
        <f>SUM(C9140,C9116,C9092,C9068,C9044,C9020,C8996,C8972,C8948,C8924,C8900,C8876,C8852,C8828)/POBLA!$B$19*100000</f>
        <v>145.57529783919045</v>
      </c>
      <c r="H9140" s="295">
        <f t="shared" si="786"/>
        <v>1.3405797101449275</v>
      </c>
    </row>
    <row r="9141" spans="1:8" x14ac:dyDescent="0.25">
      <c r="A9141" s="105" t="s">
        <v>38</v>
      </c>
      <c r="B9141" s="102">
        <v>44273</v>
      </c>
      <c r="C9141" s="4">
        <v>145</v>
      </c>
      <c r="D9141" s="21">
        <f t="shared" si="782"/>
        <v>37861</v>
      </c>
      <c r="E9141" s="4">
        <v>5</v>
      </c>
      <c r="F9141" s="57">
        <f t="shared" si="785"/>
        <v>618</v>
      </c>
      <c r="G9141" s="238">
        <f>SUM(C9141,C9117,C9093,C9069,C9045,C9021,C8997,C8973,C8949,C8925,C8901,C8877,C8853,C8829)/POBLA!$B$20*100000</f>
        <v>391.03303818998194</v>
      </c>
      <c r="H9141" s="295">
        <f t="shared" si="786"/>
        <v>0.91257179323548177</v>
      </c>
    </row>
    <row r="9142" spans="1:8" x14ac:dyDescent="0.25">
      <c r="A9142" s="105" t="s">
        <v>23</v>
      </c>
      <c r="B9142" s="102">
        <v>44273</v>
      </c>
      <c r="C9142" s="4">
        <v>486</v>
      </c>
      <c r="D9142" s="21">
        <f t="shared" si="782"/>
        <v>224312</v>
      </c>
      <c r="E9142" s="4">
        <v>15</v>
      </c>
      <c r="F9142" s="57">
        <f t="shared" si="785"/>
        <v>4194</v>
      </c>
      <c r="G9142" s="238">
        <f>SUM(C9142,C9118,C9094,C9070,C9046,C9022,C8998,C8974,C8950,C8926,C8902,C8878,C8854,C8830)/POBLA!$B$21*100000</f>
        <v>173.67856401590535</v>
      </c>
      <c r="H9142" s="295">
        <f t="shared" si="786"/>
        <v>1.1809267448567584</v>
      </c>
    </row>
    <row r="9143" spans="1:8" x14ac:dyDescent="0.25">
      <c r="A9143" s="105" t="s">
        <v>39</v>
      </c>
      <c r="B9143" s="102">
        <v>44273</v>
      </c>
      <c r="C9143" s="4">
        <v>110</v>
      </c>
      <c r="D9143" s="21">
        <f t="shared" si="782"/>
        <v>23825</v>
      </c>
      <c r="F9143" s="57">
        <f t="shared" si="785"/>
        <v>276</v>
      </c>
      <c r="G9143" s="238">
        <f>SUM(C9143,C9119,C9095,C9071,C9047,C9023,C8999,C8975,C8951,C8927,C8903,C8879,C8855,C8831)/POBLA!$B$22*100000</f>
        <v>97.923670645284275</v>
      </c>
      <c r="H9143" s="295">
        <f t="shared" si="786"/>
        <v>1.1473053892215568</v>
      </c>
    </row>
    <row r="9144" spans="1:8" x14ac:dyDescent="0.25">
      <c r="A9144" s="105" t="s">
        <v>40</v>
      </c>
      <c r="B9144" s="102">
        <v>44273</v>
      </c>
      <c r="C9144" s="4">
        <v>50</v>
      </c>
      <c r="D9144" s="21">
        <f t="shared" si="782"/>
        <v>23499</v>
      </c>
      <c r="F9144" s="57">
        <f t="shared" si="785"/>
        <v>358</v>
      </c>
      <c r="G9144" s="238">
        <f>SUM(C9144,C9120,C9096,C9072,C9048,C9024,C9000,C8976,C8952,C8928,C8904,C8880,C8856,C8832)/POBLA!$B$23*100000</f>
        <v>236.3852287507776</v>
      </c>
      <c r="H9144" s="295">
        <f t="shared" si="786"/>
        <v>0.84104627766599593</v>
      </c>
    </row>
    <row r="9145" spans="1:8" ht="15.75" thickBot="1" x14ac:dyDescent="0.3">
      <c r="A9145" s="106" t="s">
        <v>41</v>
      </c>
      <c r="B9145" s="102">
        <v>44273</v>
      </c>
      <c r="C9145" s="4">
        <v>356</v>
      </c>
      <c r="D9145" s="98">
        <f t="shared" si="782"/>
        <v>83325</v>
      </c>
      <c r="F9145" s="255">
        <f t="shared" si="785"/>
        <v>1492</v>
      </c>
      <c r="G9145" s="256">
        <f>SUM(C9145,C9121,C9097,C9073,C9049,C9025,C9001,C8977,C8953,C8929,C8905,C8881,C8857,C8833)/POBLA!$B$24*100000</f>
        <v>169.41491370520035</v>
      </c>
      <c r="H9145" s="296">
        <f t="shared" si="786"/>
        <v>1.4276479363500747</v>
      </c>
    </row>
    <row r="9146" spans="1:8" x14ac:dyDescent="0.25">
      <c r="A9146" s="45" t="s">
        <v>17</v>
      </c>
      <c r="B9146" s="102">
        <v>44274</v>
      </c>
      <c r="C9146" s="4">
        <v>3542</v>
      </c>
      <c r="D9146" s="97">
        <f t="shared" si="782"/>
        <v>934393</v>
      </c>
      <c r="E9146" s="4">
        <v>32</v>
      </c>
      <c r="F9146" s="250">
        <f t="shared" si="785"/>
        <v>27477</v>
      </c>
      <c r="G9146" s="251">
        <f>SUM(C9146,C9122,C9098,C9074,C9050,C9026,C9002,C8978,C8954,C8930,C8906,C8882,C8858,C8834)/POBLA!$B$1*100000</f>
        <v>225.96021547287032</v>
      </c>
      <c r="H9146" s="294">
        <f t="shared" si="786"/>
        <v>1.0742045639330045</v>
      </c>
    </row>
    <row r="9147" spans="1:8" x14ac:dyDescent="0.25">
      <c r="A9147" s="105" t="s">
        <v>44</v>
      </c>
      <c r="B9147" s="102">
        <v>44274</v>
      </c>
      <c r="C9147" s="4">
        <v>884</v>
      </c>
      <c r="D9147" s="21">
        <f t="shared" si="782"/>
        <v>246738</v>
      </c>
      <c r="E9147" s="4">
        <v>8</v>
      </c>
      <c r="F9147" s="57">
        <f t="shared" si="785"/>
        <v>6761</v>
      </c>
      <c r="G9147" s="238">
        <f>SUM(C9147,C9123,C9099,C9075,C9051,C9027,C9003,C8979,C8955,C8931,C8907,C8883,C8859,C8835)/POBLA!$B$2*100000</f>
        <v>369.74346202391303</v>
      </c>
      <c r="H9147" s="295">
        <f t="shared" si="786"/>
        <v>1.1860659157279934</v>
      </c>
    </row>
    <row r="9148" spans="1:8" x14ac:dyDescent="0.25">
      <c r="A9148" s="105" t="s">
        <v>29</v>
      </c>
      <c r="B9148" s="102">
        <v>44274</v>
      </c>
      <c r="C9148" s="4">
        <v>116</v>
      </c>
      <c r="D9148" s="21">
        <f t="shared" si="782"/>
        <v>9575</v>
      </c>
      <c r="F9148" s="57">
        <f t="shared" si="785"/>
        <v>18</v>
      </c>
      <c r="G9148" s="238">
        <f>SUM(C9148,C9124,C9100,C9076,C9052,C9028,C9004,C8980,C8956,C8932,C8908,C8884,C8860,C8836)/POBLA!$B$3*100000</f>
        <v>292.46241316393781</v>
      </c>
      <c r="H9148" s="295">
        <f t="shared" si="786"/>
        <v>0.98700243704305446</v>
      </c>
    </row>
    <row r="9149" spans="1:8" x14ac:dyDescent="0.25">
      <c r="A9149" s="105" t="s">
        <v>16</v>
      </c>
      <c r="B9149" s="102">
        <v>44274</v>
      </c>
      <c r="C9149" s="4">
        <v>166</v>
      </c>
      <c r="D9149" s="21">
        <f t="shared" si="782"/>
        <v>36672</v>
      </c>
      <c r="E9149" s="4">
        <v>1</v>
      </c>
      <c r="F9149" s="57">
        <f t="shared" si="785"/>
        <v>904</v>
      </c>
      <c r="G9149" s="238">
        <f>SUM(C9149,C9125,C9101,C9077,C9053,C9029,C9005,C8981,C8957,C8933,C8909,C8885,C8861,C8837)/POBLA!$B$4*100000</f>
        <v>150.67980251398666</v>
      </c>
      <c r="H9149" s="295">
        <f t="shared" si="786"/>
        <v>0.95125786163522008</v>
      </c>
    </row>
    <row r="9150" spans="1:8" x14ac:dyDescent="0.25">
      <c r="A9150" s="105" t="s">
        <v>30</v>
      </c>
      <c r="B9150" s="102">
        <v>44274</v>
      </c>
      <c r="C9150" s="4">
        <v>127</v>
      </c>
      <c r="D9150" s="21">
        <f t="shared" si="782"/>
        <v>48695</v>
      </c>
      <c r="E9150" s="4">
        <v>2</v>
      </c>
      <c r="F9150" s="57">
        <f t="shared" si="785"/>
        <v>815</v>
      </c>
      <c r="G9150" s="238">
        <f>SUM(C9150,C9126,C9102,C9078,C9054,C9030,C9006,C8982,C8958,C8934,C8910,C8886,C8862,C8838)/POBLA!$B$5*100000</f>
        <v>199.35572881158782</v>
      </c>
      <c r="H9150" s="295">
        <f t="shared" si="786"/>
        <v>0.84404924760601918</v>
      </c>
    </row>
    <row r="9151" spans="1:8" x14ac:dyDescent="0.25">
      <c r="A9151" s="105" t="s">
        <v>31</v>
      </c>
      <c r="B9151" s="102">
        <v>44274</v>
      </c>
      <c r="C9151" s="4">
        <v>357</v>
      </c>
      <c r="D9151" s="21">
        <f t="shared" si="782"/>
        <v>26136</v>
      </c>
      <c r="E9151" s="4">
        <v>5</v>
      </c>
      <c r="F9151" s="57">
        <f t="shared" si="785"/>
        <v>317</v>
      </c>
      <c r="G9151" s="238">
        <f>SUM(C9151,C9127,C9103,C9079,C9055,C9031,C9007,C8983,C8959,C8935,C8911,C8887,C8863,C8839)/POBLA!$B$6*100000</f>
        <v>291.93407215018544</v>
      </c>
      <c r="H9151" s="295">
        <f t="shared" si="786"/>
        <v>1.504367816091954</v>
      </c>
    </row>
    <row r="9152" spans="1:8" x14ac:dyDescent="0.25">
      <c r="A9152" s="105" t="s">
        <v>21</v>
      </c>
      <c r="B9152" s="102">
        <v>44274</v>
      </c>
      <c r="C9152" s="4">
        <v>683</v>
      </c>
      <c r="D9152" s="21">
        <f t="shared" si="782"/>
        <v>171244</v>
      </c>
      <c r="E9152" s="4">
        <v>9</v>
      </c>
      <c r="F9152" s="57">
        <f t="shared" si="785"/>
        <v>2966</v>
      </c>
      <c r="G9152" s="238">
        <f>SUM(C9152,C9128,C9104,C9080,C9056,C9032,C9008,C8984,C8960,C8936,C8912,C8888,C8864,C8840)/POBLA!$B$7*100000</f>
        <v>214.65516095148189</v>
      </c>
      <c r="H9152" s="295">
        <f>SUM(C9152,C9128,C9104,C9080,C9056,C9032,C9008,C8984,C8960,C8936,C8912,C8888,C8864,C8840)/SUM(C8816,C8792,C8768,C8744,C8720,C8696,C8672,C8648,C8624,C8600,C8576,C8552,C8528,C8504)</f>
        <v>0.93991616208663253</v>
      </c>
    </row>
    <row r="9153" spans="1:8" x14ac:dyDescent="0.25">
      <c r="A9153" s="105" t="s">
        <v>32</v>
      </c>
      <c r="B9153" s="102">
        <v>44274</v>
      </c>
      <c r="C9153" s="4">
        <v>241</v>
      </c>
      <c r="D9153" s="21">
        <f t="shared" si="782"/>
        <v>47848</v>
      </c>
      <c r="E9153" s="4">
        <v>3</v>
      </c>
      <c r="F9153" s="57">
        <f t="shared" ref="F9153:F9176" si="787">E9153+F9129</f>
        <v>923</v>
      </c>
      <c r="G9153" s="238">
        <f>SUM(C9153,C9129,C9105,C9081,C9057,C9033,C9009,C8985,C8961,C8937,C8913,C8889,C8865,C8841)/POBLA!$B$8*100000</f>
        <v>145.17003003692022</v>
      </c>
      <c r="H9153" s="295">
        <f t="shared" ref="H9153:H9175" si="788">SUM(C9153,C9129,C9105,C9081,C9057,C9033,C9009,C8985,C8961,C8937,C8913,C8889,C8865,C8841)/SUM(C8817,C8793,C8769,C8745,C8721,C8697,C8673,C8649,C8625,C8601,C8577,C8553,C8529,C8505)</f>
        <v>1.1690877396862289</v>
      </c>
    </row>
    <row r="9154" spans="1:8" x14ac:dyDescent="0.25">
      <c r="A9154" s="105" t="s">
        <v>42</v>
      </c>
      <c r="B9154" s="102">
        <v>44274</v>
      </c>
      <c r="C9154" s="4">
        <v>25</v>
      </c>
      <c r="D9154" s="21">
        <f t="shared" si="782"/>
        <v>1685</v>
      </c>
      <c r="E9154" s="4">
        <v>2</v>
      </c>
      <c r="F9154" s="57">
        <f t="shared" si="787"/>
        <v>25</v>
      </c>
      <c r="G9154" s="238">
        <f>SUM(C9154,C9130,C9106,C9082,C9058,C9034,C9010,C8986,C8962,C8938,C8914,C8890,C8866,C8842)/POBLA!$B$9*100000</f>
        <v>57.502317442534867</v>
      </c>
      <c r="H9154" s="295">
        <f t="shared" si="788"/>
        <v>1.2428571428571429</v>
      </c>
    </row>
    <row r="9155" spans="1:8" x14ac:dyDescent="0.25">
      <c r="A9155" s="105" t="s">
        <v>33</v>
      </c>
      <c r="B9155" s="102">
        <v>44274</v>
      </c>
      <c r="C9155" s="4">
        <v>51</v>
      </c>
      <c r="D9155" s="21">
        <f t="shared" si="782"/>
        <v>21941</v>
      </c>
      <c r="E9155" s="4">
        <v>4</v>
      </c>
      <c r="F9155" s="57">
        <f t="shared" si="787"/>
        <v>941</v>
      </c>
      <c r="G9155" s="238">
        <f>SUM(C9155,C9131,C9107,C9083,C9059,C9035,C9011,C8987,C8963,C8939,C8915,C8891,C8867,C8843)/POBLA!$B$10*100000</f>
        <v>102.73959275166983</v>
      </c>
      <c r="H9155" s="295">
        <f t="shared" si="788"/>
        <v>0.67404255319148931</v>
      </c>
    </row>
    <row r="9156" spans="1:8" x14ac:dyDescent="0.25">
      <c r="A9156" s="105" t="s">
        <v>34</v>
      </c>
      <c r="B9156" s="102">
        <v>44274</v>
      </c>
      <c r="C9156" s="4">
        <v>68</v>
      </c>
      <c r="D9156" s="21">
        <f t="shared" si="782"/>
        <v>20379</v>
      </c>
      <c r="E9156" s="4">
        <v>1</v>
      </c>
      <c r="F9156" s="57">
        <f t="shared" si="787"/>
        <v>309</v>
      </c>
      <c r="G9156" s="238">
        <f>SUM(C9156,C9132,C9108,C9084,C9060,C9036,C9012,C8988,C8964,C8940,C8916,C8892,C8868,C8844)/POBLA!$B$11*100000</f>
        <v>338.980213599384</v>
      </c>
      <c r="H9156" s="295">
        <f t="shared" si="788"/>
        <v>1.0537727666955767</v>
      </c>
    </row>
    <row r="9157" spans="1:8" x14ac:dyDescent="0.25">
      <c r="A9157" s="105" t="s">
        <v>22</v>
      </c>
      <c r="B9157" s="102">
        <v>44274</v>
      </c>
      <c r="C9157" s="4">
        <v>26</v>
      </c>
      <c r="D9157" s="21">
        <f t="shared" si="782"/>
        <v>10646</v>
      </c>
      <c r="F9157" s="57">
        <f t="shared" si="787"/>
        <v>447</v>
      </c>
      <c r="G9157" s="238">
        <f>SUM(C9157,C9133,C9109,C9085,C9061,C9037,C9013,C8989,C8965,C8941,C8917,C8893,C8869,C8845)/POBLA!$B$12*100000</f>
        <v>80.552739174296306</v>
      </c>
      <c r="H9157" s="295">
        <f t="shared" si="788"/>
        <v>0.90313390313390318</v>
      </c>
    </row>
    <row r="9158" spans="1:8" x14ac:dyDescent="0.25">
      <c r="A9158" s="105" t="s">
        <v>18</v>
      </c>
      <c r="B9158" s="102">
        <v>44274</v>
      </c>
      <c r="C9158" s="4">
        <v>213</v>
      </c>
      <c r="D9158" s="21">
        <f t="shared" si="782"/>
        <v>70238</v>
      </c>
      <c r="F9158" s="57">
        <f t="shared" si="787"/>
        <v>1486</v>
      </c>
      <c r="G9158" s="238">
        <f>SUM(C9158,C9134,C9110,C9086,C9062,C9038,C9014,C8990,C8966,C8942,C8918,C8894,C8870,C8846)/POBLA!$B$13*100000</f>
        <v>110.08180520092566</v>
      </c>
      <c r="H9158" s="295">
        <f t="shared" si="788"/>
        <v>1.1654255319148936</v>
      </c>
    </row>
    <row r="9159" spans="1:8" x14ac:dyDescent="0.25">
      <c r="A9159" s="105" t="s">
        <v>24</v>
      </c>
      <c r="B9159" s="102">
        <v>44274</v>
      </c>
      <c r="C9159" s="4">
        <v>119</v>
      </c>
      <c r="D9159" s="21">
        <f t="shared" si="782"/>
        <v>10581</v>
      </c>
      <c r="E9159" s="4">
        <v>5</v>
      </c>
      <c r="F9159" s="57">
        <f t="shared" si="787"/>
        <v>183</v>
      </c>
      <c r="G9159" s="238">
        <f>SUM(C9159,C9135,C9111,C9087,C9063,C9039,C9015,C8991,C8967,C8943,C8919,C8895,C8871,C8847)/POBLA!$B$14*100000</f>
        <v>132.87940797308161</v>
      </c>
      <c r="H9159" s="295">
        <f t="shared" si="788"/>
        <v>1.0219512195121951</v>
      </c>
    </row>
    <row r="9160" spans="1:8" x14ac:dyDescent="0.25">
      <c r="A9160" s="105" t="s">
        <v>20</v>
      </c>
      <c r="B9160" s="102">
        <v>44274</v>
      </c>
      <c r="C9160" s="4">
        <v>159</v>
      </c>
      <c r="D9160" s="21">
        <f t="shared" si="782"/>
        <v>63909</v>
      </c>
      <c r="E9160" s="4">
        <v>2</v>
      </c>
      <c r="F9160" s="57">
        <f t="shared" si="787"/>
        <v>970</v>
      </c>
      <c r="G9160" s="238">
        <f>SUM(C9160,C9136,C9112,C9088,C9064,C9040,C9016,C8992,C8968,C8944,C8920,C8896,C8872,C8848)/POBLA!$B$15*100000</f>
        <v>276.78346888896584</v>
      </c>
      <c r="H9160" s="295">
        <f t="shared" si="788"/>
        <v>0.77651035065483731</v>
      </c>
    </row>
    <row r="9161" spans="1:8" x14ac:dyDescent="0.25">
      <c r="A9161" s="105" t="s">
        <v>19</v>
      </c>
      <c r="B9161" s="102">
        <v>44274</v>
      </c>
      <c r="C9161" s="4">
        <v>70</v>
      </c>
      <c r="D9161" s="21">
        <f t="shared" si="782"/>
        <v>54295</v>
      </c>
      <c r="E9161" s="4">
        <v>2</v>
      </c>
      <c r="F9161" s="57">
        <f t="shared" si="787"/>
        <v>1252</v>
      </c>
      <c r="G9161" s="238">
        <f>SUM(C9161,C9137,C9113,C9089,C9065,C9041,C9017,C8993,C8969,C8945,C8921,C8897,C8873,C8849)/POBLA!$B$16*100000</f>
        <v>169.0721097898637</v>
      </c>
      <c r="H9161" s="295">
        <f t="shared" si="788"/>
        <v>0.73275362318840576</v>
      </c>
    </row>
    <row r="9162" spans="1:8" x14ac:dyDescent="0.25">
      <c r="A9162" s="105" t="s">
        <v>35</v>
      </c>
      <c r="B9162" s="102">
        <v>44274</v>
      </c>
      <c r="C9162" s="4">
        <v>60</v>
      </c>
      <c r="D9162" s="21">
        <f t="shared" si="782"/>
        <v>28149</v>
      </c>
      <c r="E9162" s="4">
        <v>7</v>
      </c>
      <c r="F9162" s="57">
        <f t="shared" si="787"/>
        <v>1160</v>
      </c>
      <c r="G9162" s="238">
        <f>SUM(C9162,C9138,C9114,C9090,C9066,C9042,C9018,C8994,C8970,C8946,C8922,C8898,C8874,C8850)/POBLA!$B$17*100000</f>
        <v>95.970435208723401</v>
      </c>
      <c r="H9162" s="295">
        <f t="shared" si="788"/>
        <v>0.8511830635118306</v>
      </c>
    </row>
    <row r="9163" spans="1:8" x14ac:dyDescent="0.25">
      <c r="A9163" s="105" t="s">
        <v>36</v>
      </c>
      <c r="B9163" s="102">
        <v>44274</v>
      </c>
      <c r="C9163" s="4">
        <v>92</v>
      </c>
      <c r="D9163" s="21">
        <f t="shared" ref="D9163:D9193" si="789">C9163+D9139</f>
        <v>16270</v>
      </c>
      <c r="E9163" s="4">
        <v>2</v>
      </c>
      <c r="F9163" s="57">
        <f t="shared" si="787"/>
        <v>221</v>
      </c>
      <c r="G9163" s="238">
        <f>SUM(C9163,C9139,C9115,C9091,C9067,C9043,C9019,C8995,C8971,C8947,C8923,C8899,C8875,C8851)/POBLA!$B$18*100000</f>
        <v>96.132060618240516</v>
      </c>
      <c r="H9163" s="295">
        <f t="shared" si="788"/>
        <v>1.1939586645468998</v>
      </c>
    </row>
    <row r="9164" spans="1:8" x14ac:dyDescent="0.25">
      <c r="A9164" s="105" t="s">
        <v>37</v>
      </c>
      <c r="B9164" s="102">
        <v>44274</v>
      </c>
      <c r="C9164" s="4">
        <v>15</v>
      </c>
      <c r="D9164" s="21">
        <f t="shared" si="789"/>
        <v>21551</v>
      </c>
      <c r="E9164" s="4">
        <v>12</v>
      </c>
      <c r="F9164" s="57">
        <f t="shared" si="787"/>
        <v>378</v>
      </c>
      <c r="G9164" s="238">
        <f>SUM(C9164,C9140,C9116,C9092,C9068,C9044,C9020,C8996,C8972,C8948,C8924,C8900,C8876,C8852)/POBLA!$B$19*100000</f>
        <v>147.5425315937741</v>
      </c>
      <c r="H9164" s="295">
        <f t="shared" si="788"/>
        <v>1.3686131386861313</v>
      </c>
    </row>
    <row r="9165" spans="1:8" x14ac:dyDescent="0.25">
      <c r="A9165" s="105" t="s">
        <v>38</v>
      </c>
      <c r="B9165" s="102">
        <v>44274</v>
      </c>
      <c r="C9165" s="4">
        <v>133</v>
      </c>
      <c r="D9165" s="21">
        <f t="shared" si="789"/>
        <v>37994</v>
      </c>
      <c r="E9165" s="4">
        <v>4</v>
      </c>
      <c r="F9165" s="57">
        <f t="shared" si="787"/>
        <v>622</v>
      </c>
      <c r="G9165" s="238">
        <f>SUM(C9165,C9141,C9117,C9093,C9069,C9045,C9021,C8997,C8973,C8949,C8925,C8901,C8877,C8853)/POBLA!$B$20*100000</f>
        <v>386.38439368003105</v>
      </c>
      <c r="H9165" s="295">
        <f t="shared" si="788"/>
        <v>0.89487017099430022</v>
      </c>
    </row>
    <row r="9166" spans="1:8" x14ac:dyDescent="0.25">
      <c r="A9166" s="105" t="s">
        <v>23</v>
      </c>
      <c r="B9166" s="102">
        <v>44274</v>
      </c>
      <c r="C9166" s="4">
        <v>522</v>
      </c>
      <c r="D9166" s="21">
        <f t="shared" si="789"/>
        <v>224834</v>
      </c>
      <c r="E9166" s="4">
        <v>5</v>
      </c>
      <c r="F9166" s="57">
        <f t="shared" si="787"/>
        <v>4199</v>
      </c>
      <c r="G9166" s="238">
        <f>SUM(C9166,C9142,C9118,C9094,C9070,C9046,C9022,C8998,C8974,C8950,C8926,C8902,C8878,C8854)/POBLA!$B$21*100000</f>
        <v>173.53717801458993</v>
      </c>
      <c r="H9166" s="295">
        <f t="shared" si="788"/>
        <v>1.1754453169890826</v>
      </c>
    </row>
    <row r="9167" spans="1:8" x14ac:dyDescent="0.25">
      <c r="A9167" s="105" t="s">
        <v>39</v>
      </c>
      <c r="B9167" s="102">
        <v>44274</v>
      </c>
      <c r="C9167" s="4">
        <v>114</v>
      </c>
      <c r="D9167" s="21">
        <f t="shared" si="789"/>
        <v>23939</v>
      </c>
      <c r="E9167" s="4">
        <v>1</v>
      </c>
      <c r="F9167" s="57">
        <f t="shared" si="787"/>
        <v>277</v>
      </c>
      <c r="G9167" s="238">
        <f>SUM(C9167,C9143,C9119,C9095,C9071,C9047,C9023,C8999,C8975,C8951,C8927,C8903,C8879,C8855)/POBLA!$B$22*100000</f>
        <v>100.27465647497273</v>
      </c>
      <c r="H9167" s="295">
        <f t="shared" si="788"/>
        <v>1.125</v>
      </c>
    </row>
    <row r="9168" spans="1:8" x14ac:dyDescent="0.25">
      <c r="A9168" s="105" t="s">
        <v>40</v>
      </c>
      <c r="B9168" s="102">
        <v>44274</v>
      </c>
      <c r="C9168" s="4">
        <v>38</v>
      </c>
      <c r="D9168" s="21">
        <f t="shared" si="789"/>
        <v>23537</v>
      </c>
      <c r="F9168" s="57">
        <f t="shared" si="787"/>
        <v>358</v>
      </c>
      <c r="G9168" s="238">
        <f>SUM(C9168,C9144,C9120,C9096,C9072,C9048,C9024,C9000,C8976,C8952,C8928,C8904,C8880,C8856)/POBLA!$B$23*100000</f>
        <v>230.73007973760107</v>
      </c>
      <c r="H9168" s="295">
        <f t="shared" si="788"/>
        <v>0.82258064516129037</v>
      </c>
    </row>
    <row r="9169" spans="1:8" ht="15.75" thickBot="1" x14ac:dyDescent="0.3">
      <c r="A9169" s="106" t="s">
        <v>41</v>
      </c>
      <c r="B9169" s="102">
        <v>44274</v>
      </c>
      <c r="C9169" s="4">
        <v>339</v>
      </c>
      <c r="D9169" s="98">
        <f t="shared" si="789"/>
        <v>83664</v>
      </c>
      <c r="E9169" s="4">
        <v>6</v>
      </c>
      <c r="F9169" s="255">
        <f t="shared" si="787"/>
        <v>1498</v>
      </c>
      <c r="G9169" s="256">
        <f>SUM(C9169,C9145,C9121,C9097,C9073,C9049,C9025,C9001,C8977,C8953,C8929,C8905,C8881,C8857)/POBLA!$B$24*100000</f>
        <v>176.02392461950978</v>
      </c>
      <c r="H9169" s="296">
        <f t="shared" si="788"/>
        <v>1.4341346153846153</v>
      </c>
    </row>
    <row r="9170" spans="1:8" x14ac:dyDescent="0.25">
      <c r="A9170" s="45" t="s">
        <v>17</v>
      </c>
      <c r="B9170" s="102">
        <v>44275</v>
      </c>
      <c r="C9170" s="63">
        <v>3182</v>
      </c>
      <c r="D9170" s="97">
        <f t="shared" si="789"/>
        <v>937575</v>
      </c>
      <c r="E9170" s="4">
        <v>12</v>
      </c>
      <c r="F9170" s="250">
        <f t="shared" si="787"/>
        <v>27489</v>
      </c>
      <c r="G9170" s="251">
        <f>SUM(C9170,C9146,C9122,C9098,C9074,C9050,C9026,C9002,C8978,C8954,C8930,C8906,C8882,C8858)/POBLA!$B$1*100000</f>
        <v>231.4729697458107</v>
      </c>
      <c r="H9170" s="329">
        <f t="shared" si="788"/>
        <v>1.1092806600551868</v>
      </c>
    </row>
    <row r="9171" spans="1:8" x14ac:dyDescent="0.25">
      <c r="A9171" s="105" t="s">
        <v>44</v>
      </c>
      <c r="B9171" s="102">
        <v>44275</v>
      </c>
      <c r="C9171" s="63">
        <v>842</v>
      </c>
      <c r="D9171" s="21">
        <f t="shared" si="789"/>
        <v>247580</v>
      </c>
      <c r="E9171" s="4">
        <v>1</v>
      </c>
      <c r="F9171" s="57">
        <f t="shared" si="787"/>
        <v>6762</v>
      </c>
      <c r="G9171" s="238">
        <f>SUM(C9171,C9147,C9123,C9099,C9075,C9051,C9027,C9003,C8979,C8955,C8931,C8907,C8883,C8859)/POBLA!$B$2*100000</f>
        <v>375.95353951657637</v>
      </c>
      <c r="H9171" s="328">
        <f t="shared" si="788"/>
        <v>1.1991081613605725</v>
      </c>
    </row>
    <row r="9172" spans="1:8" x14ac:dyDescent="0.25">
      <c r="A9172" s="105" t="s">
        <v>29</v>
      </c>
      <c r="B9172" s="102">
        <v>44275</v>
      </c>
      <c r="C9172" s="63">
        <v>73</v>
      </c>
      <c r="D9172" s="21">
        <f t="shared" si="789"/>
        <v>9648</v>
      </c>
      <c r="F9172" s="57">
        <f t="shared" si="787"/>
        <v>18</v>
      </c>
      <c r="G9172" s="238">
        <f>SUM(C9172,C9148,C9124,C9100,C9076,C9052,C9028,C9004,C8980,C8956,C8932,C8908,C8884,C8860)/POBLA!$B$3*100000</f>
        <v>298.96157790091422</v>
      </c>
      <c r="H9172" s="328">
        <f t="shared" si="788"/>
        <v>1.0138775510204081</v>
      </c>
    </row>
    <row r="9173" spans="1:8" x14ac:dyDescent="0.25">
      <c r="A9173" s="105" t="s">
        <v>16</v>
      </c>
      <c r="B9173" s="102">
        <v>44275</v>
      </c>
      <c r="C9173" s="63">
        <v>170</v>
      </c>
      <c r="D9173" s="21">
        <f t="shared" si="789"/>
        <v>36842</v>
      </c>
      <c r="E9173" s="4">
        <v>2</v>
      </c>
      <c r="F9173" s="57">
        <f t="shared" si="787"/>
        <v>906</v>
      </c>
      <c r="G9173" s="238">
        <f>SUM(C9173,C9149,C9125,C9101,C9077,C9053,C9029,C9005,C8981,C8957,C8933,C8909,C8885,C8861)/POBLA!$B$4*100000</f>
        <v>154.66472291105077</v>
      </c>
      <c r="H9173" s="328">
        <f t="shared" si="788"/>
        <v>1.0048543689320388</v>
      </c>
    </row>
    <row r="9174" spans="1:8" x14ac:dyDescent="0.25">
      <c r="A9174" s="105" t="s">
        <v>30</v>
      </c>
      <c r="B9174" s="102">
        <v>44275</v>
      </c>
      <c r="C9174" s="63">
        <v>35</v>
      </c>
      <c r="D9174" s="21">
        <f t="shared" si="789"/>
        <v>48730</v>
      </c>
      <c r="E9174" s="4">
        <v>1</v>
      </c>
      <c r="F9174" s="57">
        <f t="shared" si="787"/>
        <v>816</v>
      </c>
      <c r="G9174" s="238">
        <f>SUM(C9174,C9150,C9126,C9102,C9078,C9054,C9030,C9006,C8982,C8958,C8934,C8910,C8886,C8862)/POBLA!$B$5*100000</f>
        <v>198.38641408478921</v>
      </c>
      <c r="H9174" s="328">
        <f t="shared" si="788"/>
        <v>0.84865238424326195</v>
      </c>
    </row>
    <row r="9175" spans="1:8" x14ac:dyDescent="0.25">
      <c r="A9175" s="105" t="s">
        <v>31</v>
      </c>
      <c r="B9175" s="102">
        <v>44275</v>
      </c>
      <c r="C9175" s="63">
        <v>235</v>
      </c>
      <c r="D9175" s="21">
        <f t="shared" si="789"/>
        <v>26371</v>
      </c>
      <c r="F9175" s="57">
        <f t="shared" si="787"/>
        <v>317</v>
      </c>
      <c r="G9175" s="238">
        <f>SUM(C9175,C9151,C9127,C9103,C9079,C9055,C9031,C9007,C8983,C8959,C8935,C8911,C8887,C8863)/POBLA!$B$6*100000</f>
        <v>297.10894262228533</v>
      </c>
      <c r="H9175" s="328">
        <f t="shared" si="788"/>
        <v>1.4952851369555455</v>
      </c>
    </row>
    <row r="9176" spans="1:8" x14ac:dyDescent="0.25">
      <c r="A9176" s="105" t="s">
        <v>21</v>
      </c>
      <c r="B9176" s="102">
        <v>44275</v>
      </c>
      <c r="C9176" s="63">
        <v>550</v>
      </c>
      <c r="D9176" s="21">
        <f t="shared" si="789"/>
        <v>171794</v>
      </c>
      <c r="E9176" s="4">
        <v>2</v>
      </c>
      <c r="F9176" s="57">
        <f t="shared" si="787"/>
        <v>2968</v>
      </c>
      <c r="G9176" s="238">
        <f>SUM(C9176,C9152,C9128,C9104,C9080,C9056,C9032,C9008,C8984,C8960,C8936,C8912,C8888,C8864)/POBLA!$B$7*100000</f>
        <v>218.32493451581593</v>
      </c>
      <c r="H9176" s="328">
        <f>SUM(C9176,C9152,C9128,C9104,C9080,C9056,C9032,C9008,C8984,C8960,C8936,C8912,C8888,C8864)/SUM(C8840,C8816,C8792,C8768,C8744,C8720,C8696,C8672,C8648,C8624,C8600,C8576,C8552,C8528)</f>
        <v>0.97633487929599239</v>
      </c>
    </row>
    <row r="9177" spans="1:8" x14ac:dyDescent="0.25">
      <c r="A9177" s="105" t="s">
        <v>32</v>
      </c>
      <c r="B9177" s="102">
        <v>44275</v>
      </c>
      <c r="C9177" s="63">
        <v>150</v>
      </c>
      <c r="D9177" s="21">
        <f t="shared" si="789"/>
        <v>47998</v>
      </c>
      <c r="F9177" s="57">
        <f t="shared" ref="F9177:F9200" si="790">E9177+F9153</f>
        <v>923</v>
      </c>
      <c r="G9177" s="238">
        <f>SUM(C9177,C9153,C9129,C9105,C9081,C9057,C9033,C9009,C8985,C8961,C8937,C8913,C8889,C8865)/POBLA!$B$8*100000</f>
        <v>148.705483054718</v>
      </c>
      <c r="H9177" s="328">
        <f t="shared" ref="H9177:H9199" si="791">SUM(C9177,C9153,C9129,C9105,C9081,C9057,C9033,C9009,C8985,C8961,C8937,C8913,C8889,C8865)/SUM(C8841,C8817,C8793,C8769,C8745,C8721,C8697,C8673,C8649,C8625,C8601,C8577,C8553,C8529)</f>
        <v>1.2080890973036342</v>
      </c>
    </row>
    <row r="9178" spans="1:8" x14ac:dyDescent="0.25">
      <c r="A9178" s="105" t="s">
        <v>42</v>
      </c>
      <c r="B9178" s="102">
        <v>44275</v>
      </c>
      <c r="C9178" s="63">
        <v>4</v>
      </c>
      <c r="D9178" s="21">
        <f t="shared" si="789"/>
        <v>1689</v>
      </c>
      <c r="F9178" s="57">
        <f t="shared" si="790"/>
        <v>25</v>
      </c>
      <c r="G9178" s="238">
        <f>SUM(C9178,C9154,C9130,C9106,C9082,C9058,C9034,C9010,C8986,C8962,C8938,C8914,C8890,C8866)/POBLA!$B$9*100000</f>
        <v>57.667553986909965</v>
      </c>
      <c r="H9178" s="328">
        <f t="shared" si="791"/>
        <v>1.2925925925925925</v>
      </c>
    </row>
    <row r="9179" spans="1:8" x14ac:dyDescent="0.25">
      <c r="A9179" s="105" t="s">
        <v>33</v>
      </c>
      <c r="B9179" s="102">
        <v>44275</v>
      </c>
      <c r="C9179" s="63">
        <v>32</v>
      </c>
      <c r="D9179" s="21">
        <f t="shared" si="789"/>
        <v>21973</v>
      </c>
      <c r="E9179" s="4">
        <v>5</v>
      </c>
      <c r="F9179" s="57">
        <f t="shared" si="790"/>
        <v>946</v>
      </c>
      <c r="G9179" s="238">
        <f>SUM(C9179,C9155,C9131,C9107,C9083,C9059,C9035,C9011,C8987,C8963,C8939,C8915,C8891,C8867)/POBLA!$B$10*100000</f>
        <v>99.626271759194992</v>
      </c>
      <c r="H9179" s="328">
        <f t="shared" si="791"/>
        <v>0.66036113499570082</v>
      </c>
    </row>
    <row r="9180" spans="1:8" x14ac:dyDescent="0.25">
      <c r="A9180" s="105" t="s">
        <v>34</v>
      </c>
      <c r="B9180" s="102">
        <v>44275</v>
      </c>
      <c r="C9180" s="63">
        <v>64</v>
      </c>
      <c r="D9180" s="21">
        <f t="shared" si="789"/>
        <v>20443</v>
      </c>
      <c r="F9180" s="57">
        <f t="shared" si="790"/>
        <v>309</v>
      </c>
      <c r="G9180" s="238">
        <f>SUM(C9180,C9156,C9132,C9108,C9084,C9060,C9036,C9012,C8988,C8964,C8940,C8916,C8892,C8868)/POBLA!$B$11*100000</f>
        <v>347.35009541665272</v>
      </c>
      <c r="H9180" s="328">
        <f t="shared" si="791"/>
        <v>1.1047027506654836</v>
      </c>
    </row>
    <row r="9181" spans="1:8" x14ac:dyDescent="0.25">
      <c r="A9181" s="105" t="s">
        <v>22</v>
      </c>
      <c r="B9181" s="102">
        <v>44275</v>
      </c>
      <c r="C9181" s="63">
        <v>27</v>
      </c>
      <c r="D9181" s="21">
        <f t="shared" si="789"/>
        <v>10673</v>
      </c>
      <c r="F9181" s="57">
        <f t="shared" si="790"/>
        <v>447</v>
      </c>
      <c r="G9181" s="238">
        <f>SUM(C9181,C9157,C9133,C9109,C9085,C9061,C9037,C9013,C8989,C8965,C8941,C8917,C8893,C8869)/POBLA!$B$12*100000</f>
        <v>81.823287110799399</v>
      </c>
      <c r="H9181" s="328">
        <f t="shared" si="791"/>
        <v>0.90196078431372551</v>
      </c>
    </row>
    <row r="9182" spans="1:8" x14ac:dyDescent="0.25">
      <c r="A9182" s="105" t="s">
        <v>18</v>
      </c>
      <c r="B9182" s="102">
        <v>44275</v>
      </c>
      <c r="C9182" s="63">
        <v>140</v>
      </c>
      <c r="D9182" s="21">
        <f t="shared" si="789"/>
        <v>70378</v>
      </c>
      <c r="F9182" s="57">
        <f t="shared" si="790"/>
        <v>1486</v>
      </c>
      <c r="G9182" s="238">
        <f>SUM(C9182,C9158,C9134,C9110,C9086,C9062,C9038,C9014,C8990,C8966,C8942,C8918,C8894,C8870)/POBLA!$B$13*100000</f>
        <v>110.88568876241121</v>
      </c>
      <c r="H9182" s="328">
        <f t="shared" si="791"/>
        <v>1.1758124667021843</v>
      </c>
    </row>
    <row r="9183" spans="1:8" x14ac:dyDescent="0.25">
      <c r="A9183" s="105" t="s">
        <v>24</v>
      </c>
      <c r="B9183" s="102">
        <v>44275</v>
      </c>
      <c r="C9183" s="63">
        <v>93</v>
      </c>
      <c r="D9183" s="21">
        <f t="shared" si="789"/>
        <v>10674</v>
      </c>
      <c r="F9183" s="57">
        <f t="shared" si="790"/>
        <v>183</v>
      </c>
      <c r="G9183" s="238">
        <f>SUM(C9183,C9159,C9135,C9111,C9087,C9063,C9039,C9015,C8991,C8967,C8943,C8919,C8895,C8871)/POBLA!$B$14*100000</f>
        <v>131.6901531284538</v>
      </c>
      <c r="H9183" s="328">
        <f t="shared" si="791"/>
        <v>1.0078883495145632</v>
      </c>
    </row>
    <row r="9184" spans="1:8" x14ac:dyDescent="0.25">
      <c r="A9184" s="105" t="s">
        <v>20</v>
      </c>
      <c r="B9184" s="102">
        <v>44275</v>
      </c>
      <c r="C9184" s="63">
        <v>88</v>
      </c>
      <c r="D9184" s="21">
        <f t="shared" si="789"/>
        <v>63997</v>
      </c>
      <c r="E9184" s="4">
        <v>1</v>
      </c>
      <c r="F9184" s="57">
        <f t="shared" si="790"/>
        <v>971</v>
      </c>
      <c r="G9184" s="238">
        <f>SUM(C9184,C9160,C9136,C9112,C9088,C9064,C9040,C9016,C8992,C8968,C8944,C8920,C8896,C8872)/POBLA!$B$15*100000</f>
        <v>276.33170044137779</v>
      </c>
      <c r="H9184" s="328">
        <f t="shared" si="791"/>
        <v>0.79921602787456447</v>
      </c>
    </row>
    <row r="9185" spans="1:8" x14ac:dyDescent="0.25">
      <c r="A9185" s="105" t="s">
        <v>19</v>
      </c>
      <c r="B9185" s="102">
        <v>44275</v>
      </c>
      <c r="C9185" s="63">
        <v>83</v>
      </c>
      <c r="D9185" s="21">
        <f t="shared" si="789"/>
        <v>54378</v>
      </c>
      <c r="E9185" s="4">
        <v>2</v>
      </c>
      <c r="F9185" s="57">
        <f t="shared" si="790"/>
        <v>1254</v>
      </c>
      <c r="G9185" s="238">
        <f>SUM(C9185,C9161,C9137,C9113,C9089,C9065,C9041,C9017,C8993,C8969,C8945,C8921,C8897,C8873)/POBLA!$B$16*100000</f>
        <v>170.67722475622315</v>
      </c>
      <c r="H9185" s="328">
        <f t="shared" si="791"/>
        <v>0.74315666860803731</v>
      </c>
    </row>
    <row r="9186" spans="1:8" x14ac:dyDescent="0.25">
      <c r="A9186" s="105" t="s">
        <v>35</v>
      </c>
      <c r="B9186" s="102">
        <v>44275</v>
      </c>
      <c r="C9186" s="63">
        <v>115</v>
      </c>
      <c r="D9186" s="21">
        <f t="shared" si="789"/>
        <v>28264</v>
      </c>
      <c r="E9186" s="4">
        <v>15</v>
      </c>
      <c r="F9186" s="57">
        <f t="shared" si="790"/>
        <v>1175</v>
      </c>
      <c r="G9186" s="238">
        <f>SUM(C9186,C9162,C9138,C9114,C9090,C9066,C9042,C9018,C8994,C8970,C8946,C8922,C8898,C8874)/POBLA!$B$17*100000</f>
        <v>99.691307971022113</v>
      </c>
      <c r="H9186" s="328">
        <f t="shared" si="791"/>
        <v>0.9329829172141918</v>
      </c>
    </row>
    <row r="9187" spans="1:8" x14ac:dyDescent="0.25">
      <c r="A9187" s="105" t="s">
        <v>36</v>
      </c>
      <c r="B9187" s="102">
        <v>44275</v>
      </c>
      <c r="C9187" s="63">
        <v>41</v>
      </c>
      <c r="D9187" s="21">
        <f t="shared" si="789"/>
        <v>16311</v>
      </c>
      <c r="F9187" s="57">
        <f t="shared" si="790"/>
        <v>221</v>
      </c>
      <c r="G9187" s="238">
        <f>SUM(C9187,C9163,C9139,C9115,C9091,C9067,C9043,C9019,C8995,C8971,C8947,C8923,C8899,C8875)/POBLA!$B$18*100000</f>
        <v>100.74025526838253</v>
      </c>
      <c r="H9187" s="328">
        <f t="shared" si="791"/>
        <v>1.294407894736842</v>
      </c>
    </row>
    <row r="9188" spans="1:8" x14ac:dyDescent="0.25">
      <c r="A9188" s="105" t="s">
        <v>37</v>
      </c>
      <c r="B9188" s="102">
        <v>44275</v>
      </c>
      <c r="C9188" s="63">
        <v>1</v>
      </c>
      <c r="D9188" s="21">
        <f t="shared" si="789"/>
        <v>21552</v>
      </c>
      <c r="F9188" s="57">
        <f t="shared" si="790"/>
        <v>378</v>
      </c>
      <c r="G9188" s="238">
        <f>SUM(C9188,C9164,C9140,C9116,C9092,C9068,C9044,C9020,C8996,C8972,C8948,C8924,C8900,C8876)/POBLA!$B$19*100000</f>
        <v>147.5425315937741</v>
      </c>
      <c r="H9188" s="328">
        <f t="shared" si="791"/>
        <v>2.6315789473684212</v>
      </c>
    </row>
    <row r="9189" spans="1:8" x14ac:dyDescent="0.25">
      <c r="A9189" s="105" t="s">
        <v>38</v>
      </c>
      <c r="B9189" s="102">
        <v>44275</v>
      </c>
      <c r="C9189" s="63">
        <v>150</v>
      </c>
      <c r="D9189" s="21">
        <f t="shared" si="789"/>
        <v>38144</v>
      </c>
      <c r="E9189" s="4">
        <v>1</v>
      </c>
      <c r="F9189" s="57">
        <f t="shared" si="790"/>
        <v>623</v>
      </c>
      <c r="G9189" s="238">
        <f>SUM(C9189,C9165,C9141,C9117,C9093,C9069,C9045,C9021,C8997,C8973,C8949,C8925,C8901,C8877)/POBLA!$B$20*100000</f>
        <v>418.9249052496869</v>
      </c>
      <c r="H9189" s="328">
        <f t="shared" si="791"/>
        <v>1.0186170212765957</v>
      </c>
    </row>
    <row r="9190" spans="1:8" x14ac:dyDescent="0.25">
      <c r="A9190" s="105" t="s">
        <v>23</v>
      </c>
      <c r="B9190" s="102">
        <v>44275</v>
      </c>
      <c r="C9190" s="63">
        <v>402</v>
      </c>
      <c r="D9190" s="21">
        <f t="shared" si="789"/>
        <v>225236</v>
      </c>
      <c r="F9190" s="57">
        <f t="shared" si="790"/>
        <v>4199</v>
      </c>
      <c r="G9190" s="238">
        <f>SUM(C9190,C9166,C9142,C9118,C9094,C9070,C9046,C9022,C8998,C8974,C8950,C8926,C8902,C8878)/POBLA!$B$21*100000</f>
        <v>175.37519603169082</v>
      </c>
      <c r="H9190" s="328">
        <f t="shared" si="791"/>
        <v>1.1968351987649557</v>
      </c>
    </row>
    <row r="9191" spans="1:8" x14ac:dyDescent="0.25">
      <c r="A9191" s="105" t="s">
        <v>39</v>
      </c>
      <c r="B9191" s="102">
        <v>44275</v>
      </c>
      <c r="C9191" s="63">
        <v>95</v>
      </c>
      <c r="D9191" s="21">
        <f t="shared" si="789"/>
        <v>24034</v>
      </c>
      <c r="F9191" s="57">
        <f t="shared" si="790"/>
        <v>277</v>
      </c>
      <c r="G9191" s="238">
        <f>SUM(C9191,C9167,C9143,C9119,C9095,C9071,C9047,C9023,C8999,C8975,C8951,C8927,C8903,C8879)/POBLA!$B$22*100000</f>
        <v>104.4655442583304</v>
      </c>
      <c r="H9191" s="328">
        <f t="shared" si="791"/>
        <v>1.1720183486238531</v>
      </c>
    </row>
    <row r="9192" spans="1:8" x14ac:dyDescent="0.25">
      <c r="A9192" s="105" t="s">
        <v>40</v>
      </c>
      <c r="B9192" s="102">
        <v>44275</v>
      </c>
      <c r="C9192" s="63">
        <v>26</v>
      </c>
      <c r="D9192" s="21">
        <f t="shared" si="789"/>
        <v>23563</v>
      </c>
      <c r="F9192" s="57">
        <f t="shared" si="790"/>
        <v>358</v>
      </c>
      <c r="G9192" s="238">
        <f>SUM(C9192,C9168,C9144,C9120,C9096,C9072,C9048,C9024,C9000,C8976,C8952,C8928,C8904,C8880)/POBLA!$B$23*100000</f>
        <v>239.77831815868348</v>
      </c>
      <c r="H9192" s="328">
        <f t="shared" si="791"/>
        <v>0.89640591966173366</v>
      </c>
    </row>
    <row r="9193" spans="1:8" ht="15.75" thickBot="1" x14ac:dyDescent="0.3">
      <c r="A9193" s="106" t="s">
        <v>41</v>
      </c>
      <c r="B9193" s="102">
        <v>44275</v>
      </c>
      <c r="C9193" s="63">
        <v>228</v>
      </c>
      <c r="D9193" s="98">
        <f t="shared" si="789"/>
        <v>83892</v>
      </c>
      <c r="F9193" s="255">
        <f t="shared" si="790"/>
        <v>1498</v>
      </c>
      <c r="G9193" s="256">
        <f>SUM(C9193,C9169,C9145,C9121,C9097,C9073,C9049,C9025,C9001,C8977,C8953,C8929,C8905,C8881)/POBLA!$B$24*100000</f>
        <v>184.40320631443785</v>
      </c>
      <c r="H9193" s="296">
        <f t="shared" si="791"/>
        <v>1.5067502410800386</v>
      </c>
    </row>
    <row r="9194" spans="1:8" x14ac:dyDescent="0.25">
      <c r="A9194" s="45" t="s">
        <v>17</v>
      </c>
      <c r="B9194" s="102">
        <v>44276</v>
      </c>
      <c r="C9194" s="63">
        <v>1657</v>
      </c>
      <c r="D9194" s="97">
        <f t="shared" ref="D9194:D9257" si="792">C9194+D9170</f>
        <v>939232</v>
      </c>
      <c r="E9194" s="4">
        <v>12</v>
      </c>
      <c r="F9194" s="250">
        <f t="shared" si="790"/>
        <v>27501</v>
      </c>
      <c r="G9194" s="251">
        <f>SUM(C9194,C9170,C9146,C9122,C9098,C9074,C9050,C9026,C9002,C8978,C8954,C8930,C8906,C8882)/POBLA!$B$1*100000</f>
        <v>235.27545899095162</v>
      </c>
      <c r="H9194" s="294">
        <f t="shared" si="791"/>
        <v>1.1435300637295649</v>
      </c>
    </row>
    <row r="9195" spans="1:8" x14ac:dyDescent="0.25">
      <c r="A9195" s="105" t="s">
        <v>44</v>
      </c>
      <c r="B9195" s="102">
        <v>44276</v>
      </c>
      <c r="C9195" s="63">
        <v>623</v>
      </c>
      <c r="D9195" s="21">
        <f t="shared" si="792"/>
        <v>248203</v>
      </c>
      <c r="E9195" s="4">
        <v>3</v>
      </c>
      <c r="F9195" s="57">
        <f t="shared" si="790"/>
        <v>6765</v>
      </c>
      <c r="G9195" s="238">
        <f>SUM(C9195,C9171,C9147,C9123,C9099,C9075,C9051,C9027,C9003,C8979,C8955,C8931,C8907,C8883)/POBLA!$B$2*100000</f>
        <v>382.26115749341761</v>
      </c>
      <c r="H9195" s="295">
        <f t="shared" si="791"/>
        <v>1.2094434728937351</v>
      </c>
    </row>
    <row r="9196" spans="1:8" x14ac:dyDescent="0.25">
      <c r="A9196" s="105" t="s">
        <v>29</v>
      </c>
      <c r="B9196" s="102">
        <v>44276</v>
      </c>
      <c r="C9196" s="63">
        <v>52</v>
      </c>
      <c r="D9196" s="21">
        <f t="shared" si="792"/>
        <v>9700</v>
      </c>
      <c r="F9196" s="57">
        <f t="shared" si="790"/>
        <v>18</v>
      </c>
      <c r="G9196" s="238">
        <f>SUM(C9196,C9172,C9148,C9124,C9100,C9076,C9052,C9028,C9004,C8980,C8956,C8932,C8908,C8884)/POBLA!$B$3*100000</f>
        <v>300.40583673135342</v>
      </c>
      <c r="H9196" s="295">
        <f t="shared" si="791"/>
        <v>1.0749354005167959</v>
      </c>
    </row>
    <row r="9197" spans="1:8" x14ac:dyDescent="0.25">
      <c r="A9197" s="105" t="s">
        <v>16</v>
      </c>
      <c r="B9197" s="102">
        <v>44276</v>
      </c>
      <c r="C9197" s="63">
        <v>120</v>
      </c>
      <c r="D9197" s="21">
        <f t="shared" si="792"/>
        <v>36962</v>
      </c>
      <c r="E9197" s="4">
        <v>1</v>
      </c>
      <c r="F9197" s="57">
        <f t="shared" si="790"/>
        <v>907</v>
      </c>
      <c r="G9197" s="238">
        <f>SUM(C9197,C9173,C9149,C9125,C9101,C9077,C9053,C9029,C9005,C8981,C8957,C8933,C8909,C8885)/POBLA!$B$4*100000</f>
        <v>157.65341320884886</v>
      </c>
      <c r="H9197" s="295">
        <f t="shared" si="791"/>
        <v>1.0226171243941842</v>
      </c>
    </row>
    <row r="9198" spans="1:8" x14ac:dyDescent="0.25">
      <c r="A9198" s="105" t="s">
        <v>30</v>
      </c>
      <c r="B9198" s="102">
        <v>44276</v>
      </c>
      <c r="C9198" s="63">
        <v>17</v>
      </c>
      <c r="D9198" s="21">
        <f t="shared" si="792"/>
        <v>48747</v>
      </c>
      <c r="F9198" s="57">
        <f t="shared" si="790"/>
        <v>816</v>
      </c>
      <c r="G9198" s="238">
        <f>SUM(C9198,C9174,C9150,C9126,C9102,C9078,C9054,C9030,C9006,C8982,C8958,C8934,C8910,C8886)/POBLA!$B$5*100000</f>
        <v>194.34760272312818</v>
      </c>
      <c r="H9198" s="295">
        <f t="shared" si="791"/>
        <v>0.82794218857536128</v>
      </c>
    </row>
    <row r="9199" spans="1:8" x14ac:dyDescent="0.25">
      <c r="A9199" s="105" t="s">
        <v>31</v>
      </c>
      <c r="B9199" s="102">
        <v>44276</v>
      </c>
      <c r="C9199" s="63">
        <v>96</v>
      </c>
      <c r="D9199" s="21">
        <f t="shared" si="792"/>
        <v>26467</v>
      </c>
      <c r="F9199" s="57">
        <f t="shared" si="790"/>
        <v>317</v>
      </c>
      <c r="G9199" s="238">
        <f>SUM(C9199,C9175,C9151,C9127,C9103,C9079,C9055,C9031,C9007,C8983,C8959,C8935,C8911,C8887)/POBLA!$B$6*100000</f>
        <v>293.27240072055611</v>
      </c>
      <c r="H9199" s="295">
        <f t="shared" si="791"/>
        <v>1.4806306306306307</v>
      </c>
    </row>
    <row r="9200" spans="1:8" x14ac:dyDescent="0.25">
      <c r="A9200" s="105" t="s">
        <v>21</v>
      </c>
      <c r="B9200" s="102">
        <v>44276</v>
      </c>
      <c r="C9200" s="63">
        <v>405</v>
      </c>
      <c r="D9200" s="21">
        <f t="shared" si="792"/>
        <v>172199</v>
      </c>
      <c r="E9200" s="4">
        <v>1</v>
      </c>
      <c r="F9200" s="57">
        <f t="shared" si="790"/>
        <v>2969</v>
      </c>
      <c r="G9200" s="238">
        <f>SUM(C9200,C9176,C9152,C9128,C9104,C9080,C9056,C9032,C9008,C8984,C8960,C8936,C8912,C8888)/POBLA!$B$7*100000</f>
        <v>222.2872262628143</v>
      </c>
      <c r="H9200" s="295">
        <f>SUM(C9200,C9176,C9152,C9128,C9104,C9080,C9056,C9032,C9008,C8984,C8960,C8936,C8912,C8888)/SUM(C8864,C8840,C8816,C8792,C8768,C8744,C8720,C8696,C8672,C8648,C8624,C8600,C8576,C8552)</f>
        <v>1.0112509073312363</v>
      </c>
    </row>
    <row r="9201" spans="1:8" x14ac:dyDescent="0.25">
      <c r="A9201" s="105" t="s">
        <v>32</v>
      </c>
      <c r="B9201" s="102">
        <v>44276</v>
      </c>
      <c r="C9201" s="63">
        <v>127</v>
      </c>
      <c r="D9201" s="21">
        <f t="shared" si="792"/>
        <v>48125</v>
      </c>
      <c r="E9201" s="4">
        <v>3</v>
      </c>
      <c r="F9201" s="57">
        <f t="shared" ref="F9201:F9224" si="793">E9201+F9177</f>
        <v>926</v>
      </c>
      <c r="G9201" s="238">
        <f>SUM(C9201,C9177,C9153,C9129,C9105,C9081,C9057,C9033,C9009,C8985,C8961,C8937,C8913,C8889)/POBLA!$B$8*100000</f>
        <v>153.82828232540453</v>
      </c>
      <c r="H9201" s="295">
        <f t="shared" ref="H9201:H9223" si="794">SUM(C9201,C9177,C9153,C9129,C9105,C9081,C9057,C9033,C9009,C8985,C8961,C8937,C8913,C8889)/SUM(C8865,C8841,C8817,C8793,C8769,C8745,C8721,C8697,C8673,C8649,C8625,C8601,C8577,C8553)</f>
        <v>1.2728358208955224</v>
      </c>
    </row>
    <row r="9202" spans="1:8" x14ac:dyDescent="0.25">
      <c r="A9202" s="105" t="s">
        <v>42</v>
      </c>
      <c r="B9202" s="102">
        <v>44276</v>
      </c>
      <c r="C9202" s="63">
        <v>6</v>
      </c>
      <c r="D9202" s="21">
        <f t="shared" si="792"/>
        <v>1695</v>
      </c>
      <c r="F9202" s="57">
        <f t="shared" si="793"/>
        <v>25</v>
      </c>
      <c r="G9202" s="238">
        <f>SUM(C9202,C9178,C9154,C9130,C9106,C9082,C9058,C9034,C9010,C8986,C8962,C8938,C8914,C8890)/POBLA!$B$9*100000</f>
        <v>54.032350010657758</v>
      </c>
      <c r="H9202" s="295">
        <f t="shared" si="794"/>
        <v>1.1314878892733564</v>
      </c>
    </row>
    <row r="9203" spans="1:8" x14ac:dyDescent="0.25">
      <c r="A9203" s="105" t="s">
        <v>33</v>
      </c>
      <c r="B9203" s="102">
        <v>44276</v>
      </c>
      <c r="C9203" s="63">
        <v>51</v>
      </c>
      <c r="D9203" s="21">
        <f t="shared" si="792"/>
        <v>22024</v>
      </c>
      <c r="F9203" s="57">
        <f t="shared" si="793"/>
        <v>946</v>
      </c>
      <c r="G9203" s="238">
        <f>SUM(C9203,C9179,C9155,C9131,C9107,C9083,C9059,C9035,C9011,C8987,C8963,C8939,C8915,C8891)/POBLA!$B$10*100000</f>
        <v>98.977663219096073</v>
      </c>
      <c r="H9203" s="295">
        <f t="shared" si="794"/>
        <v>0.6657940663176265</v>
      </c>
    </row>
    <row r="9204" spans="1:8" x14ac:dyDescent="0.25">
      <c r="A9204" s="105" t="s">
        <v>34</v>
      </c>
      <c r="B9204" s="102">
        <v>44276</v>
      </c>
      <c r="C9204" s="63">
        <v>46</v>
      </c>
      <c r="D9204" s="21">
        <f t="shared" si="792"/>
        <v>20489</v>
      </c>
      <c r="F9204" s="57">
        <f t="shared" si="793"/>
        <v>309</v>
      </c>
      <c r="G9204" s="238">
        <f>SUM(C9204,C9180,C9156,C9132,C9108,C9084,C9060,C9036,C9012,C8988,C8964,C8940,C8916,C8892)/POBLA!$B$11*100000</f>
        <v>348.18708359837956</v>
      </c>
      <c r="H9204" s="295">
        <f t="shared" si="794"/>
        <v>1.0842745438748913</v>
      </c>
    </row>
    <row r="9205" spans="1:8" x14ac:dyDescent="0.25">
      <c r="A9205" s="105" t="s">
        <v>22</v>
      </c>
      <c r="B9205" s="102">
        <v>44276</v>
      </c>
      <c r="C9205" s="63">
        <v>21</v>
      </c>
      <c r="D9205" s="21">
        <f t="shared" si="792"/>
        <v>10694</v>
      </c>
      <c r="F9205" s="57">
        <f t="shared" si="793"/>
        <v>447</v>
      </c>
      <c r="G9205" s="238">
        <f>SUM(C9205,C9181,C9157,C9133,C9109,C9085,C9061,C9037,C9013,C8989,C8965,C8941,C8917,C8893)/POBLA!$B$12*100000</f>
        <v>84.110273396504979</v>
      </c>
      <c r="H9205" s="295">
        <f t="shared" si="794"/>
        <v>0.96220930232558144</v>
      </c>
    </row>
    <row r="9206" spans="1:8" x14ac:dyDescent="0.25">
      <c r="A9206" s="105" t="s">
        <v>18</v>
      </c>
      <c r="B9206" s="102">
        <v>44276</v>
      </c>
      <c r="C9206" s="63">
        <v>73</v>
      </c>
      <c r="D9206" s="21">
        <f t="shared" si="792"/>
        <v>70451</v>
      </c>
      <c r="F9206" s="57">
        <f t="shared" si="793"/>
        <v>1486</v>
      </c>
      <c r="G9206" s="238">
        <f>SUM(C9206,C9182,C9158,C9134,C9110,C9086,C9062,C9038,C9014,C8990,C8966,C8942,C8918,C8894)/POBLA!$B$13*100000</f>
        <v>111.73981504648958</v>
      </c>
      <c r="H9206" s="295">
        <f t="shared" si="794"/>
        <v>1.174234424498416</v>
      </c>
    </row>
    <row r="9207" spans="1:8" x14ac:dyDescent="0.25">
      <c r="A9207" s="105" t="s">
        <v>24</v>
      </c>
      <c r="B9207" s="102">
        <v>44276</v>
      </c>
      <c r="C9207" s="63">
        <v>121</v>
      </c>
      <c r="D9207" s="21">
        <f t="shared" si="792"/>
        <v>10795</v>
      </c>
      <c r="F9207" s="57">
        <f t="shared" si="793"/>
        <v>183</v>
      </c>
      <c r="G9207" s="238">
        <f>SUM(C9207,C9183,C9159,C9135,C9111,C9087,C9063,C9039,C9015,C8991,C8967,C8943,C8919,C8895)/POBLA!$B$14*100000</f>
        <v>132.64155700415606</v>
      </c>
      <c r="H9207" s="295">
        <f t="shared" si="794"/>
        <v>1.0201219512195121</v>
      </c>
    </row>
    <row r="9208" spans="1:8" x14ac:dyDescent="0.25">
      <c r="A9208" s="105" t="s">
        <v>20</v>
      </c>
      <c r="B9208" s="102">
        <v>44276</v>
      </c>
      <c r="C9208" s="63">
        <v>60</v>
      </c>
      <c r="D9208" s="21">
        <f t="shared" si="792"/>
        <v>64057</v>
      </c>
      <c r="E9208" s="4">
        <v>6</v>
      </c>
      <c r="F9208" s="57">
        <f t="shared" si="793"/>
        <v>977</v>
      </c>
      <c r="G9208" s="238">
        <f>SUM(C9208,C9184,C9160,C9136,C9112,C9088,C9064,C9040,C9016,C8992,C8968,C8944,C8920,C8896)/POBLA!$B$15*100000</f>
        <v>265.33866821673439</v>
      </c>
      <c r="H9208" s="295">
        <f t="shared" si="794"/>
        <v>0.76178123648940765</v>
      </c>
    </row>
    <row r="9209" spans="1:8" x14ac:dyDescent="0.25">
      <c r="A9209" s="105" t="s">
        <v>19</v>
      </c>
      <c r="B9209" s="102">
        <v>44276</v>
      </c>
      <c r="C9209" s="63">
        <v>23</v>
      </c>
      <c r="D9209" s="21">
        <f t="shared" si="792"/>
        <v>54401</v>
      </c>
      <c r="E9209" s="4">
        <v>1</v>
      </c>
      <c r="F9209" s="57">
        <f t="shared" si="793"/>
        <v>1255</v>
      </c>
      <c r="G9209" s="238">
        <f>SUM(C9209,C9185,C9161,C9137,C9113,C9089,C9065,C9041,C9017,C8993,C8969,C8945,C8921,C8897)/POBLA!$B$16*100000</f>
        <v>171.88106098099277</v>
      </c>
      <c r="H9209" s="295">
        <f t="shared" si="794"/>
        <v>0.77316486161251508</v>
      </c>
    </row>
    <row r="9210" spans="1:8" x14ac:dyDescent="0.25">
      <c r="A9210" s="105" t="s">
        <v>35</v>
      </c>
      <c r="B9210" s="102">
        <v>44276</v>
      </c>
      <c r="C9210" s="63">
        <v>42</v>
      </c>
      <c r="D9210" s="21">
        <f t="shared" si="792"/>
        <v>28306</v>
      </c>
      <c r="F9210" s="57">
        <f t="shared" si="793"/>
        <v>1175</v>
      </c>
      <c r="G9210" s="238">
        <f>SUM(C9210,C9186,C9162,C9138,C9114,C9090,C9066,C9042,C9018,C8994,C8970,C8946,C8922,C8898)/POBLA!$B$17*100000</f>
        <v>101.44643663248377</v>
      </c>
      <c r="H9210" s="295">
        <f t="shared" si="794"/>
        <v>0.99244505494505497</v>
      </c>
    </row>
    <row r="9211" spans="1:8" x14ac:dyDescent="0.25">
      <c r="A9211" s="105" t="s">
        <v>36</v>
      </c>
      <c r="B9211" s="102">
        <v>44276</v>
      </c>
      <c r="C9211" s="63">
        <v>4</v>
      </c>
      <c r="D9211" s="21">
        <f t="shared" si="792"/>
        <v>16315</v>
      </c>
      <c r="F9211" s="57">
        <f t="shared" si="793"/>
        <v>221</v>
      </c>
      <c r="G9211" s="238">
        <f>SUM(C9211,C9187,C9163,C9139,C9115,C9091,C9067,C9043,C9019,C8995,C8971,C8947,C8923,C8899)/POBLA!$B$18*100000</f>
        <v>99.972222826692203</v>
      </c>
      <c r="H9211" s="295">
        <f t="shared" si="794"/>
        <v>1.269918699186992</v>
      </c>
    </row>
    <row r="9212" spans="1:8" x14ac:dyDescent="0.25">
      <c r="A9212" s="105" t="s">
        <v>37</v>
      </c>
      <c r="B9212" s="102">
        <v>44276</v>
      </c>
      <c r="C9212" s="63">
        <v>0</v>
      </c>
      <c r="D9212" s="21">
        <f t="shared" si="792"/>
        <v>21552</v>
      </c>
      <c r="F9212" s="57">
        <f t="shared" si="793"/>
        <v>378</v>
      </c>
      <c r="G9212" s="238">
        <f>SUM(C9212,C9188,C9164,C9140,C9116,C9092,C9068,C9044,C9020,C8996,C8972,C8948,C8924,C8900)/POBLA!$B$19*100000</f>
        <v>147.5425315937741</v>
      </c>
      <c r="H9212" s="295">
        <f t="shared" si="794"/>
        <v>2.6501766784452299</v>
      </c>
    </row>
    <row r="9213" spans="1:8" x14ac:dyDescent="0.25">
      <c r="A9213" s="105" t="s">
        <v>38</v>
      </c>
      <c r="B9213" s="102">
        <v>44276</v>
      </c>
      <c r="C9213" s="63">
        <v>46</v>
      </c>
      <c r="D9213" s="21">
        <f t="shared" si="792"/>
        <v>38190</v>
      </c>
      <c r="F9213" s="57">
        <f t="shared" si="793"/>
        <v>623</v>
      </c>
      <c r="G9213" s="238">
        <f>SUM(C9213,C9189,C9165,C9141,C9117,C9093,C9069,C9045,C9021,C8997,C8973,C8949,C8925,C8901)/POBLA!$B$20*100000</f>
        <v>417.55765686440725</v>
      </c>
      <c r="H9213" s="295">
        <f t="shared" si="794"/>
        <v>1.0359565807327</v>
      </c>
    </row>
    <row r="9214" spans="1:8" x14ac:dyDescent="0.25">
      <c r="A9214" s="105" t="s">
        <v>23</v>
      </c>
      <c r="B9214" s="102">
        <v>44276</v>
      </c>
      <c r="C9214" s="63">
        <v>243</v>
      </c>
      <c r="D9214" s="21">
        <f t="shared" si="792"/>
        <v>225479</v>
      </c>
      <c r="E9214" s="4">
        <v>1</v>
      </c>
      <c r="F9214" s="57">
        <f t="shared" si="793"/>
        <v>4200</v>
      </c>
      <c r="G9214" s="238">
        <f>SUM(C9214,C9190,C9166,C9142,C9118,C9094,C9070,C9046,C9022,C8998,C8974,C8950,C8926,C8902)/POBLA!$B$21*100000</f>
        <v>175.77107683537412</v>
      </c>
      <c r="H9214" s="295">
        <f t="shared" si="794"/>
        <v>1.1942363112391932</v>
      </c>
    </row>
    <row r="9215" spans="1:8" x14ac:dyDescent="0.25">
      <c r="A9215" s="105" t="s">
        <v>39</v>
      </c>
      <c r="B9215" s="102">
        <v>44276</v>
      </c>
      <c r="C9215" s="63">
        <v>70</v>
      </c>
      <c r="D9215" s="21">
        <f t="shared" si="792"/>
        <v>24104</v>
      </c>
      <c r="F9215" s="57">
        <f t="shared" si="793"/>
        <v>277</v>
      </c>
      <c r="G9215" s="238">
        <f>SUM(C9215,C9191,C9167,C9143,C9119,C9095,C9071,C9047,C9023,C8999,C8975,C8951,C8927,C8903)/POBLA!$B$22*100000</f>
        <v>108.86086559209578</v>
      </c>
      <c r="H9215" s="295">
        <f t="shared" si="794"/>
        <v>1.2412587412587412</v>
      </c>
    </row>
    <row r="9216" spans="1:8" x14ac:dyDescent="0.25">
      <c r="A9216" s="105" t="s">
        <v>40</v>
      </c>
      <c r="B9216" s="102">
        <v>44276</v>
      </c>
      <c r="C9216" s="63">
        <v>23</v>
      </c>
      <c r="D9216" s="21">
        <f t="shared" si="792"/>
        <v>23586</v>
      </c>
      <c r="F9216" s="57">
        <f t="shared" si="793"/>
        <v>358</v>
      </c>
      <c r="G9216" s="238">
        <f>SUM(C9216,C9192,C9168,C9144,C9120,C9096,C9072,C9048,C9024,C9000,C8976,C8952,C8928,C8904)/POBLA!$B$23*100000</f>
        <v>231.86110954023638</v>
      </c>
      <c r="H9216" s="295">
        <f t="shared" si="794"/>
        <v>0.87234042553191493</v>
      </c>
    </row>
    <row r="9217" spans="1:8" ht="15.75" thickBot="1" x14ac:dyDescent="0.3">
      <c r="A9217" s="106" t="s">
        <v>41</v>
      </c>
      <c r="B9217" s="102">
        <v>44276</v>
      </c>
      <c r="C9217" s="63">
        <v>106</v>
      </c>
      <c r="D9217" s="98">
        <f t="shared" si="792"/>
        <v>83998</v>
      </c>
      <c r="F9217" s="255">
        <f t="shared" si="793"/>
        <v>1498</v>
      </c>
      <c r="G9217" s="256">
        <f>SUM(C9217,C9193,C9169,C9145,C9121,C9097,C9073,C9049,C9025,C9001,C8977,C8953,C8929,C8905)/POBLA!$B$24*100000</f>
        <v>187.23563956342761</v>
      </c>
      <c r="H9217" s="296">
        <f t="shared" si="794"/>
        <v>1.5410393394851869</v>
      </c>
    </row>
    <row r="9218" spans="1:8" x14ac:dyDescent="0.25">
      <c r="A9218" s="45" t="s">
        <v>17</v>
      </c>
      <c r="B9218" s="102">
        <v>44277</v>
      </c>
      <c r="C9218" s="63">
        <v>2627</v>
      </c>
      <c r="D9218" s="97">
        <f t="shared" si="792"/>
        <v>941859</v>
      </c>
      <c r="E9218" s="4">
        <v>35</v>
      </c>
      <c r="F9218" s="250">
        <f t="shared" si="793"/>
        <v>27536</v>
      </c>
      <c r="G9218" s="251">
        <f>SUM(C9218,C9194,C9170,C9146,C9122,C9098,C9074,C9050,C9026,C9002,C8978,C8954,C8930,C8906)/POBLA!$B$1*100000</f>
        <v>238.90122084988656</v>
      </c>
      <c r="H9218" s="294">
        <f t="shared" si="794"/>
        <v>1.1614101213901669</v>
      </c>
    </row>
    <row r="9219" spans="1:8" x14ac:dyDescent="0.25">
      <c r="A9219" s="105" t="s">
        <v>44</v>
      </c>
      <c r="B9219" s="102">
        <v>44277</v>
      </c>
      <c r="C9219" s="63">
        <v>895</v>
      </c>
      <c r="D9219" s="21">
        <f t="shared" si="792"/>
        <v>249098</v>
      </c>
      <c r="E9219" s="4">
        <v>30</v>
      </c>
      <c r="F9219" s="57">
        <f t="shared" si="793"/>
        <v>6795</v>
      </c>
      <c r="G9219" s="238">
        <f>SUM(C9219,C9195,C9171,C9147,C9123,C9099,C9075,C9051,C9027,C9003,C8979,C8955,C8931,C8907)/POBLA!$B$2*100000</f>
        <v>388.82888342806683</v>
      </c>
      <c r="H9219" s="295">
        <f t="shared" si="794"/>
        <v>1.2471582021065803</v>
      </c>
    </row>
    <row r="9220" spans="1:8" x14ac:dyDescent="0.25">
      <c r="A9220" s="105" t="s">
        <v>29</v>
      </c>
      <c r="B9220" s="102">
        <v>44277</v>
      </c>
      <c r="C9220" s="63">
        <v>61</v>
      </c>
      <c r="D9220" s="21">
        <f t="shared" si="792"/>
        <v>9761</v>
      </c>
      <c r="F9220" s="57">
        <f t="shared" si="793"/>
        <v>18</v>
      </c>
      <c r="G9220" s="238">
        <f>SUM(C9220,C9196,C9172,C9148,C9124,C9100,C9076,C9052,C9028,C9004,C8980,C8956,C8932,C8908)/POBLA!$B$3*100000</f>
        <v>297.03589946032861</v>
      </c>
      <c r="H9220" s="295">
        <f t="shared" si="794"/>
        <v>1.0721112076455257</v>
      </c>
    </row>
    <row r="9221" spans="1:8" x14ac:dyDescent="0.25">
      <c r="A9221" s="105" t="s">
        <v>16</v>
      </c>
      <c r="B9221" s="102">
        <v>44277</v>
      </c>
      <c r="C9221" s="63">
        <v>98</v>
      </c>
      <c r="D9221" s="21">
        <f t="shared" si="792"/>
        <v>37060</v>
      </c>
      <c r="E9221" s="4">
        <v>3</v>
      </c>
      <c r="F9221" s="57">
        <f t="shared" si="793"/>
        <v>910</v>
      </c>
      <c r="G9221" s="238">
        <f>SUM(C9221,C9197,C9173,C9149,C9125,C9101,C9077,C9053,C9029,C9005,C8981,C8957,C8933,C8909)/POBLA!$B$4*100000</f>
        <v>155.9100105351333</v>
      </c>
      <c r="H9221" s="295">
        <f t="shared" si="794"/>
        <v>1.0140388768898487</v>
      </c>
    </row>
    <row r="9222" spans="1:8" x14ac:dyDescent="0.25">
      <c r="A9222" s="105" t="s">
        <v>30</v>
      </c>
      <c r="B9222" s="102">
        <v>44277</v>
      </c>
      <c r="C9222" s="63">
        <v>115</v>
      </c>
      <c r="D9222" s="21">
        <f t="shared" si="792"/>
        <v>48862</v>
      </c>
      <c r="F9222" s="57">
        <f t="shared" si="793"/>
        <v>816</v>
      </c>
      <c r="G9222" s="238">
        <f>SUM(C9222,C9198,C9174,C9150,C9126,C9102,C9078,C9054,C9030,C9006,C8982,C8958,C8934,C8910)/POBLA!$B$5*100000</f>
        <v>201.77901562858443</v>
      </c>
      <c r="H9222" s="295">
        <f t="shared" si="794"/>
        <v>0.90441708906589424</v>
      </c>
    </row>
    <row r="9223" spans="1:8" x14ac:dyDescent="0.25">
      <c r="A9223" s="105" t="s">
        <v>31</v>
      </c>
      <c r="B9223" s="102">
        <v>44277</v>
      </c>
      <c r="C9223" s="63">
        <v>179</v>
      </c>
      <c r="D9223" s="21">
        <f t="shared" si="792"/>
        <v>26646</v>
      </c>
      <c r="F9223" s="57">
        <f t="shared" si="793"/>
        <v>317</v>
      </c>
      <c r="G9223" s="238">
        <f>SUM(C9223,C9199,C9175,C9151,C9127,C9103,C9079,C9055,C9031,C9007,C8983,C8959,C8935,C8911)/POBLA!$B$6*100000</f>
        <v>291.57718453141996</v>
      </c>
      <c r="H9223" s="295">
        <f t="shared" si="794"/>
        <v>1.4358523725834798</v>
      </c>
    </row>
    <row r="9224" spans="1:8" x14ac:dyDescent="0.25">
      <c r="A9224" s="105" t="s">
        <v>21</v>
      </c>
      <c r="B9224" s="102">
        <v>44277</v>
      </c>
      <c r="C9224" s="63">
        <v>612</v>
      </c>
      <c r="D9224" s="21">
        <f t="shared" si="792"/>
        <v>172811</v>
      </c>
      <c r="E9224" s="4">
        <v>7</v>
      </c>
      <c r="F9224" s="57">
        <f t="shared" si="793"/>
        <v>2976</v>
      </c>
      <c r="G9224" s="238">
        <f>SUM(C9224,C9200,C9176,C9152,C9128,C9104,C9080,C9056,C9032,C9008,C8984,C8960,C8936,C8912)/POBLA!$B$7*100000</f>
        <v>225.47833371006129</v>
      </c>
      <c r="H9224" s="295">
        <f>SUM(C9224,C9200,C9176,C9152,C9128,C9104,C9080,C9056,C9032,C9008,C8984,C8960,C8936,C8912)/SUM(C8888,C8864,C8840,C8816,C8792,C8768,C8744,C8720,C8696,C8672,C8648,C8624,C8600,C8576)</f>
        <v>1.0147199617041647</v>
      </c>
    </row>
    <row r="9225" spans="1:8" x14ac:dyDescent="0.25">
      <c r="A9225" s="105" t="s">
        <v>32</v>
      </c>
      <c r="B9225" s="102">
        <v>44277</v>
      </c>
      <c r="C9225" s="63">
        <v>173</v>
      </c>
      <c r="D9225" s="21">
        <f t="shared" si="792"/>
        <v>48298</v>
      </c>
      <c r="E9225" s="4">
        <v>9</v>
      </c>
      <c r="F9225" s="57">
        <f t="shared" ref="F9225:F9248" si="795">E9225+F9201</f>
        <v>935</v>
      </c>
      <c r="G9225" s="238">
        <f>SUM(C9225,C9201,C9177,C9153,C9129,C9105,C9081,C9057,C9033,C9009,C8985,C8961,C8937,C8913)/POBLA!$B$8*100000</f>
        <v>160.1776673369597</v>
      </c>
      <c r="H9225" s="295">
        <f t="shared" ref="H9225:H9247" si="796">SUM(C9225,C9201,C9177,C9153,C9129,C9105,C9081,C9057,C9033,C9009,C8985,C8961,C8937,C8913)/SUM(C8889,C8865,C8841,C8817,C8793,C8769,C8745,C8721,C8697,C8673,C8649,C8625,C8601,C8577)</f>
        <v>1.3454545454545455</v>
      </c>
    </row>
    <row r="9226" spans="1:8" x14ac:dyDescent="0.25">
      <c r="A9226" s="105" t="s">
        <v>42</v>
      </c>
      <c r="B9226" s="102">
        <v>44277</v>
      </c>
      <c r="C9226" s="63">
        <v>22</v>
      </c>
      <c r="D9226" s="21">
        <f t="shared" si="792"/>
        <v>1717</v>
      </c>
      <c r="E9226" s="4">
        <v>1</v>
      </c>
      <c r="F9226" s="57">
        <f t="shared" si="795"/>
        <v>26</v>
      </c>
      <c r="G9226" s="238">
        <f>SUM(C9226,C9202,C9178,C9154,C9130,C9106,C9082,C9058,C9034,C9010,C8986,C8962,C8938,C8914)/POBLA!$B$9*100000</f>
        <v>53.701876921907562</v>
      </c>
      <c r="H9226" s="295">
        <f t="shared" si="796"/>
        <v>1.26953125</v>
      </c>
    </row>
    <row r="9227" spans="1:8" x14ac:dyDescent="0.25">
      <c r="A9227" s="105" t="s">
        <v>33</v>
      </c>
      <c r="B9227" s="102">
        <v>44277</v>
      </c>
      <c r="C9227" s="63">
        <v>17</v>
      </c>
      <c r="D9227" s="21">
        <f t="shared" si="792"/>
        <v>22041</v>
      </c>
      <c r="E9227" s="4">
        <v>2</v>
      </c>
      <c r="F9227" s="57">
        <f t="shared" si="795"/>
        <v>948</v>
      </c>
      <c r="G9227" s="238">
        <f>SUM(C9227,C9203,C9179,C9155,C9131,C9107,C9083,C9059,C9035,C9011,C8987,C8963,C8939,C8915)/POBLA!$B$10*100000</f>
        <v>96.642672474739939</v>
      </c>
      <c r="H9227" s="295">
        <f t="shared" si="796"/>
        <v>0.6575463371579876</v>
      </c>
    </row>
    <row r="9228" spans="1:8" x14ac:dyDescent="0.25">
      <c r="A9228" s="105" t="s">
        <v>34</v>
      </c>
      <c r="B9228" s="102">
        <v>44277</v>
      </c>
      <c r="C9228" s="63">
        <v>67</v>
      </c>
      <c r="D9228" s="21">
        <f t="shared" si="792"/>
        <v>20556</v>
      </c>
      <c r="E9228" s="4">
        <v>2</v>
      </c>
      <c r="F9228" s="57">
        <f t="shared" si="795"/>
        <v>311</v>
      </c>
      <c r="G9228" s="238">
        <f>SUM(C9228,C9204,C9180,C9156,C9132,C9108,C9084,C9060,C9036,C9012,C8988,C8964,C8940,C8916)/POBLA!$B$11*100000</f>
        <v>347.62909147722837</v>
      </c>
      <c r="H9228" s="295">
        <f t="shared" si="796"/>
        <v>1.0844212358572671</v>
      </c>
    </row>
    <row r="9229" spans="1:8" x14ac:dyDescent="0.25">
      <c r="A9229" s="105" t="s">
        <v>22</v>
      </c>
      <c r="B9229" s="102">
        <v>44277</v>
      </c>
      <c r="C9229" s="63">
        <v>16</v>
      </c>
      <c r="D9229" s="21">
        <f t="shared" si="792"/>
        <v>10710</v>
      </c>
      <c r="E9229" s="4">
        <v>1</v>
      </c>
      <c r="F9229" s="57">
        <f t="shared" si="795"/>
        <v>448</v>
      </c>
      <c r="G9229" s="238">
        <f>SUM(C9229,C9205,C9181,C9157,C9133,C9109,C9085,C9061,C9037,C9013,C8989,C8965,C8941,C8917)/POBLA!$B$12*100000</f>
        <v>83.856163809204361</v>
      </c>
      <c r="H9229" s="295">
        <f t="shared" si="796"/>
        <v>0.99099099099099097</v>
      </c>
    </row>
    <row r="9230" spans="1:8" x14ac:dyDescent="0.25">
      <c r="A9230" s="105" t="s">
        <v>18</v>
      </c>
      <c r="B9230" s="102">
        <v>44277</v>
      </c>
      <c r="C9230" s="63">
        <v>123</v>
      </c>
      <c r="D9230" s="21">
        <f t="shared" si="792"/>
        <v>70574</v>
      </c>
      <c r="E9230" s="4">
        <v>2</v>
      </c>
      <c r="F9230" s="57">
        <f t="shared" si="795"/>
        <v>1488</v>
      </c>
      <c r="G9230" s="238">
        <f>SUM(C9230,C9206,C9182,C9158,C9134,C9110,C9086,C9062,C9038,C9014,C8990,C8966,C8942,C8918)/POBLA!$B$13*100000</f>
        <v>111.48860143352535</v>
      </c>
      <c r="H9230" s="295">
        <f t="shared" si="796"/>
        <v>1.1414609053497942</v>
      </c>
    </row>
    <row r="9231" spans="1:8" x14ac:dyDescent="0.25">
      <c r="A9231" s="105" t="s">
        <v>24</v>
      </c>
      <c r="B9231" s="102">
        <v>44277</v>
      </c>
      <c r="C9231" s="63">
        <v>107</v>
      </c>
      <c r="D9231" s="21">
        <f t="shared" si="792"/>
        <v>10902</v>
      </c>
      <c r="E9231" s="4">
        <v>5</v>
      </c>
      <c r="F9231" s="57">
        <f t="shared" si="795"/>
        <v>188</v>
      </c>
      <c r="G9231" s="238">
        <f>SUM(C9231,C9207,C9183,C9159,C9135,C9111,C9087,C9063,C9039,C9015,C8991,C8967,C8943,C8919)/POBLA!$B$14*100000</f>
        <v>132.48298969153902</v>
      </c>
      <c r="H9231" s="295">
        <f t="shared" si="796"/>
        <v>1.0302096177558571</v>
      </c>
    </row>
    <row r="9232" spans="1:8" x14ac:dyDescent="0.25">
      <c r="A9232" s="105" t="s">
        <v>20</v>
      </c>
      <c r="B9232" s="102">
        <v>44277</v>
      </c>
      <c r="C9232" s="63">
        <v>138</v>
      </c>
      <c r="D9232" s="21">
        <f t="shared" si="792"/>
        <v>64195</v>
      </c>
      <c r="E9232" s="4">
        <v>3</v>
      </c>
      <c r="F9232" s="57">
        <f t="shared" si="795"/>
        <v>980</v>
      </c>
      <c r="G9232" s="238">
        <f>SUM(C9232,C9208,C9184,C9160,C9136,C9112,C9088,C9064,C9040,C9016,C8992,C8968,C8944,C8920)/POBLA!$B$15*100000</f>
        <v>266.84456304202797</v>
      </c>
      <c r="H9232" s="295">
        <f t="shared" si="796"/>
        <v>0.79426266248319144</v>
      </c>
    </row>
    <row r="9233" spans="1:8" x14ac:dyDescent="0.25">
      <c r="A9233" s="105" t="s">
        <v>19</v>
      </c>
      <c r="B9233" s="102">
        <v>44277</v>
      </c>
      <c r="C9233" s="63">
        <v>100</v>
      </c>
      <c r="D9233" s="21">
        <f t="shared" si="792"/>
        <v>54501</v>
      </c>
      <c r="E9233" s="4">
        <v>2</v>
      </c>
      <c r="F9233" s="57">
        <f t="shared" si="795"/>
        <v>1257</v>
      </c>
      <c r="G9233" s="238">
        <f>SUM(C9233,C9209,C9185,C9161,C9137,C9113,C9089,C9065,C9041,C9017,C8993,C8969,C8945,C8921)/POBLA!$B$16*100000</f>
        <v>170.40970559516325</v>
      </c>
      <c r="H9233" s="295">
        <f t="shared" si="796"/>
        <v>0.77025392986698915</v>
      </c>
    </row>
    <row r="9234" spans="1:8" x14ac:dyDescent="0.25">
      <c r="A9234" s="105" t="s">
        <v>35</v>
      </c>
      <c r="B9234" s="102">
        <v>44277</v>
      </c>
      <c r="C9234" s="63">
        <v>89</v>
      </c>
      <c r="D9234" s="21">
        <f t="shared" si="792"/>
        <v>28395</v>
      </c>
      <c r="E9234" s="4">
        <v>11</v>
      </c>
      <c r="F9234" s="57">
        <f t="shared" si="795"/>
        <v>1186</v>
      </c>
      <c r="G9234" s="238">
        <f>SUM(C9234,C9210,C9186,C9162,C9138,C9114,C9090,C9066,C9042,C9018,C8994,C8970,C8946,C8922)/POBLA!$B$17*100000</f>
        <v>104.67587336957322</v>
      </c>
      <c r="H9234" s="295">
        <f t="shared" si="796"/>
        <v>1.0463157894736843</v>
      </c>
    </row>
    <row r="9235" spans="1:8" x14ac:dyDescent="0.25">
      <c r="A9235" s="105" t="s">
        <v>36</v>
      </c>
      <c r="B9235" s="102">
        <v>44277</v>
      </c>
      <c r="C9235" s="63">
        <v>76</v>
      </c>
      <c r="D9235" s="21">
        <f t="shared" si="792"/>
        <v>16391</v>
      </c>
      <c r="E9235" s="4">
        <v>1</v>
      </c>
      <c r="F9235" s="57">
        <f t="shared" si="795"/>
        <v>222</v>
      </c>
      <c r="G9235" s="238">
        <f>SUM(C9235,C9211,C9187,C9163,C9139,C9115,C9091,C9067,C9043,C9019,C8995,C8971,C8947,C8923)/POBLA!$B$18*100000</f>
        <v>99.716212012795424</v>
      </c>
      <c r="H9235" s="295">
        <f t="shared" si="796"/>
        <v>1.252411575562701</v>
      </c>
    </row>
    <row r="9236" spans="1:8" x14ac:dyDescent="0.25">
      <c r="A9236" s="105" t="s">
        <v>37</v>
      </c>
      <c r="B9236" s="102">
        <v>44277</v>
      </c>
      <c r="C9236" s="63">
        <v>1</v>
      </c>
      <c r="D9236" s="21">
        <f t="shared" si="792"/>
        <v>21553</v>
      </c>
      <c r="E9236" s="4">
        <v>4</v>
      </c>
      <c r="F9236" s="57">
        <f t="shared" si="795"/>
        <v>382</v>
      </c>
      <c r="G9236" s="238">
        <f>SUM(C9236,C9212,C9188,C9164,C9140,C9116,C9092,C9068,C9044,C9020,C8996,C8972,C8948,C8924)/POBLA!$B$19*100000</f>
        <v>147.14908484285738</v>
      </c>
      <c r="H9236" s="295">
        <f t="shared" si="796"/>
        <v>2.8441064638783269</v>
      </c>
    </row>
    <row r="9237" spans="1:8" x14ac:dyDescent="0.25">
      <c r="A9237" s="105" t="s">
        <v>38</v>
      </c>
      <c r="B9237" s="102">
        <v>44277</v>
      </c>
      <c r="C9237" s="63">
        <v>98</v>
      </c>
      <c r="D9237" s="21">
        <f t="shared" si="792"/>
        <v>38288</v>
      </c>
      <c r="E9237" s="4">
        <v>1</v>
      </c>
      <c r="F9237" s="57">
        <f t="shared" si="795"/>
        <v>624</v>
      </c>
      <c r="G9237" s="238">
        <f>SUM(C9237,C9213,C9189,C9165,C9141,C9117,C9093,C9069,C9045,C9021,C8997,C8973,C8949,C8925)/POBLA!$B$20*100000</f>
        <v>418.65145557263094</v>
      </c>
      <c r="H9237" s="295">
        <f t="shared" si="796"/>
        <v>1.0602493074792243</v>
      </c>
    </row>
    <row r="9238" spans="1:8" x14ac:dyDescent="0.25">
      <c r="A9238" s="105" t="s">
        <v>23</v>
      </c>
      <c r="B9238" s="102">
        <v>44277</v>
      </c>
      <c r="C9238" s="63">
        <v>436</v>
      </c>
      <c r="D9238" s="21">
        <f t="shared" si="792"/>
        <v>225915</v>
      </c>
      <c r="E9238" s="4">
        <v>5</v>
      </c>
      <c r="F9238" s="57">
        <f t="shared" si="795"/>
        <v>4205</v>
      </c>
      <c r="G9238" s="238">
        <f>SUM(C9238,C9214,C9190,C9166,C9142,C9118,C9094,C9070,C9046,C9022,C8998,C8974,C8950,C8926)/POBLA!$B$21*100000</f>
        <v>179.92782527404847</v>
      </c>
      <c r="H9238" s="295">
        <f t="shared" si="796"/>
        <v>1.2321843532145624</v>
      </c>
    </row>
    <row r="9239" spans="1:8" x14ac:dyDescent="0.25">
      <c r="A9239" s="105" t="s">
        <v>39</v>
      </c>
      <c r="B9239" s="102">
        <v>44277</v>
      </c>
      <c r="C9239" s="63">
        <v>78</v>
      </c>
      <c r="D9239" s="21">
        <f t="shared" si="792"/>
        <v>24182</v>
      </c>
      <c r="E9239" s="4">
        <v>1</v>
      </c>
      <c r="F9239" s="57">
        <f t="shared" si="795"/>
        <v>278</v>
      </c>
      <c r="G9239" s="238">
        <f>SUM(C9239,C9215,C9191,C9167,C9143,C9119,C9095,C9071,C9047,C9023,C8999,C8975,C8951,C8927)/POBLA!$B$22*100000</f>
        <v>112.33623594902654</v>
      </c>
      <c r="H9239" s="295">
        <f t="shared" si="796"/>
        <v>1.2690531177829099</v>
      </c>
    </row>
    <row r="9240" spans="1:8" x14ac:dyDescent="0.25">
      <c r="A9240" s="105" t="s">
        <v>40</v>
      </c>
      <c r="B9240" s="102">
        <v>44277</v>
      </c>
      <c r="C9240" s="63">
        <v>34</v>
      </c>
      <c r="D9240" s="21">
        <f t="shared" si="792"/>
        <v>23620</v>
      </c>
      <c r="F9240" s="57">
        <f t="shared" si="795"/>
        <v>358</v>
      </c>
      <c r="G9240" s="238">
        <f>SUM(C9240,C9216,C9192,C9168,C9144,C9120,C9096,C9072,C9048,C9024,C9000,C8976,C8952,C8928)/POBLA!$B$23*100000</f>
        <v>231.86110954023638</v>
      </c>
      <c r="H9240" s="295">
        <f t="shared" si="796"/>
        <v>0.88744588744588748</v>
      </c>
    </row>
    <row r="9241" spans="1:8" ht="15.75" thickBot="1" x14ac:dyDescent="0.3">
      <c r="A9241" s="106" t="s">
        <v>41</v>
      </c>
      <c r="B9241" s="102">
        <v>44277</v>
      </c>
      <c r="C9241" s="63">
        <v>239</v>
      </c>
      <c r="D9241" s="98">
        <f t="shared" si="792"/>
        <v>84237</v>
      </c>
      <c r="F9241" s="255">
        <f t="shared" si="795"/>
        <v>1498</v>
      </c>
      <c r="G9241" s="256">
        <f>SUM(C9241,C9217,C9193,C9169,C9145,C9121,C9097,C9073,C9049,C9025,C9001,C8977,C8953,C8929)/POBLA!$B$24*100000</f>
        <v>193.66762339967522</v>
      </c>
      <c r="H9241" s="296">
        <f t="shared" si="796"/>
        <v>1.6104023552502453</v>
      </c>
    </row>
    <row r="9242" spans="1:8" x14ac:dyDescent="0.25">
      <c r="A9242" s="45" t="s">
        <v>17</v>
      </c>
      <c r="B9242" s="102">
        <v>44278</v>
      </c>
      <c r="C9242" s="63">
        <v>4377</v>
      </c>
      <c r="D9242" s="97">
        <f t="shared" si="792"/>
        <v>946236</v>
      </c>
      <c r="E9242" s="4">
        <v>60</v>
      </c>
      <c r="F9242" s="250">
        <f t="shared" si="795"/>
        <v>27596</v>
      </c>
      <c r="G9242" s="251">
        <f>SUM(C9242,C9218,C9194,C9170,C9146,C9122,C9098,C9074,C9050,C9026,C9002,C8978,C8954,C8930)/POBLA!$B$1*100000</f>
        <v>245.91900834729051</v>
      </c>
      <c r="H9242" s="294">
        <f t="shared" si="796"/>
        <v>1.2041032798325191</v>
      </c>
    </row>
    <row r="9243" spans="1:8" x14ac:dyDescent="0.25">
      <c r="A9243" s="105" t="s">
        <v>44</v>
      </c>
      <c r="B9243" s="102">
        <v>44278</v>
      </c>
      <c r="C9243" s="63">
        <v>1180</v>
      </c>
      <c r="D9243" s="21">
        <f t="shared" si="792"/>
        <v>250278</v>
      </c>
      <c r="E9243" s="4">
        <v>11</v>
      </c>
      <c r="F9243" s="57">
        <f t="shared" si="795"/>
        <v>6806</v>
      </c>
      <c r="G9243" s="238">
        <f>SUM(C9243,C9219,C9195,C9171,C9147,C9123,C9099,C9075,C9051,C9027,C9003,C8979,C8955,C8931)/POBLA!$B$2*100000</f>
        <v>398.68047233004057</v>
      </c>
      <c r="H9243" s="295">
        <f t="shared" si="796"/>
        <v>1.2722556547001453</v>
      </c>
    </row>
    <row r="9244" spans="1:8" x14ac:dyDescent="0.25">
      <c r="A9244" s="105" t="s">
        <v>29</v>
      </c>
      <c r="B9244" s="102">
        <v>44278</v>
      </c>
      <c r="C9244" s="63">
        <v>83</v>
      </c>
      <c r="D9244" s="21">
        <f t="shared" si="792"/>
        <v>9844</v>
      </c>
      <c r="F9244" s="57">
        <f t="shared" si="795"/>
        <v>18</v>
      </c>
      <c r="G9244" s="238">
        <f>SUM(C9244,C9220,C9196,C9172,C9148,C9124,C9100,C9076,C9052,C9028,C9004,C8980,C8956,C8932)/POBLA!$B$3*100000</f>
        <v>294.86951121466979</v>
      </c>
      <c r="H9244" s="295">
        <f t="shared" si="796"/>
        <v>1.0372565622353938</v>
      </c>
    </row>
    <row r="9245" spans="1:8" x14ac:dyDescent="0.25">
      <c r="A9245" s="105" t="s">
        <v>16</v>
      </c>
      <c r="B9245" s="102">
        <v>44278</v>
      </c>
      <c r="C9245" s="63">
        <v>135</v>
      </c>
      <c r="D9245" s="21">
        <f t="shared" si="792"/>
        <v>37195</v>
      </c>
      <c r="E9245" s="4">
        <v>2</v>
      </c>
      <c r="F9245" s="57">
        <f t="shared" si="795"/>
        <v>912</v>
      </c>
      <c r="G9245" s="238">
        <f>SUM(C9245,C9221,C9197,C9173,C9149,C9125,C9101,C9077,C9053,C9029,C9005,C8981,C8957,C8933)/POBLA!$B$4*100000</f>
        <v>158.98172000787022</v>
      </c>
      <c r="H9245" s="295">
        <f t="shared" si="796"/>
        <v>1.0886867538374077</v>
      </c>
    </row>
    <row r="9246" spans="1:8" x14ac:dyDescent="0.25">
      <c r="A9246" s="105" t="s">
        <v>30</v>
      </c>
      <c r="B9246" s="102">
        <v>44278</v>
      </c>
      <c r="C9246" s="63">
        <v>156</v>
      </c>
      <c r="D9246" s="21">
        <f t="shared" si="792"/>
        <v>49018</v>
      </c>
      <c r="E9246" s="4">
        <v>29</v>
      </c>
      <c r="F9246" s="57">
        <f t="shared" si="795"/>
        <v>845</v>
      </c>
      <c r="G9246" s="238">
        <f>SUM(C9246,C9222,C9198,C9174,C9150,C9126,C9102,C9078,C9054,C9030,C9006,C8982,C8958,C8934)/POBLA!$B$5*100000</f>
        <v>210.98750553317154</v>
      </c>
      <c r="H9246" s="295">
        <f t="shared" si="796"/>
        <v>1</v>
      </c>
    </row>
    <row r="9247" spans="1:8" x14ac:dyDescent="0.25">
      <c r="A9247" s="105" t="s">
        <v>31</v>
      </c>
      <c r="B9247" s="102">
        <v>44278</v>
      </c>
      <c r="C9247" s="63">
        <v>104</v>
      </c>
      <c r="D9247" s="21">
        <f t="shared" si="792"/>
        <v>26750</v>
      </c>
      <c r="E9247" s="4">
        <v>1</v>
      </c>
      <c r="F9247" s="57">
        <f t="shared" si="795"/>
        <v>318</v>
      </c>
      <c r="G9247" s="238">
        <f>SUM(C9247,C9223,C9199,C9175,C9151,C9127,C9103,C9079,C9055,C9031,C9007,C8983,C8959,C8935)/POBLA!$B$6*100000</f>
        <v>278.90767406524441</v>
      </c>
      <c r="H9247" s="295">
        <f t="shared" si="796"/>
        <v>1.2795742939009416</v>
      </c>
    </row>
    <row r="9248" spans="1:8" x14ac:dyDescent="0.25">
      <c r="A9248" s="105" t="s">
        <v>21</v>
      </c>
      <c r="B9248" s="102">
        <v>44278</v>
      </c>
      <c r="C9248" s="63">
        <v>817</v>
      </c>
      <c r="D9248" s="21">
        <f t="shared" si="792"/>
        <v>173628</v>
      </c>
      <c r="E9248" s="4">
        <v>8</v>
      </c>
      <c r="F9248" s="57">
        <f t="shared" si="795"/>
        <v>2984</v>
      </c>
      <c r="G9248" s="238">
        <f>SUM(C9248,C9224,C9200,C9176,C9152,C9128,C9104,C9080,C9056,C9032,C9008,C8984,C8960,C8936)/POBLA!$B$7*100000</f>
        <v>228.61625603318751</v>
      </c>
      <c r="H9248" s="295">
        <f>SUM(C9248,C9224,C9200,C9176,C9152,C9128,C9104,C9080,C9056,C9032,C9008,C8984,C8960,C8936)/SUM(C8912,C8888,C8864,C8840,C8816,C8792,C8768,C8744,C8720,C8696,C8672,C8648,C8624,C8600)</f>
        <v>1.0448468643655811</v>
      </c>
    </row>
    <row r="9249" spans="1:8" x14ac:dyDescent="0.25">
      <c r="A9249" s="105" t="s">
        <v>32</v>
      </c>
      <c r="B9249" s="102">
        <v>44278</v>
      </c>
      <c r="C9249" s="63">
        <v>179</v>
      </c>
      <c r="D9249" s="21">
        <f t="shared" si="792"/>
        <v>48477</v>
      </c>
      <c r="E9249" s="4">
        <v>2</v>
      </c>
      <c r="F9249" s="57">
        <f t="shared" ref="F9249:F9265" si="797">E9249+F9225</f>
        <v>937</v>
      </c>
      <c r="G9249" s="238">
        <f>SUM(C9249,C9225,C9201,C9177,C9153,C9129,C9105,C9081,C9057,C9033,C9009,C8985,C8961,C8937)/POBLA!$B$8*100000</f>
        <v>161.62070938504041</v>
      </c>
      <c r="H9249" s="295">
        <f t="shared" ref="H9249:H9265" si="798">SUM(C9249,C9225,C9201,C9177,C9153,C9129,C9105,C9081,C9057,C9033,C9009,C8985,C8961,C8937)/SUM(C8913,C8889,C8865,C8841,C8817,C8793,C8769,C8745,C8721,C8697,C8673,C8649,C8625,C8601)</f>
        <v>1.3453453453453454</v>
      </c>
    </row>
    <row r="9250" spans="1:8" x14ac:dyDescent="0.25">
      <c r="A9250" s="105" t="s">
        <v>42</v>
      </c>
      <c r="B9250" s="102">
        <v>44278</v>
      </c>
      <c r="C9250" s="63">
        <v>32</v>
      </c>
      <c r="D9250" s="21">
        <f t="shared" si="792"/>
        <v>1749</v>
      </c>
      <c r="E9250" s="4">
        <v>1</v>
      </c>
      <c r="F9250" s="57">
        <f t="shared" si="797"/>
        <v>27</v>
      </c>
      <c r="G9250" s="238">
        <f>SUM(C9250,C9226,C9202,C9178,C9154,C9130,C9106,C9082,C9058,C9034,C9010,C8986,C8962,C8938)/POBLA!$B$9*100000</f>
        <v>54.362823099407954</v>
      </c>
      <c r="H9250" s="295">
        <f t="shared" si="798"/>
        <v>1.3055555555555556</v>
      </c>
    </row>
    <row r="9251" spans="1:8" x14ac:dyDescent="0.25">
      <c r="A9251" s="105" t="s">
        <v>33</v>
      </c>
      <c r="B9251" s="102">
        <v>44278</v>
      </c>
      <c r="C9251" s="63">
        <v>50</v>
      </c>
      <c r="D9251" s="21">
        <f t="shared" si="792"/>
        <v>22091</v>
      </c>
      <c r="E9251" s="4">
        <v>4</v>
      </c>
      <c r="F9251" s="57">
        <f t="shared" si="797"/>
        <v>952</v>
      </c>
      <c r="G9251" s="238">
        <f>SUM(C9251,C9227,C9203,C9179,C9155,C9131,C9107,C9083,C9059,C9035,C9011,C8987,C8963,C8939)/POBLA!$B$10*100000</f>
        <v>94.307681730383806</v>
      </c>
      <c r="H9251" s="295">
        <f t="shared" si="798"/>
        <v>0.67190388170055448</v>
      </c>
    </row>
    <row r="9252" spans="1:8" x14ac:dyDescent="0.25">
      <c r="A9252" s="105" t="s">
        <v>34</v>
      </c>
      <c r="B9252" s="102">
        <v>44278</v>
      </c>
      <c r="C9252" s="63">
        <v>94</v>
      </c>
      <c r="D9252" s="21">
        <f t="shared" si="792"/>
        <v>20650</v>
      </c>
      <c r="E9252" s="4">
        <v>2</v>
      </c>
      <c r="F9252" s="57">
        <f t="shared" si="797"/>
        <v>313</v>
      </c>
      <c r="G9252" s="238">
        <f>SUM(C9252,C9228,C9204,C9180,C9156,C9132,C9108,C9084,C9060,C9036,C9012,C8988,C8964,C8940)/POBLA!$B$11*100000</f>
        <v>343.16515450801836</v>
      </c>
      <c r="H9252" s="295">
        <f t="shared" si="798"/>
        <v>1.028428093645485</v>
      </c>
    </row>
    <row r="9253" spans="1:8" x14ac:dyDescent="0.25">
      <c r="A9253" s="105" t="s">
        <v>22</v>
      </c>
      <c r="B9253" s="102">
        <v>44278</v>
      </c>
      <c r="C9253" s="63">
        <v>25</v>
      </c>
      <c r="D9253" s="21">
        <f t="shared" si="792"/>
        <v>10735</v>
      </c>
      <c r="F9253" s="57">
        <f t="shared" si="797"/>
        <v>448</v>
      </c>
      <c r="G9253" s="238">
        <f>SUM(C9253,C9229,C9205,C9181,C9157,C9133,C9109,C9085,C9061,C9037,C9013,C8989,C8965,C8941)/POBLA!$B$12*100000</f>
        <v>86.651369269511179</v>
      </c>
      <c r="H9253" s="295">
        <f t="shared" si="798"/>
        <v>1.0524691358024691</v>
      </c>
    </row>
    <row r="9254" spans="1:8" x14ac:dyDescent="0.25">
      <c r="A9254" s="105" t="s">
        <v>18</v>
      </c>
      <c r="B9254" s="102">
        <v>44278</v>
      </c>
      <c r="C9254" s="63">
        <v>252</v>
      </c>
      <c r="D9254" s="21">
        <f t="shared" si="792"/>
        <v>70826</v>
      </c>
      <c r="E9254" s="4">
        <v>3</v>
      </c>
      <c r="F9254" s="57">
        <f t="shared" si="797"/>
        <v>1491</v>
      </c>
      <c r="G9254" s="238">
        <f>SUM(C9254,C9230,C9206,C9182,C9158,C9134,C9110,C9086,C9062,C9038,C9014,C8990,C8966,C8942)/POBLA!$B$13*100000</f>
        <v>113.90025211798196</v>
      </c>
      <c r="H9254" s="295">
        <f t="shared" si="798"/>
        <v>1.1239464551313831</v>
      </c>
    </row>
    <row r="9255" spans="1:8" x14ac:dyDescent="0.25">
      <c r="A9255" s="105" t="s">
        <v>24</v>
      </c>
      <c r="B9255" s="102">
        <v>44278</v>
      </c>
      <c r="C9255" s="63">
        <v>124</v>
      </c>
      <c r="D9255" s="21">
        <f t="shared" si="792"/>
        <v>11026</v>
      </c>
      <c r="E9255" s="4">
        <v>2</v>
      </c>
      <c r="F9255" s="57">
        <f t="shared" si="797"/>
        <v>190</v>
      </c>
      <c r="G9255" s="238">
        <f>SUM(C9255,C9231,C9207,C9183,C9159,C9135,C9111,C9087,C9063,C9039,C9015,C8991,C8967,C8943)/POBLA!$B$14*100000</f>
        <v>132.56227334784754</v>
      </c>
      <c r="H9255" s="295">
        <f t="shared" si="798"/>
        <v>1.0226299694189602</v>
      </c>
    </row>
    <row r="9256" spans="1:8" x14ac:dyDescent="0.25">
      <c r="A9256" s="105" t="s">
        <v>20</v>
      </c>
      <c r="B9256" s="102">
        <v>44278</v>
      </c>
      <c r="C9256" s="63">
        <v>143</v>
      </c>
      <c r="D9256" s="21">
        <f t="shared" si="792"/>
        <v>64338</v>
      </c>
      <c r="E9256" s="4">
        <v>3</v>
      </c>
      <c r="F9256" s="57">
        <f t="shared" si="797"/>
        <v>983</v>
      </c>
      <c r="G9256" s="238">
        <f>SUM(C9256,C9232,C9208,C9184,C9160,C9136,C9112,C9088,C9064,C9040,C9016,C8992,C8968,C8944)/POBLA!$B$15*100000</f>
        <v>264.88689976914634</v>
      </c>
      <c r="H9256" s="295">
        <f t="shared" si="798"/>
        <v>0.79954545454545456</v>
      </c>
    </row>
    <row r="9257" spans="1:8" x14ac:dyDescent="0.25">
      <c r="A9257" s="105" t="s">
        <v>19</v>
      </c>
      <c r="B9257" s="102">
        <v>44278</v>
      </c>
      <c r="C9257" s="63">
        <v>116</v>
      </c>
      <c r="D9257" s="21">
        <f t="shared" si="792"/>
        <v>54617</v>
      </c>
      <c r="E9257" s="4">
        <v>7</v>
      </c>
      <c r="F9257" s="57">
        <f t="shared" si="797"/>
        <v>1264</v>
      </c>
      <c r="G9257" s="238">
        <f>SUM(C9257,C9233,C9209,C9185,C9161,C9137,C9113,C9089,C9065,C9041,C9017,C8993,C8969,C8945)/POBLA!$B$16*100000</f>
        <v>167.19947566244431</v>
      </c>
      <c r="H9257" s="295">
        <f t="shared" si="798"/>
        <v>0.76970443349753692</v>
      </c>
    </row>
    <row r="9258" spans="1:8" x14ac:dyDescent="0.25">
      <c r="A9258" s="105" t="s">
        <v>35</v>
      </c>
      <c r="B9258" s="102">
        <v>44278</v>
      </c>
      <c r="C9258" s="63">
        <v>132</v>
      </c>
      <c r="D9258" s="21">
        <f t="shared" ref="D9258:D9265" si="799">C9258+D9234</f>
        <v>28527</v>
      </c>
      <c r="E9258" s="4">
        <v>8</v>
      </c>
      <c r="F9258" s="57">
        <f t="shared" si="797"/>
        <v>1194</v>
      </c>
      <c r="G9258" s="238">
        <f>SUM(C9258,C9234,C9210,C9186,C9162,C9138,C9114,C9090,C9066,C9042,C9018,C8994,C8970,C8946)/POBLA!$B$17*100000</f>
        <v>104.7460785160317</v>
      </c>
      <c r="H9258" s="295">
        <f t="shared" si="798"/>
        <v>1.0233196159122084</v>
      </c>
    </row>
    <row r="9259" spans="1:8" x14ac:dyDescent="0.25">
      <c r="A9259" s="105" t="s">
        <v>36</v>
      </c>
      <c r="B9259" s="102">
        <v>44278</v>
      </c>
      <c r="C9259" s="63">
        <v>92</v>
      </c>
      <c r="D9259" s="21">
        <f t="shared" si="799"/>
        <v>16483</v>
      </c>
      <c r="F9259" s="57">
        <f t="shared" si="797"/>
        <v>222</v>
      </c>
      <c r="G9259" s="238">
        <f>SUM(C9259,C9235,C9211,C9187,C9163,C9139,C9115,C9091,C9067,C9043,C9019,C8995,C8971,C8947)/POBLA!$B$18*100000</f>
        <v>103.30036340735033</v>
      </c>
      <c r="H9259" s="295">
        <f t="shared" si="798"/>
        <v>1.3121951219512196</v>
      </c>
    </row>
    <row r="9260" spans="1:8" x14ac:dyDescent="0.25">
      <c r="A9260" s="105" t="s">
        <v>37</v>
      </c>
      <c r="B9260" s="102">
        <v>44278</v>
      </c>
      <c r="C9260" s="63">
        <v>1</v>
      </c>
      <c r="D9260" s="21">
        <f t="shared" si="799"/>
        <v>21554</v>
      </c>
      <c r="E9260" s="4">
        <v>1</v>
      </c>
      <c r="F9260" s="57">
        <f t="shared" si="797"/>
        <v>383</v>
      </c>
      <c r="G9260" s="238">
        <f>SUM(C9260,C9236,C9212,C9188,C9164,C9140,C9116,C9092,C9068,C9044,C9020,C8996,C8972,C8948)/POBLA!$B$19*100000</f>
        <v>146.16546796556554</v>
      </c>
      <c r="H9260" s="295">
        <f t="shared" si="798"/>
        <v>2.8798449612403099</v>
      </c>
    </row>
    <row r="9261" spans="1:8" x14ac:dyDescent="0.25">
      <c r="A9261" s="105" t="s">
        <v>38</v>
      </c>
      <c r="B9261" s="102">
        <v>44278</v>
      </c>
      <c r="C9261" s="63">
        <v>120</v>
      </c>
      <c r="D9261" s="21">
        <f t="shared" si="799"/>
        <v>38408</v>
      </c>
      <c r="F9261" s="57">
        <f t="shared" si="797"/>
        <v>624</v>
      </c>
      <c r="G9261" s="238">
        <f>SUM(C9261,C9237,C9213,C9189,C9165,C9141,C9117,C9093,C9069,C9045,C9021,C8997,C8973,C8949)/POBLA!$B$20*100000</f>
        <v>432.87083877953944</v>
      </c>
      <c r="H9261" s="295">
        <f t="shared" si="798"/>
        <v>1.1347670250896058</v>
      </c>
    </row>
    <row r="9262" spans="1:8" x14ac:dyDescent="0.25">
      <c r="A9262" s="105" t="s">
        <v>23</v>
      </c>
      <c r="B9262" s="102">
        <v>44278</v>
      </c>
      <c r="C9262" s="63">
        <v>656</v>
      </c>
      <c r="D9262" s="21">
        <f t="shared" si="799"/>
        <v>226571</v>
      </c>
      <c r="E9262" s="4">
        <v>2</v>
      </c>
      <c r="F9262" s="57">
        <f t="shared" si="797"/>
        <v>4207</v>
      </c>
      <c r="G9262" s="238">
        <f>SUM(C9262,C9238,C9214,C9190,C9166,C9142,C9118,C9094,C9070,C9046,C9022,C8998,C8974,C8950)/POBLA!$B$21*100000</f>
        <v>183.9431877114074</v>
      </c>
      <c r="H9262" s="295">
        <f t="shared" si="798"/>
        <v>1.2310749432248296</v>
      </c>
    </row>
    <row r="9263" spans="1:8" x14ac:dyDescent="0.25">
      <c r="A9263" s="105" t="s">
        <v>39</v>
      </c>
      <c r="B9263" s="102">
        <v>44278</v>
      </c>
      <c r="C9263" s="63">
        <v>54</v>
      </c>
      <c r="D9263" s="21">
        <f t="shared" si="799"/>
        <v>24236</v>
      </c>
      <c r="E9263" s="4">
        <v>4</v>
      </c>
      <c r="F9263" s="57">
        <f t="shared" si="797"/>
        <v>282</v>
      </c>
      <c r="G9263" s="238">
        <f>SUM(C9263,C9239,C9215,C9191,C9167,C9143,C9119,C9095,C9071,C9047,C9023,C8999,C8975,C8951)/POBLA!$B$22*100000</f>
        <v>113.56283725147269</v>
      </c>
      <c r="H9263" s="295">
        <f t="shared" si="798"/>
        <v>1.3070588235294118</v>
      </c>
    </row>
    <row r="9264" spans="1:8" x14ac:dyDescent="0.25">
      <c r="A9264" s="105" t="s">
        <v>40</v>
      </c>
      <c r="B9264" s="102">
        <v>44278</v>
      </c>
      <c r="C9264" s="63">
        <v>42</v>
      </c>
      <c r="D9264" s="21">
        <f t="shared" si="799"/>
        <v>23662</v>
      </c>
      <c r="E9264" s="4">
        <v>3</v>
      </c>
      <c r="F9264" s="57">
        <f t="shared" si="797"/>
        <v>361</v>
      </c>
      <c r="G9264" s="238">
        <f>SUM(C9264,C9240,C9216,C9192,C9168,C9144,C9120,C9096,C9072,C9048,C9024,C9000,C8976,C8952)/POBLA!$B$23*100000</f>
        <v>238.08177345473052</v>
      </c>
      <c r="H9264" s="295">
        <f t="shared" si="798"/>
        <v>0.94394618834080712</v>
      </c>
    </row>
    <row r="9265" spans="1:8" ht="15.75" thickBot="1" x14ac:dyDescent="0.3">
      <c r="A9265" s="106" t="s">
        <v>41</v>
      </c>
      <c r="B9265" s="102">
        <v>44278</v>
      </c>
      <c r="C9265" s="63">
        <v>441</v>
      </c>
      <c r="D9265" s="98">
        <f t="shared" si="799"/>
        <v>84678</v>
      </c>
      <c r="F9265" s="255">
        <f t="shared" si="797"/>
        <v>1498</v>
      </c>
      <c r="G9265" s="256">
        <f>SUM(C9265,C9241,C9217,C9193,C9169,C9145,C9121,C9097,C9073,C9049,C9025,C9001,C8977,C8953)/POBLA!$B$24*100000</f>
        <v>208.36087087880961</v>
      </c>
      <c r="H9265" s="296">
        <f t="shared" si="798"/>
        <v>1.6878585086042066</v>
      </c>
    </row>
    <row r="9266" spans="1:8" x14ac:dyDescent="0.25">
      <c r="A9266" s="45" t="s">
        <v>17</v>
      </c>
      <c r="B9266" s="102">
        <v>44279</v>
      </c>
      <c r="C9266" s="63">
        <v>3902</v>
      </c>
      <c r="D9266" s="97">
        <f t="shared" ref="D9266:D9329" si="800">C9266+D9242</f>
        <v>950138</v>
      </c>
      <c r="E9266" s="4">
        <v>102</v>
      </c>
      <c r="F9266" s="250">
        <f t="shared" ref="F9266:F9329" si="801">E9266+F9242</f>
        <v>27698</v>
      </c>
      <c r="G9266" s="251">
        <f>SUM(C9266,C9242,C9218,C9194,C9170,C9146,C9122,C9098,C9074,C9050,C9026,C9002,C8978,C8954)/POBLA!$B$1*100000</f>
        <v>249.56187285650344</v>
      </c>
      <c r="H9266" s="294">
        <f t="shared" ref="H9266:H9329" si="802">SUM(C9266,C9242,C9218,C9194,C9170,C9146,C9122,C9098,C9074,C9050,C9026,C9002,C8978,C8954)/SUM(C8930,C8906,C8882,C8858,C8834,C8810,C8786,C8762,C8738,C8714,C8690,C8666,C8642,C8618)</f>
        <v>1.2300775542317635</v>
      </c>
    </row>
    <row r="9267" spans="1:8" x14ac:dyDescent="0.25">
      <c r="A9267" s="105" t="s">
        <v>44</v>
      </c>
      <c r="B9267" s="102">
        <v>44279</v>
      </c>
      <c r="C9267" s="63">
        <v>904</v>
      </c>
      <c r="D9267" s="21">
        <f t="shared" si="800"/>
        <v>251182</v>
      </c>
      <c r="E9267" s="4">
        <v>3</v>
      </c>
      <c r="F9267" s="57">
        <f t="shared" si="801"/>
        <v>6809</v>
      </c>
      <c r="G9267" s="238">
        <f>SUM(C9267,C9243,C9219,C9195,C9171,C9147,C9123,C9099,C9075,C9051,C9027,C9003,C8979,C8955)/POBLA!$B$2*100000</f>
        <v>397.70506748826102</v>
      </c>
      <c r="H9267" s="295">
        <f t="shared" si="802"/>
        <v>1.2782944926324591</v>
      </c>
    </row>
    <row r="9268" spans="1:8" x14ac:dyDescent="0.25">
      <c r="A9268" s="105" t="s">
        <v>29</v>
      </c>
      <c r="B9268" s="102">
        <v>44279</v>
      </c>
      <c r="C9268" s="63">
        <v>70</v>
      </c>
      <c r="D9268" s="21">
        <f t="shared" si="800"/>
        <v>9914</v>
      </c>
      <c r="F9268" s="57">
        <f t="shared" si="801"/>
        <v>18</v>
      </c>
      <c r="G9268" s="238">
        <f>SUM(C9268,C9244,C9220,C9196,C9172,C9148,C9124,C9100,C9076,C9052,C9028,C9004,C8980,C8956)/POBLA!$B$3*100000</f>
        <v>294.62880140959663</v>
      </c>
      <c r="H9268" s="295">
        <f t="shared" si="802"/>
        <v>1.0390492359932089</v>
      </c>
    </row>
    <row r="9269" spans="1:8" x14ac:dyDescent="0.25">
      <c r="A9269" s="105" t="s">
        <v>16</v>
      </c>
      <c r="B9269" s="102">
        <v>44279</v>
      </c>
      <c r="C9269" s="63">
        <v>180</v>
      </c>
      <c r="D9269" s="21">
        <f t="shared" si="800"/>
        <v>37375</v>
      </c>
      <c r="E9269" s="4">
        <v>2</v>
      </c>
      <c r="F9269" s="57">
        <f t="shared" si="801"/>
        <v>914</v>
      </c>
      <c r="G9269" s="238">
        <f>SUM(C9269,C9245,C9221,C9197,C9173,C9149,C9125,C9101,C9077,C9053,C9029,C9005,C8981,C8957)/POBLA!$B$4*100000</f>
        <v>162.38550618036248</v>
      </c>
      <c r="H9269" s="295">
        <f t="shared" si="802"/>
        <v>1.1228473019517795</v>
      </c>
    </row>
    <row r="9270" spans="1:8" x14ac:dyDescent="0.25">
      <c r="A9270" s="105" t="s">
        <v>30</v>
      </c>
      <c r="B9270" s="102">
        <v>44279</v>
      </c>
      <c r="C9270" s="63">
        <v>101</v>
      </c>
      <c r="D9270" s="21">
        <f t="shared" si="800"/>
        <v>49119</v>
      </c>
      <c r="F9270" s="57">
        <f t="shared" si="801"/>
        <v>845</v>
      </c>
      <c r="G9270" s="238">
        <f>SUM(C9270,C9246,C9222,C9198,C9174,C9150,C9126,C9102,C9078,C9054,C9030,C9006,C8982,C8958)/POBLA!$B$5*100000</f>
        <v>211.95682025997021</v>
      </c>
      <c r="H9270" s="295">
        <f t="shared" si="802"/>
        <v>1.0798353909465022</v>
      </c>
    </row>
    <row r="9271" spans="1:8" x14ac:dyDescent="0.25">
      <c r="A9271" s="105" t="s">
        <v>31</v>
      </c>
      <c r="B9271" s="102">
        <v>44279</v>
      </c>
      <c r="C9271" s="63">
        <v>344</v>
      </c>
      <c r="D9271" s="21">
        <f t="shared" si="800"/>
        <v>27094</v>
      </c>
      <c r="E9271" s="4">
        <v>1</v>
      </c>
      <c r="F9271" s="57">
        <f t="shared" si="801"/>
        <v>319</v>
      </c>
      <c r="G9271" s="238">
        <f>SUM(C9271,C9247,C9223,C9199,C9175,C9151,C9127,C9103,C9079,C9055,C9031,C9007,C8983,C8959)/POBLA!$B$6*100000</f>
        <v>279.79989311215814</v>
      </c>
      <c r="H9271" s="295">
        <f t="shared" si="802"/>
        <v>1.1833962264150943</v>
      </c>
    </row>
    <row r="9272" spans="1:8" x14ac:dyDescent="0.25">
      <c r="A9272" s="105" t="s">
        <v>21</v>
      </c>
      <c r="B9272" s="102">
        <v>44279</v>
      </c>
      <c r="C9272" s="63">
        <v>769</v>
      </c>
      <c r="D9272" s="21">
        <f t="shared" si="800"/>
        <v>174397</v>
      </c>
      <c r="E9272" s="4">
        <v>6</v>
      </c>
      <c r="F9272" s="57">
        <f t="shared" si="801"/>
        <v>2990</v>
      </c>
      <c r="G9272" s="238">
        <f>SUM(C9272,C9248,C9224,C9200,C9176,C9152,C9128,C9104,C9080,C9056,C9032,C9008,C8984,C8960)/POBLA!$B$7*100000</f>
        <v>231.80736348043453</v>
      </c>
      <c r="H9272" s="295">
        <f t="shared" si="802"/>
        <v>1.0681289057713514</v>
      </c>
    </row>
    <row r="9273" spans="1:8" x14ac:dyDescent="0.25">
      <c r="A9273" s="105" t="s">
        <v>32</v>
      </c>
      <c r="B9273" s="102">
        <v>44279</v>
      </c>
      <c r="C9273" s="63">
        <v>127</v>
      </c>
      <c r="D9273" s="21">
        <f t="shared" si="800"/>
        <v>48604</v>
      </c>
      <c r="F9273" s="57">
        <f t="shared" si="801"/>
        <v>937</v>
      </c>
      <c r="G9273" s="238">
        <f>SUM(C9273,C9249,C9225,C9201,C9177,C9153,C9129,C9105,C9081,C9057,C9033,C9009,C8985,C8961)/POBLA!$B$8*100000</f>
        <v>158.30171267445476</v>
      </c>
      <c r="H9273" s="295">
        <f t="shared" si="802"/>
        <v>1.3224834237492464</v>
      </c>
    </row>
    <row r="9274" spans="1:8" x14ac:dyDescent="0.25">
      <c r="A9274" s="105" t="s">
        <v>42</v>
      </c>
      <c r="B9274" s="102">
        <v>44279</v>
      </c>
      <c r="C9274" s="63">
        <v>20</v>
      </c>
      <c r="D9274" s="21">
        <f t="shared" si="800"/>
        <v>1769</v>
      </c>
      <c r="F9274" s="57">
        <f t="shared" si="801"/>
        <v>27</v>
      </c>
      <c r="G9274" s="238">
        <f>SUM(C9274,C9250,C9226,C9202,C9178,C9154,C9130,C9106,C9082,C9058,C9034,C9010,C8986,C8962)/POBLA!$B$9*100000</f>
        <v>56.345661631909159</v>
      </c>
      <c r="H9274" s="295">
        <f t="shared" si="802"/>
        <v>1.3478260869565217</v>
      </c>
    </row>
    <row r="9275" spans="1:8" x14ac:dyDescent="0.25">
      <c r="A9275" s="105" t="s">
        <v>33</v>
      </c>
      <c r="B9275" s="102">
        <v>44279</v>
      </c>
      <c r="C9275" s="63">
        <v>23</v>
      </c>
      <c r="D9275" s="21">
        <f t="shared" si="800"/>
        <v>22114</v>
      </c>
      <c r="E9275" s="4">
        <v>2</v>
      </c>
      <c r="F9275" s="57">
        <f t="shared" si="801"/>
        <v>954</v>
      </c>
      <c r="G9275" s="238">
        <f>SUM(C9275,C9251,C9227,C9203,C9179,C9155,C9131,C9107,C9083,C9059,C9035,C9011,C8987,C8963)/POBLA!$B$10*100000</f>
        <v>86.783822665236272</v>
      </c>
      <c r="H9275" s="295">
        <f t="shared" si="802"/>
        <v>0.63113207547169814</v>
      </c>
    </row>
    <row r="9276" spans="1:8" x14ac:dyDescent="0.25">
      <c r="A9276" s="105" t="s">
        <v>34</v>
      </c>
      <c r="B9276" s="102">
        <v>44279</v>
      </c>
      <c r="C9276" s="63">
        <v>67</v>
      </c>
      <c r="D9276" s="21">
        <f t="shared" si="800"/>
        <v>20717</v>
      </c>
      <c r="F9276" s="57">
        <f t="shared" si="801"/>
        <v>313</v>
      </c>
      <c r="G9276" s="238">
        <f>SUM(C9276,C9252,C9228,C9204,C9180,C9156,C9132,C9108,C9084,C9060,C9036,C9012,C8988,C8964)/POBLA!$B$11*100000</f>
        <v>337.58523329650586</v>
      </c>
      <c r="H9276" s="295">
        <f t="shared" si="802"/>
        <v>1.0151006711409396</v>
      </c>
    </row>
    <row r="9277" spans="1:8" x14ac:dyDescent="0.25">
      <c r="A9277" s="105" t="s">
        <v>22</v>
      </c>
      <c r="B9277" s="102">
        <v>44279</v>
      </c>
      <c r="C9277" s="63">
        <v>25</v>
      </c>
      <c r="D9277" s="21">
        <f t="shared" si="800"/>
        <v>10760</v>
      </c>
      <c r="F9277" s="57">
        <f t="shared" si="801"/>
        <v>448</v>
      </c>
      <c r="G9277" s="238">
        <f>SUM(C9277,C9253,C9229,C9205,C9181,C9157,C9133,C9109,C9085,C9061,C9037,C9013,C8989,C8965)/POBLA!$B$12*100000</f>
        <v>86.143150094909927</v>
      </c>
      <c r="H9277" s="295">
        <f t="shared" si="802"/>
        <v>1.1452702702702702</v>
      </c>
    </row>
    <row r="9278" spans="1:8" x14ac:dyDescent="0.25">
      <c r="A9278" s="105" t="s">
        <v>18</v>
      </c>
      <c r="B9278" s="102">
        <v>44279</v>
      </c>
      <c r="C9278" s="63">
        <v>169</v>
      </c>
      <c r="D9278" s="21">
        <f t="shared" si="800"/>
        <v>70995</v>
      </c>
      <c r="E9278" s="4">
        <v>1</v>
      </c>
      <c r="F9278" s="57">
        <f t="shared" si="801"/>
        <v>1492</v>
      </c>
      <c r="G9278" s="238">
        <f>SUM(C9278,C9254,C9230,C9206,C9182,C9158,C9134,C9110,C9086,C9062,C9038,C9014,C8990,C8966)/POBLA!$B$13*100000</f>
        <v>109.93107703314713</v>
      </c>
      <c r="H9278" s="295">
        <f t="shared" si="802"/>
        <v>1.0419047619047619</v>
      </c>
    </row>
    <row r="9279" spans="1:8" x14ac:dyDescent="0.25">
      <c r="A9279" s="105" t="s">
        <v>24</v>
      </c>
      <c r="B9279" s="102">
        <v>44279</v>
      </c>
      <c r="C9279" s="63">
        <v>138</v>
      </c>
      <c r="D9279" s="21">
        <f t="shared" si="800"/>
        <v>11164</v>
      </c>
      <c r="F9279" s="57">
        <f t="shared" si="801"/>
        <v>190</v>
      </c>
      <c r="G9279" s="238">
        <f>SUM(C9279,C9255,C9231,C9207,C9183,C9159,C9135,C9111,C9087,C9063,C9039,C9015,C8991,C8967)/POBLA!$B$14*100000</f>
        <v>134.54436475556057</v>
      </c>
      <c r="H9279" s="295">
        <f t="shared" si="802"/>
        <v>1.0385556915544676</v>
      </c>
    </row>
    <row r="9280" spans="1:8" x14ac:dyDescent="0.25">
      <c r="A9280" s="105" t="s">
        <v>20</v>
      </c>
      <c r="B9280" s="102">
        <v>44279</v>
      </c>
      <c r="C9280" s="63">
        <v>132</v>
      </c>
      <c r="D9280" s="21">
        <f t="shared" si="800"/>
        <v>64470</v>
      </c>
      <c r="F9280" s="57">
        <f t="shared" si="801"/>
        <v>983</v>
      </c>
      <c r="G9280" s="238">
        <f>SUM(C9280,C9256,C9232,C9208,C9184,C9160,C9136,C9112,C9088,C9064,C9040,C9016,C8992,C8968)/POBLA!$B$15*100000</f>
        <v>261.12216270591227</v>
      </c>
      <c r="H9280" s="295">
        <f t="shared" si="802"/>
        <v>0.82729007633587781</v>
      </c>
    </row>
    <row r="9281" spans="1:8" x14ac:dyDescent="0.25">
      <c r="A9281" s="105" t="s">
        <v>19</v>
      </c>
      <c r="B9281" s="102">
        <v>44279</v>
      </c>
      <c r="C9281" s="63">
        <v>85</v>
      </c>
      <c r="D9281" s="21">
        <f t="shared" si="800"/>
        <v>54702</v>
      </c>
      <c r="E9281" s="4">
        <v>1</v>
      </c>
      <c r="F9281" s="57">
        <f t="shared" si="801"/>
        <v>1265</v>
      </c>
      <c r="G9281" s="238">
        <f>SUM(C9281,C9257,C9233,C9209,C9185,C9161,C9137,C9113,C9089,C9065,C9041,C9017,C8993,C8969)/POBLA!$B$16*100000</f>
        <v>159.04014125011705</v>
      </c>
      <c r="H9281" s="295">
        <f t="shared" si="802"/>
        <v>0.74127182044887785</v>
      </c>
    </row>
    <row r="9282" spans="1:8" x14ac:dyDescent="0.25">
      <c r="A9282" s="105" t="s">
        <v>35</v>
      </c>
      <c r="B9282" s="102">
        <v>44279</v>
      </c>
      <c r="C9282" s="63">
        <v>89</v>
      </c>
      <c r="D9282" s="21">
        <f t="shared" si="800"/>
        <v>28616</v>
      </c>
      <c r="F9282" s="57">
        <f t="shared" si="801"/>
        <v>1194</v>
      </c>
      <c r="G9282" s="238">
        <f>SUM(C9282,C9258,C9234,C9210,C9186,C9162,C9138,C9114,C9090,C9066,C9042,C9018,C8994,C8970)/POBLA!$B$17*100000</f>
        <v>98.638230774145129</v>
      </c>
      <c r="H9282" s="295">
        <f t="shared" si="802"/>
        <v>0.9551325628823929</v>
      </c>
    </row>
    <row r="9283" spans="1:8" x14ac:dyDescent="0.25">
      <c r="A9283" s="105" t="s">
        <v>36</v>
      </c>
      <c r="B9283" s="102">
        <v>44279</v>
      </c>
      <c r="C9283" s="63">
        <v>39</v>
      </c>
      <c r="D9283" s="21">
        <f t="shared" si="800"/>
        <v>16522</v>
      </c>
      <c r="F9283" s="57">
        <f t="shared" si="801"/>
        <v>222</v>
      </c>
      <c r="G9283" s="238">
        <f>SUM(C9283,C9259,C9235,C9211,C9187,C9163,C9139,C9115,C9091,C9067,C9043,C9019,C8995,C8971)/POBLA!$B$18*100000</f>
        <v>99.076184978053476</v>
      </c>
      <c r="H9283" s="295">
        <f t="shared" si="802"/>
        <v>1.2751235584843492</v>
      </c>
    </row>
    <row r="9284" spans="1:8" x14ac:dyDescent="0.25">
      <c r="A9284" s="105" t="s">
        <v>37</v>
      </c>
      <c r="B9284" s="102">
        <v>44279</v>
      </c>
      <c r="C9284" s="63">
        <v>1</v>
      </c>
      <c r="D9284" s="21">
        <f t="shared" si="800"/>
        <v>21555</v>
      </c>
      <c r="F9284" s="57">
        <f t="shared" si="801"/>
        <v>383</v>
      </c>
      <c r="G9284" s="238">
        <f>SUM(C9284,C9260,C9236,C9212,C9188,C9164,C9140,C9116,C9092,C9068,C9044,C9020,C8996,C8972)/POBLA!$B$19*100000</f>
        <v>145.96874459010718</v>
      </c>
      <c r="H9284" s="295">
        <f t="shared" si="802"/>
        <v>3.2543859649122808</v>
      </c>
    </row>
    <row r="9285" spans="1:8" x14ac:dyDescent="0.25">
      <c r="A9285" s="105" t="s">
        <v>38</v>
      </c>
      <c r="B9285" s="102">
        <v>44279</v>
      </c>
      <c r="C9285" s="63">
        <v>117</v>
      </c>
      <c r="D9285" s="21">
        <f t="shared" si="800"/>
        <v>38525</v>
      </c>
      <c r="E9285" s="4">
        <v>1</v>
      </c>
      <c r="F9285" s="57">
        <f t="shared" si="801"/>
        <v>625</v>
      </c>
      <c r="G9285" s="238">
        <f>SUM(C9285,C9261,C9237,C9213,C9189,C9165,C9141,C9117,C9093,C9069,C9045,C9021,C8997,C8973)/POBLA!$B$20*100000</f>
        <v>427.12839556136487</v>
      </c>
      <c r="H9285" s="295">
        <f t="shared" si="802"/>
        <v>1.1726726726726726</v>
      </c>
    </row>
    <row r="9286" spans="1:8" x14ac:dyDescent="0.25">
      <c r="A9286" s="105" t="s">
        <v>23</v>
      </c>
      <c r="B9286" s="102">
        <v>44279</v>
      </c>
      <c r="C9286" s="63">
        <v>570</v>
      </c>
      <c r="D9286" s="21">
        <f t="shared" si="800"/>
        <v>227141</v>
      </c>
      <c r="E9286" s="4">
        <v>2</v>
      </c>
      <c r="F9286" s="57">
        <f t="shared" si="801"/>
        <v>4209</v>
      </c>
      <c r="G9286" s="238">
        <f>SUM(C9286,C9262,C9238,C9214,C9190,C9166,C9142,C9118,C9094,C9070,C9046,C9022,C8998,C8974)/POBLA!$B$21*100000</f>
        <v>185.66809692745599</v>
      </c>
      <c r="H9286" s="295">
        <f t="shared" si="802"/>
        <v>1.2363020146864998</v>
      </c>
    </row>
    <row r="9287" spans="1:8" x14ac:dyDescent="0.25">
      <c r="A9287" s="105" t="s">
        <v>39</v>
      </c>
      <c r="B9287" s="102">
        <v>44279</v>
      </c>
      <c r="C9287" s="63">
        <v>98</v>
      </c>
      <c r="D9287" s="21">
        <f t="shared" si="800"/>
        <v>24334</v>
      </c>
      <c r="E9287" s="4">
        <v>1</v>
      </c>
      <c r="F9287" s="57">
        <f t="shared" si="801"/>
        <v>283</v>
      </c>
      <c r="G9287" s="238">
        <f>SUM(C9287,C9263,C9239,C9215,C9191,C9167,C9143,C9119,C9095,C9071,C9047,C9023,C8999,C8975)/POBLA!$B$22*100000</f>
        <v>118.36702568605344</v>
      </c>
      <c r="H9287" s="295">
        <f t="shared" si="802"/>
        <v>1.3851674641148326</v>
      </c>
    </row>
    <row r="9288" spans="1:8" x14ac:dyDescent="0.25">
      <c r="A9288" s="105" t="s">
        <v>40</v>
      </c>
      <c r="B9288" s="102">
        <v>44279</v>
      </c>
      <c r="C9288" s="63">
        <v>62</v>
      </c>
      <c r="D9288" s="21">
        <f t="shared" si="800"/>
        <v>23724</v>
      </c>
      <c r="E9288" s="4">
        <v>1</v>
      </c>
      <c r="F9288" s="57">
        <f t="shared" si="801"/>
        <v>362</v>
      </c>
      <c r="G9288" s="238">
        <f>SUM(C9288,C9264,C9240,C9216,C9192,C9168,C9144,C9120,C9096,C9072,C9048,C9024,C9000,C8976)/POBLA!$B$23*100000</f>
        <v>264.66097381666009</v>
      </c>
      <c r="H9288" s="295">
        <f t="shared" si="802"/>
        <v>1.1063829787234043</v>
      </c>
    </row>
    <row r="9289" spans="1:8" ht="15.75" thickBot="1" x14ac:dyDescent="0.3">
      <c r="A9289" s="106" t="s">
        <v>41</v>
      </c>
      <c r="B9289" s="102">
        <v>44279</v>
      </c>
      <c r="C9289" s="63">
        <v>268</v>
      </c>
      <c r="D9289" s="98">
        <f t="shared" si="800"/>
        <v>84946</v>
      </c>
      <c r="F9289" s="255">
        <f t="shared" si="801"/>
        <v>1498</v>
      </c>
      <c r="G9289" s="256">
        <f>SUM(C9289,C9265,C9241,C9217,C9193,C9169,C9145,C9121,C9097,C9073,C9049,C9025,C9001,C8977)/POBLA!$B$24*100000</f>
        <v>212.07843951810867</v>
      </c>
      <c r="H9289" s="296">
        <f t="shared" si="802"/>
        <v>1.7295476419634264</v>
      </c>
    </row>
    <row r="9290" spans="1:8" x14ac:dyDescent="0.25">
      <c r="A9290" s="45" t="s">
        <v>17</v>
      </c>
      <c r="B9290" s="102">
        <v>44280</v>
      </c>
      <c r="C9290" s="63">
        <v>3702</v>
      </c>
      <c r="D9290" s="97">
        <f t="shared" si="800"/>
        <v>953840</v>
      </c>
      <c r="E9290" s="4">
        <v>64</v>
      </c>
      <c r="F9290" s="250">
        <f t="shared" si="801"/>
        <v>27762</v>
      </c>
      <c r="G9290" s="251">
        <f>SUM(C9290,C9266,C9242,C9218,C9194,C9170,C9146,C9122,C9098,C9074,C9050,C9026,C9002,C8978)/POBLA!$B$1*100000</f>
        <v>250.99849547985505</v>
      </c>
      <c r="H9290" s="294">
        <f t="shared" si="802"/>
        <v>1.2303822937625755</v>
      </c>
    </row>
    <row r="9291" spans="1:8" x14ac:dyDescent="0.25">
      <c r="A9291" s="105" t="s">
        <v>44</v>
      </c>
      <c r="B9291" s="102">
        <v>44280</v>
      </c>
      <c r="C9291" s="63">
        <v>1398</v>
      </c>
      <c r="D9291" s="21">
        <f t="shared" si="800"/>
        <v>252580</v>
      </c>
      <c r="E9291" s="4">
        <v>4</v>
      </c>
      <c r="F9291" s="57">
        <f t="shared" si="801"/>
        <v>6813</v>
      </c>
      <c r="G9291" s="238">
        <f>SUM(C9291,C9267,C9243,C9219,C9195,C9171,C9147,C9123,C9099,C9075,C9051,C9027,C9003,C8979)/POBLA!$B$2*100000</f>
        <v>416.335299966251</v>
      </c>
      <c r="H9291" s="295">
        <f t="shared" si="802"/>
        <v>1.3464773922187172</v>
      </c>
    </row>
    <row r="9292" spans="1:8" x14ac:dyDescent="0.25">
      <c r="A9292" s="105" t="s">
        <v>29</v>
      </c>
      <c r="B9292" s="102">
        <v>44280</v>
      </c>
      <c r="C9292" s="63">
        <v>83</v>
      </c>
      <c r="D9292" s="21">
        <f t="shared" si="800"/>
        <v>9997</v>
      </c>
      <c r="F9292" s="57">
        <f t="shared" si="801"/>
        <v>18</v>
      </c>
      <c r="G9292" s="238">
        <f>SUM(C9292,C9268,C9244,C9220,C9196,C9172,C9148,C9124,C9100,C9076,C9052,C9028,C9004,C8980)/POBLA!$B$3*100000</f>
        <v>295.3509308248162</v>
      </c>
      <c r="H9292" s="295">
        <f t="shared" si="802"/>
        <v>1.0848806366047745</v>
      </c>
    </row>
    <row r="9293" spans="1:8" x14ac:dyDescent="0.25">
      <c r="A9293" s="105" t="s">
        <v>16</v>
      </c>
      <c r="B9293" s="102">
        <v>44280</v>
      </c>
      <c r="C9293" s="63">
        <v>125</v>
      </c>
      <c r="D9293" s="21">
        <f t="shared" si="800"/>
        <v>37500</v>
      </c>
      <c r="E9293" s="4">
        <v>1</v>
      </c>
      <c r="F9293" s="57">
        <f t="shared" si="801"/>
        <v>915</v>
      </c>
      <c r="G9293" s="238">
        <f>SUM(C9293,C9269,C9245,C9221,C9197,C9173,C9149,C9125,C9101,C9077,C9053,C9029,C9005,C8981)/POBLA!$B$4*100000</f>
        <v>161.14021855627993</v>
      </c>
      <c r="H9293" s="295">
        <f t="shared" si="802"/>
        <v>1.1364168618266979</v>
      </c>
    </row>
    <row r="9294" spans="1:8" x14ac:dyDescent="0.25">
      <c r="A9294" s="105" t="s">
        <v>30</v>
      </c>
      <c r="B9294" s="102">
        <v>44280</v>
      </c>
      <c r="C9294" s="63">
        <v>129</v>
      </c>
      <c r="D9294" s="21">
        <f t="shared" si="800"/>
        <v>49248</v>
      </c>
      <c r="E9294" s="4">
        <v>9</v>
      </c>
      <c r="F9294" s="57">
        <f t="shared" si="801"/>
        <v>854</v>
      </c>
      <c r="G9294" s="238">
        <f>SUM(C9294,C9270,C9246,C9222,C9198,C9174,C9150,C9126,C9102,C9078,C9054,C9030,C9006,C8982)/POBLA!$B$5*100000</f>
        <v>215.83407916716479</v>
      </c>
      <c r="H9294" s="295">
        <f t="shared" si="802"/>
        <v>1.134125636672326</v>
      </c>
    </row>
    <row r="9295" spans="1:8" x14ac:dyDescent="0.25">
      <c r="A9295" s="105" t="s">
        <v>31</v>
      </c>
      <c r="B9295" s="102">
        <v>44280</v>
      </c>
      <c r="C9295" s="63">
        <v>28</v>
      </c>
      <c r="D9295" s="21">
        <f t="shared" si="800"/>
        <v>27122</v>
      </c>
      <c r="E9295" s="4">
        <v>4</v>
      </c>
      <c r="F9295" s="57">
        <f t="shared" si="801"/>
        <v>323</v>
      </c>
      <c r="G9295" s="238">
        <f>SUM(C9295,C9271,C9247,C9223,C9199,C9175,C9151,C9127,C9103,C9079,C9055,C9031,C9007,C8983)/POBLA!$B$6*100000</f>
        <v>275.96335121042898</v>
      </c>
      <c r="H9295" s="295">
        <f t="shared" si="802"/>
        <v>1.1778370144706778</v>
      </c>
    </row>
    <row r="9296" spans="1:8" x14ac:dyDescent="0.25">
      <c r="A9296" s="105" t="s">
        <v>21</v>
      </c>
      <c r="B9296" s="102">
        <v>44280</v>
      </c>
      <c r="C9296" s="63">
        <v>723</v>
      </c>
      <c r="D9296" s="21">
        <f t="shared" si="800"/>
        <v>175120</v>
      </c>
      <c r="E9296" s="4">
        <v>1</v>
      </c>
      <c r="F9296" s="57">
        <f t="shared" si="801"/>
        <v>2991</v>
      </c>
      <c r="G9296" s="238">
        <f>SUM(C9296,C9272,C9248,C9224,C9200,C9176,C9152,C9128,C9104,C9080,C9056,C9032,C9008,C8984)/POBLA!$B$7*100000</f>
        <v>232.47217753194434</v>
      </c>
      <c r="H9296" s="295">
        <f t="shared" si="802"/>
        <v>1.1232172684054991</v>
      </c>
    </row>
    <row r="9297" spans="1:8" x14ac:dyDescent="0.25">
      <c r="A9297" s="105" t="s">
        <v>32</v>
      </c>
      <c r="B9297" s="102">
        <v>44280</v>
      </c>
      <c r="C9297" s="63">
        <v>136</v>
      </c>
      <c r="D9297" s="21">
        <f t="shared" si="800"/>
        <v>48740</v>
      </c>
      <c r="E9297" s="4">
        <v>1</v>
      </c>
      <c r="F9297" s="57">
        <f t="shared" si="801"/>
        <v>938</v>
      </c>
      <c r="G9297" s="238">
        <f>SUM(C9297,C9273,C9249,C9225,C9201,C9177,C9153,C9129,C9105,C9081,C9057,C9033,C9009,C8985)/POBLA!$B$8*100000</f>
        <v>157.9409521624346</v>
      </c>
      <c r="H9297" s="295">
        <f t="shared" si="802"/>
        <v>1.3347560975609756</v>
      </c>
    </row>
    <row r="9298" spans="1:8" x14ac:dyDescent="0.25">
      <c r="A9298" s="105" t="s">
        <v>42</v>
      </c>
      <c r="B9298" s="102">
        <v>44280</v>
      </c>
      <c r="C9298" s="63">
        <v>57</v>
      </c>
      <c r="D9298" s="21">
        <f t="shared" si="800"/>
        <v>1826</v>
      </c>
      <c r="F9298" s="57">
        <f t="shared" si="801"/>
        <v>27</v>
      </c>
      <c r="G9298" s="238">
        <f>SUM(C9298,C9274,C9250,C9226,C9202,C9178,C9154,C9130,C9106,C9082,C9058,C9034,C9010,C8986)/POBLA!$B$9*100000</f>
        <v>57.667553986909965</v>
      </c>
      <c r="H9298" s="295">
        <f t="shared" si="802"/>
        <v>1.1952054794520548</v>
      </c>
    </row>
    <row r="9299" spans="1:8" x14ac:dyDescent="0.25">
      <c r="A9299" s="105" t="s">
        <v>33</v>
      </c>
      <c r="B9299" s="102">
        <v>44280</v>
      </c>
      <c r="C9299" s="63">
        <v>38</v>
      </c>
      <c r="D9299" s="21">
        <f t="shared" si="800"/>
        <v>22152</v>
      </c>
      <c r="E9299" s="4">
        <v>1</v>
      </c>
      <c r="F9299" s="57">
        <f t="shared" si="801"/>
        <v>955</v>
      </c>
      <c r="G9299" s="238">
        <f>SUM(C9299,C9275,C9251,C9227,C9203,C9179,C9155,C9131,C9107,C9083,C9059,C9035,C9011,C8987)/POBLA!$B$10*100000</f>
        <v>83.021893132662498</v>
      </c>
      <c r="H9299" s="295">
        <f t="shared" si="802"/>
        <v>0.62683643486777674</v>
      </c>
    </row>
    <row r="9300" spans="1:8" x14ac:dyDescent="0.25">
      <c r="A9300" s="105" t="s">
        <v>34</v>
      </c>
      <c r="B9300" s="102">
        <v>44280</v>
      </c>
      <c r="C9300" s="63">
        <v>87</v>
      </c>
      <c r="D9300" s="21">
        <f t="shared" si="800"/>
        <v>20804</v>
      </c>
      <c r="E9300" s="4">
        <v>2</v>
      </c>
      <c r="F9300" s="57">
        <f t="shared" si="801"/>
        <v>315</v>
      </c>
      <c r="G9300" s="238">
        <f>SUM(C9300,C9276,C9252,C9228,C9204,C9180,C9156,C9132,C9108,C9084,C9060,C9036,C9012,C8988)/POBLA!$B$11*100000</f>
        <v>333.6792884484471</v>
      </c>
      <c r="H9300" s="295">
        <f t="shared" si="802"/>
        <v>1.1167133520074697</v>
      </c>
    </row>
    <row r="9301" spans="1:8" x14ac:dyDescent="0.25">
      <c r="A9301" s="105" t="s">
        <v>22</v>
      </c>
      <c r="B9301" s="102">
        <v>44280</v>
      </c>
      <c r="C9301" s="63">
        <v>38</v>
      </c>
      <c r="D9301" s="21">
        <f t="shared" si="800"/>
        <v>10798</v>
      </c>
      <c r="F9301" s="57">
        <f t="shared" si="801"/>
        <v>448</v>
      </c>
      <c r="G9301" s="238">
        <f>SUM(C9301,C9277,C9253,C9229,C9205,C9181,C9157,C9133,C9109,C9085,C9061,C9037,C9013,C8989)/POBLA!$B$12*100000</f>
        <v>87.921917206014271</v>
      </c>
      <c r="H9301" s="295">
        <f t="shared" si="802"/>
        <v>1.138157894736842</v>
      </c>
    </row>
    <row r="9302" spans="1:8" x14ac:dyDescent="0.25">
      <c r="A9302" s="105" t="s">
        <v>18</v>
      </c>
      <c r="B9302" s="102">
        <v>44280</v>
      </c>
      <c r="C9302" s="63">
        <v>187</v>
      </c>
      <c r="D9302" s="21">
        <f t="shared" si="800"/>
        <v>71182</v>
      </c>
      <c r="E9302" s="4">
        <v>4</v>
      </c>
      <c r="F9302" s="57">
        <f t="shared" si="801"/>
        <v>1496</v>
      </c>
      <c r="G9302" s="238">
        <f>SUM(C9302,C9278,C9254,C9230,C9206,C9182,C9158,C9134,C9110,C9086,C9062,C9038,C9014,C8990)/POBLA!$B$13*100000</f>
        <v>109.37840708462583</v>
      </c>
      <c r="H9302" s="295">
        <f t="shared" si="802"/>
        <v>1.0476419634263716</v>
      </c>
    </row>
    <row r="9303" spans="1:8" x14ac:dyDescent="0.25">
      <c r="A9303" s="105" t="s">
        <v>24</v>
      </c>
      <c r="B9303" s="102">
        <v>44280</v>
      </c>
      <c r="C9303" s="63">
        <v>123</v>
      </c>
      <c r="D9303" s="21">
        <f t="shared" si="800"/>
        <v>11287</v>
      </c>
      <c r="E9303" s="4">
        <v>3</v>
      </c>
      <c r="F9303" s="57">
        <f t="shared" si="801"/>
        <v>193</v>
      </c>
      <c r="G9303" s="238">
        <f>SUM(C9303,C9279,C9255,C9231,C9207,C9183,C9159,C9135,C9111,C9087,C9063,C9039,C9015,C8991)/POBLA!$B$14*100000</f>
        <v>134.22723013032646</v>
      </c>
      <c r="H9303" s="295">
        <f t="shared" si="802"/>
        <v>1.0361077111383108</v>
      </c>
    </row>
    <row r="9304" spans="1:8" x14ac:dyDescent="0.25">
      <c r="A9304" s="105" t="s">
        <v>20</v>
      </c>
      <c r="B9304" s="102">
        <v>44280</v>
      </c>
      <c r="C9304" s="63">
        <v>80</v>
      </c>
      <c r="D9304" s="21">
        <f t="shared" si="800"/>
        <v>64550</v>
      </c>
      <c r="E9304" s="4">
        <v>15</v>
      </c>
      <c r="F9304" s="57">
        <f t="shared" si="801"/>
        <v>998</v>
      </c>
      <c r="G9304" s="238">
        <f>SUM(C9304,C9280,C9256,C9232,C9208,C9184,C9160,C9136,C9112,C9088,C9064,C9040,C9016,C8992)/POBLA!$B$15*100000</f>
        <v>248.17146720838724</v>
      </c>
      <c r="H9304" s="295">
        <f t="shared" si="802"/>
        <v>0.79961183891314891</v>
      </c>
    </row>
    <row r="9305" spans="1:8" x14ac:dyDescent="0.25">
      <c r="A9305" s="105" t="s">
        <v>19</v>
      </c>
      <c r="B9305" s="102">
        <v>44280</v>
      </c>
      <c r="C9305" s="63">
        <v>84</v>
      </c>
      <c r="D9305" s="21">
        <f t="shared" si="800"/>
        <v>54786</v>
      </c>
      <c r="E9305" s="4">
        <v>4</v>
      </c>
      <c r="F9305" s="57">
        <f t="shared" si="801"/>
        <v>1269</v>
      </c>
      <c r="G9305" s="238">
        <f>SUM(C9305,C9281,C9257,C9233,C9209,C9185,C9161,C9137,C9113,C9089,C9065,C9041,C9017,C8993)/POBLA!$B$16*100000</f>
        <v>158.37134334746727</v>
      </c>
      <c r="H9305" s="295">
        <f t="shared" si="802"/>
        <v>0.75751759436980171</v>
      </c>
    </row>
    <row r="9306" spans="1:8" x14ac:dyDescent="0.25">
      <c r="A9306" s="105" t="s">
        <v>35</v>
      </c>
      <c r="B9306" s="102">
        <v>44280</v>
      </c>
      <c r="C9306" s="63">
        <v>70</v>
      </c>
      <c r="D9306" s="21">
        <f t="shared" si="800"/>
        <v>28686</v>
      </c>
      <c r="E9306" s="4">
        <v>2</v>
      </c>
      <c r="F9306" s="57">
        <f t="shared" si="801"/>
        <v>1196</v>
      </c>
      <c r="G9306" s="238">
        <f>SUM(C9306,C9282,C9258,C9234,C9210,C9186,C9162,C9138,C9114,C9090,C9066,C9042,C9018,C8994)/POBLA!$B$17*100000</f>
        <v>93.653665375594016</v>
      </c>
      <c r="H9306" s="295">
        <f t="shared" si="802"/>
        <v>0.90563475899524781</v>
      </c>
    </row>
    <row r="9307" spans="1:8" x14ac:dyDescent="0.25">
      <c r="A9307" s="105" t="s">
        <v>36</v>
      </c>
      <c r="B9307" s="102">
        <v>44280</v>
      </c>
      <c r="C9307" s="63">
        <v>92</v>
      </c>
      <c r="D9307" s="21">
        <f t="shared" si="800"/>
        <v>16614</v>
      </c>
      <c r="E9307" s="4">
        <v>1</v>
      </c>
      <c r="F9307" s="57">
        <f t="shared" si="801"/>
        <v>223</v>
      </c>
      <c r="G9307" s="238">
        <f>SUM(C9307,C9283,C9259,C9235,C9211,C9187,C9163,C9139,C9115,C9091,C9067,C9043,C9019,C8995)/POBLA!$B$18*100000</f>
        <v>103.17235800040194</v>
      </c>
      <c r="H9307" s="295">
        <f t="shared" si="802"/>
        <v>1.3084415584415585</v>
      </c>
    </row>
    <row r="9308" spans="1:8" x14ac:dyDescent="0.25">
      <c r="A9308" s="105" t="s">
        <v>37</v>
      </c>
      <c r="B9308" s="102">
        <v>44280</v>
      </c>
      <c r="C9308" s="63">
        <v>90</v>
      </c>
      <c r="D9308" s="21">
        <f t="shared" si="800"/>
        <v>21645</v>
      </c>
      <c r="E9308" s="4">
        <v>2</v>
      </c>
      <c r="F9308" s="57">
        <f t="shared" si="801"/>
        <v>385</v>
      </c>
      <c r="G9308" s="238">
        <f>SUM(C9308,C9284,C9260,C9236,C9212,C9188,C9164,C9140,C9116,C9092,C9068,C9044,C9020,C8996)/POBLA!$B$19*100000</f>
        <v>52.91858799830031</v>
      </c>
      <c r="H9308" s="295">
        <f t="shared" si="802"/>
        <v>0.4317817014446228</v>
      </c>
    </row>
    <row r="9309" spans="1:8" x14ac:dyDescent="0.25">
      <c r="A9309" s="105" t="s">
        <v>38</v>
      </c>
      <c r="B9309" s="102">
        <v>44280</v>
      </c>
      <c r="C9309" s="63">
        <v>81</v>
      </c>
      <c r="D9309" s="21">
        <f t="shared" si="800"/>
        <v>38606</v>
      </c>
      <c r="E9309" s="4">
        <v>1</v>
      </c>
      <c r="F9309" s="57">
        <f t="shared" si="801"/>
        <v>626</v>
      </c>
      <c r="G9309" s="238">
        <f>SUM(C9309,C9285,C9261,C9237,C9213,C9189,C9165,C9141,C9117,C9093,C9069,C9045,C9021,C8997)/POBLA!$B$20*100000</f>
        <v>417.83110654146316</v>
      </c>
      <c r="H9309" s="295">
        <f t="shared" si="802"/>
        <v>1.1655225019069413</v>
      </c>
    </row>
    <row r="9310" spans="1:8" x14ac:dyDescent="0.25">
      <c r="A9310" s="105" t="s">
        <v>23</v>
      </c>
      <c r="B9310" s="102">
        <v>44280</v>
      </c>
      <c r="C9310" s="63">
        <v>444</v>
      </c>
      <c r="D9310" s="21">
        <f t="shared" si="800"/>
        <v>227585</v>
      </c>
      <c r="E9310" s="4">
        <v>20</v>
      </c>
      <c r="F9310" s="57">
        <f t="shared" si="801"/>
        <v>4229</v>
      </c>
      <c r="G9310" s="238">
        <f>SUM(C9310,C9286,C9262,C9238,C9214,C9190,C9166,C9142,C9118,C9094,C9070,C9046,C9022,C8998)/POBLA!$B$21*100000</f>
        <v>180.86097288273049</v>
      </c>
      <c r="H9310" s="295">
        <f t="shared" si="802"/>
        <v>1.1656642974302898</v>
      </c>
    </row>
    <row r="9311" spans="1:8" x14ac:dyDescent="0.25">
      <c r="A9311" s="105" t="s">
        <v>39</v>
      </c>
      <c r="B9311" s="102">
        <v>44280</v>
      </c>
      <c r="C9311" s="63">
        <v>134</v>
      </c>
      <c r="D9311" s="21">
        <f t="shared" si="800"/>
        <v>24468</v>
      </c>
      <c r="E9311" s="4">
        <v>5</v>
      </c>
      <c r="F9311" s="57">
        <f t="shared" si="801"/>
        <v>288</v>
      </c>
      <c r="G9311" s="238">
        <f>SUM(C9311,C9287,C9263,C9239,C9215,C9191,C9167,C9143,C9119,C9095,C9071,C9047,C9023,C8999)/POBLA!$B$22*100000</f>
        <v>125.21554962471112</v>
      </c>
      <c r="H9311" s="295">
        <f t="shared" si="802"/>
        <v>1.4848484848484849</v>
      </c>
    </row>
    <row r="9312" spans="1:8" x14ac:dyDescent="0.25">
      <c r="A9312" s="105" t="s">
        <v>40</v>
      </c>
      <c r="B9312" s="102">
        <v>44280</v>
      </c>
      <c r="C9312" s="63">
        <v>45</v>
      </c>
      <c r="D9312" s="21">
        <f t="shared" si="800"/>
        <v>23769</v>
      </c>
      <c r="E9312" s="4">
        <v>2</v>
      </c>
      <c r="F9312" s="57">
        <f t="shared" si="801"/>
        <v>364</v>
      </c>
      <c r="G9312" s="238">
        <f>SUM(C9312,C9288,C9264,C9240,C9216,C9192,C9168,C9144,C9120,C9096,C9072,C9048,C9024,C9000)/POBLA!$B$23*100000</f>
        <v>269.75060792851895</v>
      </c>
      <c r="H9312" s="295">
        <f t="shared" si="802"/>
        <v>1.1223529411764706</v>
      </c>
    </row>
    <row r="9313" spans="1:8" ht="15.75" thickBot="1" x14ac:dyDescent="0.3">
      <c r="A9313" s="106" t="s">
        <v>41</v>
      </c>
      <c r="B9313" s="102">
        <v>44280</v>
      </c>
      <c r="C9313" s="63">
        <v>264</v>
      </c>
      <c r="D9313" s="98">
        <f t="shared" si="800"/>
        <v>85210</v>
      </c>
      <c r="F9313" s="255">
        <f t="shared" si="801"/>
        <v>1498</v>
      </c>
      <c r="G9313" s="256">
        <f>SUM(C9313,C9289,C9265,C9241,C9217,C9193,C9169,C9145,C9121,C9097,C9073,C9049,C9025,C9001)/POBLA!$B$24*100000</f>
        <v>211.72438536198496</v>
      </c>
      <c r="H9313" s="296">
        <f t="shared" si="802"/>
        <v>1.701280227596017</v>
      </c>
    </row>
    <row r="9314" spans="1:8" x14ac:dyDescent="0.25">
      <c r="A9314" s="45" t="s">
        <v>17</v>
      </c>
      <c r="B9314" s="102">
        <v>44281</v>
      </c>
      <c r="C9314" s="63">
        <v>5686</v>
      </c>
      <c r="D9314" s="97">
        <f t="shared" si="800"/>
        <v>959526</v>
      </c>
      <c r="E9314" s="4">
        <v>66</v>
      </c>
      <c r="F9314" s="250">
        <f t="shared" si="801"/>
        <v>27828</v>
      </c>
      <c r="G9314" s="251">
        <f>SUM(C9314,C9290,C9266,C9242,C9218,C9194,C9170,C9146,C9122,C9098,C9074,C9050,C9026,C9002)/POBLA!$B$1*100000</f>
        <v>264.84594132160498</v>
      </c>
      <c r="H9314" s="294">
        <f t="shared" si="802"/>
        <v>1.2571915676670364</v>
      </c>
    </row>
    <row r="9315" spans="1:8" x14ac:dyDescent="0.25">
      <c r="A9315" s="105" t="s">
        <v>44</v>
      </c>
      <c r="B9315" s="102">
        <v>44281</v>
      </c>
      <c r="C9315" s="63">
        <v>1405</v>
      </c>
      <c r="D9315" s="21">
        <f t="shared" si="800"/>
        <v>253985</v>
      </c>
      <c r="E9315" s="4">
        <v>8</v>
      </c>
      <c r="F9315" s="57">
        <f t="shared" si="801"/>
        <v>6821</v>
      </c>
      <c r="G9315" s="238">
        <f>SUM(C9315,C9291,C9267,C9243,C9219,C9195,C9171,C9147,C9123,C9099,C9075,C9051,C9027,C9003)/POBLA!$B$2*100000</f>
        <v>435.06307292841899</v>
      </c>
      <c r="H9315" s="295">
        <f t="shared" si="802"/>
        <v>1.3749486230990546</v>
      </c>
    </row>
    <row r="9316" spans="1:8" x14ac:dyDescent="0.25">
      <c r="A9316" s="105" t="s">
        <v>29</v>
      </c>
      <c r="B9316" s="102">
        <v>44281</v>
      </c>
      <c r="C9316" s="63">
        <v>98</v>
      </c>
      <c r="D9316" s="21">
        <f t="shared" si="800"/>
        <v>10095</v>
      </c>
      <c r="F9316" s="57">
        <f t="shared" si="801"/>
        <v>18</v>
      </c>
      <c r="G9316" s="238">
        <f>SUM(C9316,C9292,C9268,C9244,C9220,C9196,C9172,C9148,C9124,C9100,C9076,C9052,C9028,C9004)/POBLA!$B$3*100000</f>
        <v>294.62880140959663</v>
      </c>
      <c r="H9316" s="295">
        <f t="shared" si="802"/>
        <v>1.0652741514360313</v>
      </c>
    </row>
    <row r="9317" spans="1:8" x14ac:dyDescent="0.25">
      <c r="A9317" s="105" t="s">
        <v>16</v>
      </c>
      <c r="B9317" s="102">
        <v>44281</v>
      </c>
      <c r="C9317" s="63">
        <v>159</v>
      </c>
      <c r="D9317" s="21">
        <f t="shared" si="800"/>
        <v>37659</v>
      </c>
      <c r="E9317" s="4">
        <v>2</v>
      </c>
      <c r="F9317" s="57">
        <f t="shared" si="801"/>
        <v>917</v>
      </c>
      <c r="G9317" s="238">
        <f>SUM(C9317,C9293,C9269,C9245,C9221,C9197,C9173,C9149,C9125,C9101,C9077,C9053,C9029,C9005)/POBLA!$B$4*100000</f>
        <v>161.38927608109645</v>
      </c>
      <c r="H9317" s="295">
        <f t="shared" si="802"/>
        <v>1.1039182282793867</v>
      </c>
    </row>
    <row r="9318" spans="1:8" x14ac:dyDescent="0.25">
      <c r="A9318" s="105" t="s">
        <v>30</v>
      </c>
      <c r="B9318" s="102">
        <v>44281</v>
      </c>
      <c r="C9318" s="63">
        <v>155</v>
      </c>
      <c r="D9318" s="21">
        <f t="shared" si="800"/>
        <v>49403</v>
      </c>
      <c r="F9318" s="57">
        <f t="shared" si="801"/>
        <v>854</v>
      </c>
      <c r="G9318" s="238">
        <f>SUM(C9318,C9294,C9270,C9246,C9222,C9198,C9174,C9150,C9126,C9102,C9078,C9054,C9030,C9006)/POBLA!$B$5*100000</f>
        <v>223.42704452708747</v>
      </c>
      <c r="H9318" s="295">
        <f t="shared" si="802"/>
        <v>1.1382716049382715</v>
      </c>
    </row>
    <row r="9319" spans="1:8" x14ac:dyDescent="0.25">
      <c r="A9319" s="105" t="s">
        <v>31</v>
      </c>
      <c r="B9319" s="102">
        <v>44281</v>
      </c>
      <c r="C9319" s="63">
        <v>771</v>
      </c>
      <c r="D9319" s="21">
        <f t="shared" si="800"/>
        <v>27893</v>
      </c>
      <c r="E9319" s="4">
        <v>2</v>
      </c>
      <c r="F9319" s="57">
        <f t="shared" si="801"/>
        <v>325</v>
      </c>
      <c r="G9319" s="238">
        <f>SUM(C9319,C9295,C9271,C9247,C9223,C9199,C9175,C9151,C9127,C9103,C9079,C9055,C9031,C9007)/POBLA!$B$6*100000</f>
        <v>299.07182452549557</v>
      </c>
      <c r="H9319" s="295">
        <f t="shared" si="802"/>
        <v>1.1499142367066895</v>
      </c>
    </row>
    <row r="9320" spans="1:8" x14ac:dyDescent="0.25">
      <c r="A9320" s="105" t="s">
        <v>21</v>
      </c>
      <c r="B9320" s="102">
        <v>44281</v>
      </c>
      <c r="C9320" s="63">
        <v>1105</v>
      </c>
      <c r="D9320" s="21">
        <f t="shared" si="800"/>
        <v>176225</v>
      </c>
      <c r="E9320" s="4">
        <v>13</v>
      </c>
      <c r="F9320" s="57">
        <f t="shared" si="801"/>
        <v>3004</v>
      </c>
      <c r="G9320" s="238">
        <f>SUM(C9320,C9296,C9272,C9248,C9224,C9200,C9176,C9152,C9128,C9104,C9080,C9056,C9032,C9008)/POBLA!$B$7*100000</f>
        <v>245.18342219681156</v>
      </c>
      <c r="H9320" s="295">
        <f t="shared" si="802"/>
        <v>1.1533650237678259</v>
      </c>
    </row>
    <row r="9321" spans="1:8" x14ac:dyDescent="0.25">
      <c r="A9321" s="105" t="s">
        <v>32</v>
      </c>
      <c r="B9321" s="102">
        <v>44281</v>
      </c>
      <c r="C9321" s="63">
        <v>228</v>
      </c>
      <c r="D9321" s="21">
        <f t="shared" si="800"/>
        <v>48968</v>
      </c>
      <c r="E9321" s="4">
        <v>3</v>
      </c>
      <c r="F9321" s="57">
        <f t="shared" si="801"/>
        <v>941</v>
      </c>
      <c r="G9321" s="238">
        <f>SUM(C9321,C9297,C9273,C9249,C9225,C9201,C9177,C9153,C9129,C9105,C9081,C9057,C9033,C9009)/POBLA!$B$8*100000</f>
        <v>163.49666404754535</v>
      </c>
      <c r="H9321" s="295">
        <f t="shared" si="802"/>
        <v>1.3337257210123603</v>
      </c>
    </row>
    <row r="9322" spans="1:8" x14ac:dyDescent="0.25">
      <c r="A9322" s="105" t="s">
        <v>42</v>
      </c>
      <c r="B9322" s="102">
        <v>44281</v>
      </c>
      <c r="C9322" s="63">
        <v>89</v>
      </c>
      <c r="D9322" s="21">
        <f t="shared" si="800"/>
        <v>1915</v>
      </c>
      <c r="E9322" s="4">
        <v>1</v>
      </c>
      <c r="F9322" s="57">
        <f t="shared" si="801"/>
        <v>28</v>
      </c>
      <c r="G9322" s="238">
        <f>SUM(C9322,C9298,C9274,C9250,C9226,C9202,C9178,C9154,C9130,C9106,C9082,C9058,C9034,C9010)/POBLA!$B$9*100000</f>
        <v>68.077456282541263</v>
      </c>
      <c r="H9322" s="295">
        <f t="shared" si="802"/>
        <v>1.3966101694915254</v>
      </c>
    </row>
    <row r="9323" spans="1:8" x14ac:dyDescent="0.25">
      <c r="A9323" s="105" t="s">
        <v>33</v>
      </c>
      <c r="B9323" s="102">
        <v>44281</v>
      </c>
      <c r="C9323" s="63">
        <v>56</v>
      </c>
      <c r="D9323" s="21">
        <f t="shared" si="800"/>
        <v>22208</v>
      </c>
      <c r="F9323" s="57">
        <f t="shared" si="801"/>
        <v>955</v>
      </c>
      <c r="G9323" s="238">
        <f>SUM(C9323,C9299,C9275,C9251,C9227,C9203,C9179,C9155,C9131,C9107,C9083,C9059,C9035,C9011)/POBLA!$B$10*100000</f>
        <v>80.816624096326152</v>
      </c>
      <c r="H9323" s="295">
        <f t="shared" si="802"/>
        <v>0.6162215628090999</v>
      </c>
    </row>
    <row r="9324" spans="1:8" x14ac:dyDescent="0.25">
      <c r="A9324" s="105" t="s">
        <v>34</v>
      </c>
      <c r="B9324" s="102">
        <v>44281</v>
      </c>
      <c r="C9324" s="63">
        <v>100</v>
      </c>
      <c r="D9324" s="21">
        <f t="shared" si="800"/>
        <v>20904</v>
      </c>
      <c r="E9324" s="4">
        <v>1</v>
      </c>
      <c r="F9324" s="57">
        <f t="shared" si="801"/>
        <v>316</v>
      </c>
      <c r="G9324" s="238">
        <f>SUM(C9324,C9300,C9276,C9252,C9228,C9204,C9180,C9156,C9132,C9108,C9084,C9060,C9036,C9012)/POBLA!$B$11*100000</f>
        <v>330.88932784269088</v>
      </c>
      <c r="H9324" s="295">
        <f t="shared" si="802"/>
        <v>1.051418439716312</v>
      </c>
    </row>
    <row r="9325" spans="1:8" x14ac:dyDescent="0.25">
      <c r="A9325" s="105" t="s">
        <v>22</v>
      </c>
      <c r="B9325" s="102">
        <v>44281</v>
      </c>
      <c r="C9325" s="63">
        <v>27</v>
      </c>
      <c r="D9325" s="21">
        <f t="shared" si="800"/>
        <v>10825</v>
      </c>
      <c r="F9325" s="57">
        <f t="shared" si="801"/>
        <v>448</v>
      </c>
      <c r="G9325" s="238">
        <f>SUM(C9325,C9301,C9277,C9253,C9229,C9205,C9181,C9157,C9133,C9109,C9085,C9061,C9037,C9013)/POBLA!$B$12*100000</f>
        <v>86.143150094909927</v>
      </c>
      <c r="H9325" s="295">
        <f t="shared" si="802"/>
        <v>1.0694006309148265</v>
      </c>
    </row>
    <row r="9326" spans="1:8" x14ac:dyDescent="0.25">
      <c r="A9326" s="105" t="s">
        <v>18</v>
      </c>
      <c r="B9326" s="102">
        <v>44281</v>
      </c>
      <c r="C9326" s="63">
        <v>336</v>
      </c>
      <c r="D9326" s="21">
        <f t="shared" si="800"/>
        <v>71518</v>
      </c>
      <c r="E9326" s="4">
        <v>2</v>
      </c>
      <c r="F9326" s="57">
        <f t="shared" si="801"/>
        <v>1498</v>
      </c>
      <c r="G9326" s="238">
        <f>SUM(C9326,C9302,C9278,C9254,C9230,C9206,C9182,C9158,C9134,C9110,C9086,C9062,C9038,C9014)/POBLA!$B$13*100000</f>
        <v>117.81918448022395</v>
      </c>
      <c r="H9326" s="295">
        <f t="shared" si="802"/>
        <v>1.1119013750592699</v>
      </c>
    </row>
    <row r="9327" spans="1:8" x14ac:dyDescent="0.25">
      <c r="A9327" s="105" t="s">
        <v>24</v>
      </c>
      <c r="B9327" s="102">
        <v>44281</v>
      </c>
      <c r="C9327" s="63">
        <v>150</v>
      </c>
      <c r="D9327" s="21">
        <f t="shared" si="800"/>
        <v>11437</v>
      </c>
      <c r="E9327" s="4">
        <v>1</v>
      </c>
      <c r="F9327" s="57">
        <f t="shared" si="801"/>
        <v>194</v>
      </c>
      <c r="G9327" s="238">
        <f>SUM(C9327,C9303,C9279,C9255,C9231,C9207,C9183,C9159,C9135,C9111,C9087,C9063,C9039,C9015)/POBLA!$B$14*100000</f>
        <v>135.4164849749543</v>
      </c>
      <c r="H9327" s="295">
        <f t="shared" si="802"/>
        <v>1.0332728372655777</v>
      </c>
    </row>
    <row r="9328" spans="1:8" x14ac:dyDescent="0.25">
      <c r="A9328" s="105" t="s">
        <v>20</v>
      </c>
      <c r="B9328" s="102">
        <v>44281</v>
      </c>
      <c r="C9328" s="63">
        <v>148</v>
      </c>
      <c r="D9328" s="21">
        <f t="shared" si="800"/>
        <v>64698</v>
      </c>
      <c r="E9328" s="4">
        <v>6</v>
      </c>
      <c r="F9328" s="57">
        <f t="shared" si="801"/>
        <v>1004</v>
      </c>
      <c r="G9328" s="238">
        <f>SUM(C9328,C9304,C9280,C9256,C9232,C9208,C9184,C9160,C9136,C9112,C9088,C9064,C9040,C9016)/POBLA!$B$15*100000</f>
        <v>247.11734083068168</v>
      </c>
      <c r="H9328" s="295">
        <f t="shared" si="802"/>
        <v>0.80323054331864907</v>
      </c>
    </row>
    <row r="9329" spans="1:8" x14ac:dyDescent="0.25">
      <c r="A9329" s="105" t="s">
        <v>19</v>
      </c>
      <c r="B9329" s="102">
        <v>44281</v>
      </c>
      <c r="C9329" s="63">
        <v>123</v>
      </c>
      <c r="D9329" s="21">
        <f t="shared" si="800"/>
        <v>54909</v>
      </c>
      <c r="F9329" s="57">
        <f t="shared" si="801"/>
        <v>1269</v>
      </c>
      <c r="G9329" s="238">
        <f>SUM(C9329,C9305,C9281,C9257,C9233,C9209,C9185,C9161,C9137,C9113,C9089,C9065,C9041,C9017)/POBLA!$B$16*100000</f>
        <v>159.84269873329677</v>
      </c>
      <c r="H9329" s="295">
        <f t="shared" si="802"/>
        <v>0.78155657292347935</v>
      </c>
    </row>
    <row r="9330" spans="1:8" x14ac:dyDescent="0.25">
      <c r="A9330" s="105" t="s">
        <v>35</v>
      </c>
      <c r="B9330" s="102">
        <v>44281</v>
      </c>
      <c r="C9330" s="63">
        <v>136</v>
      </c>
      <c r="D9330" s="21">
        <f t="shared" ref="D9330:D9393" si="803">C9330+D9306</f>
        <v>28822</v>
      </c>
      <c r="E9330" s="4">
        <v>1</v>
      </c>
      <c r="F9330" s="57">
        <f t="shared" ref="F9330:F9393" si="804">E9330+F9306</f>
        <v>1197</v>
      </c>
      <c r="G9330" s="238">
        <f>SUM(C9330,C9306,C9282,C9258,C9234,C9210,C9186,C9162,C9138,C9114,C9090,C9066,C9042,C9018)/POBLA!$B$17*100000</f>
        <v>96.181050648098818</v>
      </c>
      <c r="H9330" s="295">
        <f t="shared" ref="H9330:H9393" si="805">SUM(C9330,C9306,C9282,C9258,C9234,C9210,C9186,C9162,C9138,C9114,C9090,C9066,C9042,C9018)/SUM(C8994,C8970,C8946,C8922,C8898,C8874,C8850,C8826,C8802,C8778,C8754,C8730,C8706,C8682)</f>
        <v>0.9102990033222591</v>
      </c>
    </row>
    <row r="9331" spans="1:8" x14ac:dyDescent="0.25">
      <c r="A9331" s="105" t="s">
        <v>36</v>
      </c>
      <c r="B9331" s="102">
        <v>44281</v>
      </c>
      <c r="C9331" s="63">
        <v>158</v>
      </c>
      <c r="D9331" s="21">
        <f t="shared" si="803"/>
        <v>16772</v>
      </c>
      <c r="F9331" s="57">
        <f t="shared" si="804"/>
        <v>223</v>
      </c>
      <c r="G9331" s="238">
        <f>SUM(C9331,C9307,C9283,C9259,C9235,C9211,C9187,C9163,C9139,C9115,C9091,C9067,C9043,C9019)/POBLA!$B$18*100000</f>
        <v>116.86893654387961</v>
      </c>
      <c r="H9331" s="295">
        <f t="shared" si="805"/>
        <v>1.4446202531645569</v>
      </c>
    </row>
    <row r="9332" spans="1:8" x14ac:dyDescent="0.25">
      <c r="A9332" s="105" t="s">
        <v>37</v>
      </c>
      <c r="B9332" s="102">
        <v>44281</v>
      </c>
      <c r="C9332" s="63">
        <v>417</v>
      </c>
      <c r="D9332" s="21">
        <f t="shared" si="803"/>
        <v>22062</v>
      </c>
      <c r="E9332" s="4">
        <v>17</v>
      </c>
      <c r="F9332" s="57">
        <f t="shared" si="804"/>
        <v>402</v>
      </c>
      <c r="G9332" s="238">
        <f>SUM(C9332,C9308,C9284,C9260,C9236,C9212,C9188,C9164,C9140,C9116,C9092,C9068,C9044,C9020)/POBLA!$B$19*100000</f>
        <v>107.6076863757259</v>
      </c>
      <c r="H9332" s="295">
        <f t="shared" si="805"/>
        <v>0.72068511198945984</v>
      </c>
    </row>
    <row r="9333" spans="1:8" x14ac:dyDescent="0.25">
      <c r="A9333" s="105" t="s">
        <v>38</v>
      </c>
      <c r="B9333" s="102">
        <v>44281</v>
      </c>
      <c r="C9333" s="63">
        <v>104</v>
      </c>
      <c r="D9333" s="21">
        <f t="shared" si="803"/>
        <v>38710</v>
      </c>
      <c r="E9333" s="4">
        <v>10</v>
      </c>
      <c r="F9333" s="57">
        <f t="shared" si="804"/>
        <v>636</v>
      </c>
      <c r="G9333" s="238">
        <f>SUM(C9333,C9309,C9285,C9261,C9237,C9213,C9189,C9165,C9141,C9117,C9093,C9069,C9045,C9021)/POBLA!$B$20*100000</f>
        <v>406.07277042805811</v>
      </c>
      <c r="H9333" s="295">
        <f t="shared" si="805"/>
        <v>1.0622317596566524</v>
      </c>
    </row>
    <row r="9334" spans="1:8" x14ac:dyDescent="0.25">
      <c r="A9334" s="105" t="s">
        <v>23</v>
      </c>
      <c r="B9334" s="102">
        <v>44281</v>
      </c>
      <c r="C9334" s="63">
        <v>652</v>
      </c>
      <c r="D9334" s="21">
        <f t="shared" si="803"/>
        <v>228237</v>
      </c>
      <c r="E9334" s="4">
        <v>8</v>
      </c>
      <c r="F9334" s="57">
        <f t="shared" si="804"/>
        <v>4237</v>
      </c>
      <c r="G9334" s="238">
        <f>SUM(C9334,C9310,C9286,C9262,C9238,C9214,C9190,C9166,C9142,C9118,C9094,C9070,C9046,C9022)/POBLA!$B$21*100000</f>
        <v>186.17708653219162</v>
      </c>
      <c r="H9334" s="295">
        <f t="shared" si="805"/>
        <v>1.1571177504393673</v>
      </c>
    </row>
    <row r="9335" spans="1:8" x14ac:dyDescent="0.25">
      <c r="A9335" s="105" t="s">
        <v>39</v>
      </c>
      <c r="B9335" s="102">
        <v>44281</v>
      </c>
      <c r="C9335" s="63">
        <v>104</v>
      </c>
      <c r="D9335" s="21">
        <f t="shared" si="803"/>
        <v>24572</v>
      </c>
      <c r="F9335" s="57">
        <f t="shared" si="804"/>
        <v>288</v>
      </c>
      <c r="G9335" s="238">
        <f>SUM(C9335,C9311,C9287,C9263,C9239,C9215,C9191,C9167,C9143,C9119,C9095,C9071,C9047,C9023)/POBLA!$B$22*100000</f>
        <v>128.89535353204957</v>
      </c>
      <c r="H9335" s="295">
        <f t="shared" si="805"/>
        <v>1.526634382566586</v>
      </c>
    </row>
    <row r="9336" spans="1:8" x14ac:dyDescent="0.25">
      <c r="A9336" s="105" t="s">
        <v>40</v>
      </c>
      <c r="B9336" s="102">
        <v>44281</v>
      </c>
      <c r="C9336" s="63">
        <v>49</v>
      </c>
      <c r="D9336" s="21">
        <f t="shared" si="803"/>
        <v>23818</v>
      </c>
      <c r="F9336" s="57">
        <f t="shared" si="804"/>
        <v>364</v>
      </c>
      <c r="G9336" s="238">
        <f>SUM(C9336,C9312,C9288,C9264,C9240,C9216,C9192,C9168,C9144,C9120,C9096,C9072,C9048,C9024)/POBLA!$B$23*100000</f>
        <v>283.32296556014251</v>
      </c>
      <c r="H9336" s="295">
        <f t="shared" si="805"/>
        <v>1.1843971631205674</v>
      </c>
    </row>
    <row r="9337" spans="1:8" ht="15.75" thickBot="1" x14ac:dyDescent="0.3">
      <c r="A9337" s="106" t="s">
        <v>41</v>
      </c>
      <c r="B9337" s="102">
        <v>44281</v>
      </c>
      <c r="C9337" s="63">
        <v>680</v>
      </c>
      <c r="D9337" s="98">
        <f t="shared" si="803"/>
        <v>85890</v>
      </c>
      <c r="E9337" s="4">
        <v>2</v>
      </c>
      <c r="F9337" s="255">
        <f t="shared" si="804"/>
        <v>1500</v>
      </c>
      <c r="G9337" s="256">
        <f>SUM(C9337,C9313,C9289,C9265,C9241,C9217,C9193,C9169,C9145,C9121,C9097,C9073,C9049,C9025)/POBLA!$B$24*100000</f>
        <v>234.08880622380002</v>
      </c>
      <c r="H9337" s="296">
        <f t="shared" si="805"/>
        <v>1.7376259307928166</v>
      </c>
    </row>
    <row r="9338" spans="1:8" x14ac:dyDescent="0.25">
      <c r="A9338" s="45" t="s">
        <v>17</v>
      </c>
      <c r="B9338" s="102">
        <v>44282</v>
      </c>
      <c r="C9338" s="63">
        <v>5325</v>
      </c>
      <c r="D9338" s="97">
        <f t="shared" si="803"/>
        <v>964851</v>
      </c>
      <c r="E9338" s="4">
        <v>83</v>
      </c>
      <c r="F9338" s="250">
        <f t="shared" si="804"/>
        <v>27911</v>
      </c>
      <c r="G9338" s="251">
        <f>SUM(C9338,C9314,C9290,C9266,C9242,C9218,C9194,C9170,C9146,C9122,C9098,C9074,C9050,C9026)/POBLA!$B$1*100000</f>
        <v>279.85636738225867</v>
      </c>
      <c r="H9338" s="294">
        <f t="shared" si="805"/>
        <v>1.3183478354280804</v>
      </c>
    </row>
    <row r="9339" spans="1:8" x14ac:dyDescent="0.25">
      <c r="A9339" s="105" t="s">
        <v>44</v>
      </c>
      <c r="B9339" s="102">
        <v>44282</v>
      </c>
      <c r="C9339" s="63">
        <v>1476</v>
      </c>
      <c r="D9339" s="21">
        <f t="shared" si="803"/>
        <v>255461</v>
      </c>
      <c r="E9339" s="4">
        <v>23</v>
      </c>
      <c r="F9339" s="57">
        <f t="shared" si="804"/>
        <v>6844</v>
      </c>
      <c r="G9339" s="238">
        <f>SUM(C9339,C9315,C9291,C9267,C9243,C9219,C9195,C9171,C9147,C9123,C9099,C9075,C9051,C9027)/POBLA!$B$2*100000</f>
        <v>457.17224934208946</v>
      </c>
      <c r="H9339" s="295">
        <f t="shared" si="805"/>
        <v>1.4138763197586728</v>
      </c>
    </row>
    <row r="9340" spans="1:8" x14ac:dyDescent="0.25">
      <c r="A9340" s="105" t="s">
        <v>29</v>
      </c>
      <c r="B9340" s="102">
        <v>44282</v>
      </c>
      <c r="C9340" s="63">
        <v>51</v>
      </c>
      <c r="D9340" s="21">
        <f t="shared" si="803"/>
        <v>10146</v>
      </c>
      <c r="F9340" s="57">
        <f t="shared" si="804"/>
        <v>18</v>
      </c>
      <c r="G9340" s="238">
        <f>SUM(C9340,C9316,C9292,C9268,C9244,C9220,C9196,C9172,C9148,C9124,C9100,C9076,C9052,C9028)/POBLA!$B$3*100000</f>
        <v>281.87118174071702</v>
      </c>
      <c r="H9340" s="295">
        <f t="shared" si="805"/>
        <v>1.0317180616740087</v>
      </c>
    </row>
    <row r="9341" spans="1:8" x14ac:dyDescent="0.25">
      <c r="A9341" s="105" t="s">
        <v>16</v>
      </c>
      <c r="B9341" s="102">
        <v>44282</v>
      </c>
      <c r="C9341" s="63">
        <v>229</v>
      </c>
      <c r="D9341" s="21">
        <f t="shared" si="803"/>
        <v>37888</v>
      </c>
      <c r="F9341" s="57">
        <f t="shared" si="804"/>
        <v>917</v>
      </c>
      <c r="G9341" s="238">
        <f>SUM(C9341,C9317,C9293,C9269,C9245,C9221,C9197,C9173,C9149,C9125,C9101,C9077,C9053,C9029)/POBLA!$B$4*100000</f>
        <v>168.77798265065283</v>
      </c>
      <c r="H9341" s="295">
        <f t="shared" si="805"/>
        <v>1.1319599109131404</v>
      </c>
    </row>
    <row r="9342" spans="1:8" x14ac:dyDescent="0.25">
      <c r="A9342" s="105" t="s">
        <v>30</v>
      </c>
      <c r="B9342" s="102">
        <v>44282</v>
      </c>
      <c r="C9342" s="63">
        <v>89</v>
      </c>
      <c r="D9342" s="21">
        <f t="shared" si="803"/>
        <v>49492</v>
      </c>
      <c r="F9342" s="57">
        <f t="shared" si="804"/>
        <v>854</v>
      </c>
      <c r="G9342" s="238">
        <f>SUM(C9342,C9318,C9294,C9270,C9246,C9222,C9198,C9174,C9150,C9126,C9102,C9078,C9054,C9030)/POBLA!$B$5*100000</f>
        <v>224.07325434495328</v>
      </c>
      <c r="H9342" s="295">
        <f t="shared" si="805"/>
        <v>1.1340964840556009</v>
      </c>
    </row>
    <row r="9343" spans="1:8" x14ac:dyDescent="0.25">
      <c r="A9343" s="105" t="s">
        <v>31</v>
      </c>
      <c r="B9343" s="102">
        <v>44282</v>
      </c>
      <c r="C9343" s="63">
        <v>18</v>
      </c>
      <c r="D9343" s="21">
        <f t="shared" si="803"/>
        <v>27911</v>
      </c>
      <c r="F9343" s="57">
        <f t="shared" si="804"/>
        <v>325</v>
      </c>
      <c r="G9343" s="238">
        <f>SUM(C9343,C9319,C9295,C9271,C9247,C9223,C9199,C9175,C9151,C9127,C9103,C9079,C9055,C9031)/POBLA!$B$6*100000</f>
        <v>274.08969121191001</v>
      </c>
      <c r="H9343" s="295">
        <f t="shared" si="805"/>
        <v>1.0101940151266031</v>
      </c>
    </row>
    <row r="9344" spans="1:8" x14ac:dyDescent="0.25">
      <c r="A9344" s="105" t="s">
        <v>21</v>
      </c>
      <c r="B9344" s="102">
        <v>44282</v>
      </c>
      <c r="C9344" s="63">
        <v>803</v>
      </c>
      <c r="D9344" s="21">
        <f t="shared" si="803"/>
        <v>177028</v>
      </c>
      <c r="E9344" s="4">
        <v>4</v>
      </c>
      <c r="F9344" s="57">
        <f t="shared" si="804"/>
        <v>3008</v>
      </c>
      <c r="G9344" s="238">
        <f>SUM(C9344,C9320,C9296,C9272,C9248,C9224,C9200,C9176,C9152,C9128,C9104,C9080,C9056,C9032)/POBLA!$B$7*100000</f>
        <v>250.76786022949381</v>
      </c>
      <c r="H9344" s="295">
        <f t="shared" si="805"/>
        <v>1.1708467842066055</v>
      </c>
    </row>
    <row r="9345" spans="1:8" x14ac:dyDescent="0.25">
      <c r="A9345" s="105" t="s">
        <v>32</v>
      </c>
      <c r="B9345" s="102">
        <v>44282</v>
      </c>
      <c r="C9345" s="63">
        <v>169</v>
      </c>
      <c r="D9345" s="21">
        <f t="shared" si="803"/>
        <v>49137</v>
      </c>
      <c r="F9345" s="57">
        <f t="shared" si="804"/>
        <v>941</v>
      </c>
      <c r="G9345" s="238">
        <f>SUM(C9345,C9321,C9297,C9273,C9249,C9225,C9201,C9177,C9153,C9129,C9105,C9081,C9057,C9033)/POBLA!$B$8*100000</f>
        <v>167.89794229419152</v>
      </c>
      <c r="H9345" s="295">
        <f t="shared" si="805"/>
        <v>1.3728613569321535</v>
      </c>
    </row>
    <row r="9346" spans="1:8" x14ac:dyDescent="0.25">
      <c r="A9346" s="105" t="s">
        <v>42</v>
      </c>
      <c r="B9346" s="102">
        <v>44282</v>
      </c>
      <c r="C9346" s="63">
        <v>32</v>
      </c>
      <c r="D9346" s="21">
        <f t="shared" si="803"/>
        <v>1947</v>
      </c>
      <c r="E9346" s="4">
        <v>2</v>
      </c>
      <c r="F9346" s="57">
        <f t="shared" si="804"/>
        <v>30</v>
      </c>
      <c r="G9346" s="238">
        <f>SUM(C9346,C9322,C9298,C9274,C9250,C9226,C9202,C9178,C9154,C9130,C9106,C9082,C9058,C9034)/POBLA!$B$9*100000</f>
        <v>70.225531359417573</v>
      </c>
      <c r="H9346" s="295">
        <f t="shared" si="805"/>
        <v>1.4072847682119205</v>
      </c>
    </row>
    <row r="9347" spans="1:8" x14ac:dyDescent="0.25">
      <c r="A9347" s="105" t="s">
        <v>33</v>
      </c>
      <c r="B9347" s="102">
        <v>44282</v>
      </c>
      <c r="C9347" s="63">
        <v>41</v>
      </c>
      <c r="D9347" s="21">
        <f t="shared" si="803"/>
        <v>22249</v>
      </c>
      <c r="E9347" s="4">
        <v>3</v>
      </c>
      <c r="F9347" s="57">
        <f t="shared" si="804"/>
        <v>958</v>
      </c>
      <c r="G9347" s="238">
        <f>SUM(C9347,C9323,C9299,C9275,C9251,C9227,C9203,C9179,C9155,C9131,C9107,C9083,C9059,C9035)/POBLA!$B$10*100000</f>
        <v>82.632728008603152</v>
      </c>
      <c r="H9347" s="295">
        <f t="shared" si="805"/>
        <v>0.67407407407407405</v>
      </c>
    </row>
    <row r="9348" spans="1:8" x14ac:dyDescent="0.25">
      <c r="A9348" s="105" t="s">
        <v>34</v>
      </c>
      <c r="B9348" s="102">
        <v>44282</v>
      </c>
      <c r="C9348" s="63">
        <v>106</v>
      </c>
      <c r="D9348" s="21">
        <f t="shared" si="803"/>
        <v>21010</v>
      </c>
      <c r="F9348" s="57">
        <f t="shared" si="804"/>
        <v>316</v>
      </c>
      <c r="G9348" s="238">
        <f>SUM(C9348,C9324,C9300,C9276,C9252,C9228,C9204,C9180,C9156,C9132,C9108,C9084,C9060,C9036)/POBLA!$B$11*100000</f>
        <v>333.95828450902275</v>
      </c>
      <c r="H9348" s="295">
        <f t="shared" si="805"/>
        <v>1.023076923076923</v>
      </c>
    </row>
    <row r="9349" spans="1:8" x14ac:dyDescent="0.25">
      <c r="A9349" s="105" t="s">
        <v>22</v>
      </c>
      <c r="B9349" s="102">
        <v>44282</v>
      </c>
      <c r="C9349" s="63">
        <v>30</v>
      </c>
      <c r="D9349" s="21">
        <f t="shared" si="803"/>
        <v>10855</v>
      </c>
      <c r="F9349" s="57">
        <f t="shared" si="804"/>
        <v>448</v>
      </c>
      <c r="G9349" s="238">
        <f>SUM(C9349,C9325,C9301,C9277,C9253,C9229,C9205,C9181,C9157,C9133,C9109,C9085,C9061,C9037)/POBLA!$B$12*100000</f>
        <v>88.938355555216745</v>
      </c>
      <c r="H9349" s="295">
        <f t="shared" si="805"/>
        <v>1.0574018126888218</v>
      </c>
    </row>
    <row r="9350" spans="1:8" x14ac:dyDescent="0.25">
      <c r="A9350" s="105" t="s">
        <v>18</v>
      </c>
      <c r="B9350" s="102">
        <v>44282</v>
      </c>
      <c r="C9350" s="63">
        <v>208</v>
      </c>
      <c r="D9350" s="21">
        <f t="shared" si="803"/>
        <v>71726</v>
      </c>
      <c r="F9350" s="57">
        <f t="shared" si="804"/>
        <v>1498</v>
      </c>
      <c r="G9350" s="238">
        <f>SUM(C9350,C9326,C9302,C9278,C9254,C9230,C9206,C9182,C9158,C9134,C9110,C9086,C9062,C9038)/POBLA!$B$13*100000</f>
        <v>121.48690322950173</v>
      </c>
      <c r="H9350" s="295">
        <f t="shared" si="805"/>
        <v>1.138954309938766</v>
      </c>
    </row>
    <row r="9351" spans="1:8" x14ac:dyDescent="0.25">
      <c r="A9351" s="105" t="s">
        <v>24</v>
      </c>
      <c r="B9351" s="102">
        <v>44282</v>
      </c>
      <c r="C9351" s="63">
        <v>119</v>
      </c>
      <c r="D9351" s="21">
        <f t="shared" si="803"/>
        <v>11556</v>
      </c>
      <c r="E9351" s="4">
        <v>2</v>
      </c>
      <c r="F9351" s="57">
        <f t="shared" si="804"/>
        <v>196</v>
      </c>
      <c r="G9351" s="238">
        <f>SUM(C9351,C9327,C9303,C9279,C9255,C9231,C9207,C9183,C9159,C9135,C9111,C9087,C9063,C9039)/POBLA!$B$14*100000</f>
        <v>135.4164849749543</v>
      </c>
      <c r="H9351" s="295">
        <f t="shared" si="805"/>
        <v>1.037037037037037</v>
      </c>
    </row>
    <row r="9352" spans="1:8" x14ac:dyDescent="0.25">
      <c r="A9352" s="105" t="s">
        <v>20</v>
      </c>
      <c r="B9352" s="102">
        <v>44282</v>
      </c>
      <c r="C9352" s="63">
        <v>101</v>
      </c>
      <c r="D9352" s="21">
        <f t="shared" si="803"/>
        <v>64799</v>
      </c>
      <c r="F9352" s="57">
        <f t="shared" si="804"/>
        <v>1004</v>
      </c>
      <c r="G9352" s="238">
        <f>SUM(C9352,C9328,C9304,C9280,C9256,C9232,C9208,C9184,C9160,C9136,C9112,C9088,C9064,C9040)/POBLA!$B$15*100000</f>
        <v>249.82795151621022</v>
      </c>
      <c r="H9352" s="295">
        <f t="shared" si="805"/>
        <v>0.8120411160058737</v>
      </c>
    </row>
    <row r="9353" spans="1:8" x14ac:dyDescent="0.25">
      <c r="A9353" s="105" t="s">
        <v>19</v>
      </c>
      <c r="B9353" s="102">
        <v>44282</v>
      </c>
      <c r="C9353" s="63">
        <v>76</v>
      </c>
      <c r="D9353" s="21">
        <f t="shared" si="803"/>
        <v>54985</v>
      </c>
      <c r="E9353" s="4">
        <v>3</v>
      </c>
      <c r="F9353" s="57">
        <f t="shared" si="804"/>
        <v>1272</v>
      </c>
      <c r="G9353" s="238">
        <f>SUM(C9353,C9329,C9305,C9281,C9257,C9233,C9209,C9185,C9161,C9137,C9113,C9089,C9065,C9041)/POBLA!$B$16*100000</f>
        <v>165.193081954495</v>
      </c>
      <c r="H9353" s="295">
        <f t="shared" si="805"/>
        <v>0.83445945945945943</v>
      </c>
    </row>
    <row r="9354" spans="1:8" x14ac:dyDescent="0.25">
      <c r="A9354" s="105" t="s">
        <v>35</v>
      </c>
      <c r="B9354" s="102">
        <v>44282</v>
      </c>
      <c r="C9354" s="63">
        <v>102</v>
      </c>
      <c r="D9354" s="21">
        <f t="shared" si="803"/>
        <v>28924</v>
      </c>
      <c r="E9354" s="4">
        <v>1</v>
      </c>
      <c r="F9354" s="57">
        <f t="shared" si="804"/>
        <v>1198</v>
      </c>
      <c r="G9354" s="238">
        <f>SUM(C9354,C9330,C9306,C9282,C9258,C9234,C9210,C9186,C9162,C9138,C9114,C9090,C9066,C9042)/POBLA!$B$17*100000</f>
        <v>93.513255082677091</v>
      </c>
      <c r="H9354" s="295">
        <f t="shared" si="805"/>
        <v>0.86888454011741678</v>
      </c>
    </row>
    <row r="9355" spans="1:8" x14ac:dyDescent="0.25">
      <c r="A9355" s="105" t="s">
        <v>36</v>
      </c>
      <c r="B9355" s="102">
        <v>44282</v>
      </c>
      <c r="C9355" s="63">
        <v>32</v>
      </c>
      <c r="D9355" s="21">
        <f t="shared" si="803"/>
        <v>16804</v>
      </c>
      <c r="F9355" s="57">
        <f t="shared" si="804"/>
        <v>223</v>
      </c>
      <c r="G9355" s="238">
        <f>SUM(C9355,C9331,C9307,C9283,C9259,C9235,C9211,C9187,C9163,C9139,C9115,C9091,C9067,C9043)/POBLA!$B$18*100000</f>
        <v>119.55705008979578</v>
      </c>
      <c r="H9355" s="295">
        <f t="shared" si="805"/>
        <v>1.4801901743264658</v>
      </c>
    </row>
    <row r="9356" spans="1:8" x14ac:dyDescent="0.25">
      <c r="A9356" s="105" t="s">
        <v>37</v>
      </c>
      <c r="B9356" s="102">
        <v>44282</v>
      </c>
      <c r="C9356" s="63">
        <v>84</v>
      </c>
      <c r="D9356" s="21">
        <f t="shared" si="803"/>
        <v>22146</v>
      </c>
      <c r="F9356" s="57">
        <f t="shared" si="804"/>
        <v>402</v>
      </c>
      <c r="G9356" s="238">
        <f>SUM(C9356,C9332,C9308,C9284,C9260,C9236,C9212,C9188,C9164,C9140,C9116,C9092,C9068,C9044)/POBLA!$B$19*100000</f>
        <v>123.93572653877024</v>
      </c>
      <c r="H9356" s="295">
        <f t="shared" si="805"/>
        <v>0.84677419354838712</v>
      </c>
    </row>
    <row r="9357" spans="1:8" x14ac:dyDescent="0.25">
      <c r="A9357" s="105" t="s">
        <v>38</v>
      </c>
      <c r="B9357" s="102">
        <v>44282</v>
      </c>
      <c r="C9357" s="63">
        <v>144</v>
      </c>
      <c r="D9357" s="21">
        <f t="shared" si="803"/>
        <v>38854</v>
      </c>
      <c r="E9357" s="4">
        <v>1</v>
      </c>
      <c r="F9357" s="57">
        <f t="shared" si="804"/>
        <v>637</v>
      </c>
      <c r="G9357" s="238">
        <f>SUM(C9357,C9333,C9309,C9285,C9261,C9237,C9213,C9189,C9165,C9141,C9117,C9093,C9069,C9045)/POBLA!$B$20*100000</f>
        <v>418.37800589557509</v>
      </c>
      <c r="H9357" s="295">
        <f t="shared" si="805"/>
        <v>1.0714285714285714</v>
      </c>
    </row>
    <row r="9358" spans="1:8" x14ac:dyDescent="0.25">
      <c r="A9358" s="105" t="s">
        <v>23</v>
      </c>
      <c r="B9358" s="102">
        <v>44282</v>
      </c>
      <c r="C9358" s="63">
        <v>686</v>
      </c>
      <c r="D9358" s="21">
        <f t="shared" si="803"/>
        <v>228923</v>
      </c>
      <c r="E9358" s="4">
        <v>8</v>
      </c>
      <c r="F9358" s="57">
        <f t="shared" si="804"/>
        <v>4245</v>
      </c>
      <c r="G9358" s="238">
        <f>SUM(C9358,C9334,C9310,C9286,C9262,C9238,C9214,C9190,C9166,C9142,C9118,C9094,C9070,C9046)/POBLA!$B$21*100000</f>
        <v>192.2566845887562</v>
      </c>
      <c r="H9358" s="295">
        <f t="shared" si="805"/>
        <v>1.1758906952611554</v>
      </c>
    </row>
    <row r="9359" spans="1:8" x14ac:dyDescent="0.25">
      <c r="A9359" s="105" t="s">
        <v>39</v>
      </c>
      <c r="B9359" s="102">
        <v>44282</v>
      </c>
      <c r="C9359" s="63">
        <v>130</v>
      </c>
      <c r="D9359" s="21">
        <f t="shared" si="803"/>
        <v>24702</v>
      </c>
      <c r="E9359" s="4">
        <v>1</v>
      </c>
      <c r="F9359" s="57">
        <f t="shared" si="804"/>
        <v>289</v>
      </c>
      <c r="G9359" s="238">
        <f>SUM(C9359,C9335,C9311,C9287,C9263,C9239,C9215,C9191,C9167,C9143,C9119,C9095,C9071,C9047)/POBLA!$B$22*100000</f>
        <v>134.92614326907645</v>
      </c>
      <c r="H9359" s="295">
        <f t="shared" si="805"/>
        <v>1.6216216216216217</v>
      </c>
    </row>
    <row r="9360" spans="1:8" x14ac:dyDescent="0.25">
      <c r="A9360" s="105" t="s">
        <v>40</v>
      </c>
      <c r="B9360" s="102">
        <v>44282</v>
      </c>
      <c r="C9360" s="63">
        <v>42</v>
      </c>
      <c r="D9360" s="21">
        <f t="shared" si="803"/>
        <v>23860</v>
      </c>
      <c r="E9360" s="4">
        <v>1</v>
      </c>
      <c r="F9360" s="57">
        <f t="shared" si="804"/>
        <v>365</v>
      </c>
      <c r="G9360" s="238">
        <f>SUM(C9360,C9336,C9312,C9288,C9264,C9240,C9216,C9192,C9168,C9144,C9120,C9096,C9072,C9048)/POBLA!$B$23*100000</f>
        <v>300.28841259967197</v>
      </c>
      <c r="H9360" s="295">
        <f t="shared" si="805"/>
        <v>1.3409090909090908</v>
      </c>
    </row>
    <row r="9361" spans="1:8" ht="15.75" thickBot="1" x14ac:dyDescent="0.3">
      <c r="A9361" s="106" t="s">
        <v>41</v>
      </c>
      <c r="B9361" s="102">
        <v>44282</v>
      </c>
      <c r="C9361" s="63">
        <v>245</v>
      </c>
      <c r="D9361" s="98">
        <f t="shared" si="803"/>
        <v>86135</v>
      </c>
      <c r="E9361" s="4">
        <v>1</v>
      </c>
      <c r="F9361" s="255">
        <f t="shared" si="804"/>
        <v>1501</v>
      </c>
      <c r="G9361" s="256">
        <f>SUM(C9361,C9337,C9313,C9289,C9265,C9241,C9217,C9193,C9169,C9145,C9121,C9097,C9073,C9049)/POBLA!$B$24*100000</f>
        <v>241.22889837229502</v>
      </c>
      <c r="H9361" s="296">
        <f t="shared" si="805"/>
        <v>1.7514995715509853</v>
      </c>
    </row>
    <row r="9362" spans="1:8" x14ac:dyDescent="0.25">
      <c r="A9362" s="45" t="s">
        <v>17</v>
      </c>
      <c r="B9362" s="102">
        <v>44283</v>
      </c>
      <c r="C9362" s="63">
        <v>3257</v>
      </c>
      <c r="D9362" s="97">
        <f t="shared" si="803"/>
        <v>968108</v>
      </c>
      <c r="E9362" s="4">
        <v>72</v>
      </c>
      <c r="F9362" s="250">
        <f t="shared" si="804"/>
        <v>27983</v>
      </c>
      <c r="G9362" s="251">
        <f>SUM(C9362,C9338,C9314,C9290,C9266,C9242,C9218,C9194,C9170,C9146,C9122,C9098,C9074,C9050)/POBLA!$B$1*100000</f>
        <v>289.6504851081238</v>
      </c>
      <c r="H9362" s="294">
        <f t="shared" si="805"/>
        <v>1.3551329581521885</v>
      </c>
    </row>
    <row r="9363" spans="1:8" x14ac:dyDescent="0.25">
      <c r="A9363" s="105" t="s">
        <v>44</v>
      </c>
      <c r="B9363" s="102">
        <v>44283</v>
      </c>
      <c r="C9363" s="63">
        <v>1044</v>
      </c>
      <c r="D9363" s="21">
        <f t="shared" si="803"/>
        <v>256505</v>
      </c>
      <c r="F9363" s="57">
        <f t="shared" si="804"/>
        <v>6844</v>
      </c>
      <c r="G9363" s="238">
        <f>SUM(C9363,C9339,C9315,C9291,C9267,C9243,C9219,C9195,C9171,C9147,C9123,C9099,C9075,C9051)/POBLA!$B$2*100000</f>
        <v>473.03883476837058</v>
      </c>
      <c r="H9363" s="295">
        <f t="shared" si="805"/>
        <v>1.4456478537360891</v>
      </c>
    </row>
    <row r="9364" spans="1:8" x14ac:dyDescent="0.25">
      <c r="A9364" s="105" t="s">
        <v>29</v>
      </c>
      <c r="B9364" s="102">
        <v>44283</v>
      </c>
      <c r="C9364" s="63">
        <v>80</v>
      </c>
      <c r="D9364" s="21">
        <f t="shared" si="803"/>
        <v>10226</v>
      </c>
      <c r="F9364" s="57">
        <f t="shared" si="804"/>
        <v>18</v>
      </c>
      <c r="G9364" s="238">
        <f>SUM(C9364,C9340,C9316,C9292,C9268,C9244,C9220,C9196,C9172,C9148,C9124,C9100,C9076,C9052)/POBLA!$B$3*100000</f>
        <v>288.37034647769343</v>
      </c>
      <c r="H9364" s="295">
        <f t="shared" si="805"/>
        <v>1.0472027972027973</v>
      </c>
    </row>
    <row r="9365" spans="1:8" x14ac:dyDescent="0.25">
      <c r="A9365" s="105" t="s">
        <v>16</v>
      </c>
      <c r="B9365" s="102">
        <v>44283</v>
      </c>
      <c r="C9365" s="63">
        <v>95</v>
      </c>
      <c r="D9365" s="21">
        <f t="shared" si="803"/>
        <v>37983</v>
      </c>
      <c r="E9365" s="4">
        <v>1</v>
      </c>
      <c r="F9365" s="57">
        <f t="shared" si="804"/>
        <v>918</v>
      </c>
      <c r="G9365" s="238">
        <f>SUM(C9365,C9341,C9317,C9293,C9269,C9245,C9221,C9197,C9173,C9149,C9125,C9101,C9077,C9053)/POBLA!$B$4*100000</f>
        <v>169.4421360501635</v>
      </c>
      <c r="H9365" s="295">
        <f t="shared" si="805"/>
        <v>1.1345191773207337</v>
      </c>
    </row>
    <row r="9366" spans="1:8" x14ac:dyDescent="0.25">
      <c r="A9366" s="105" t="s">
        <v>30</v>
      </c>
      <c r="B9366" s="102">
        <v>44283</v>
      </c>
      <c r="C9366" s="63">
        <v>70</v>
      </c>
      <c r="D9366" s="21">
        <f t="shared" si="803"/>
        <v>49562</v>
      </c>
      <c r="F9366" s="57">
        <f t="shared" si="804"/>
        <v>854</v>
      </c>
      <c r="G9366" s="238">
        <f>SUM(C9366,C9342,C9318,C9294,C9270,C9246,C9222,C9198,C9174,C9150,C9126,C9102,C9078,C9054)/POBLA!$B$5*100000</f>
        <v>231.66621970487597</v>
      </c>
      <c r="H9366" s="295">
        <f t="shared" si="805"/>
        <v>1.1592562651576395</v>
      </c>
    </row>
    <row r="9367" spans="1:8" x14ac:dyDescent="0.25">
      <c r="A9367" s="105" t="s">
        <v>31</v>
      </c>
      <c r="B9367" s="102">
        <v>44283</v>
      </c>
      <c r="C9367" s="63">
        <v>476</v>
      </c>
      <c r="D9367" s="21">
        <f t="shared" si="803"/>
        <v>28387</v>
      </c>
      <c r="F9367" s="57">
        <f t="shared" si="804"/>
        <v>325</v>
      </c>
      <c r="G9367" s="238">
        <f>SUM(C9367,C9343,C9319,C9295,C9271,C9247,C9223,C9199,C9175,C9151,C9127,C9103,C9079,C9055)/POBLA!$B$6*100000</f>
        <v>305.76346737734889</v>
      </c>
      <c r="H9367" s="295">
        <f t="shared" si="805"/>
        <v>1.1040592783505154</v>
      </c>
    </row>
    <row r="9368" spans="1:8" x14ac:dyDescent="0.25">
      <c r="A9368" s="105" t="s">
        <v>21</v>
      </c>
      <c r="B9368" s="102">
        <v>44283</v>
      </c>
      <c r="C9368" s="63">
        <v>443</v>
      </c>
      <c r="D9368" s="21">
        <f t="shared" si="803"/>
        <v>177471</v>
      </c>
      <c r="E9368" s="4">
        <v>1</v>
      </c>
      <c r="F9368" s="57">
        <f t="shared" si="804"/>
        <v>3009</v>
      </c>
      <c r="G9368" s="238">
        <f>SUM(C9368,C9344,C9320,C9296,C9272,C9248,C9224,C9200,C9176,C9152,C9128,C9104,C9080,C9056)/POBLA!$B$7*100000</f>
        <v>255.07585528327729</v>
      </c>
      <c r="H9368" s="328">
        <f t="shared" si="805"/>
        <v>1.1988501437320336</v>
      </c>
    </row>
    <row r="9369" spans="1:8" x14ac:dyDescent="0.25">
      <c r="A9369" s="105" t="s">
        <v>32</v>
      </c>
      <c r="B9369" s="102">
        <v>44283</v>
      </c>
      <c r="C9369" s="63">
        <v>83</v>
      </c>
      <c r="D9369" s="21">
        <f t="shared" si="803"/>
        <v>49220</v>
      </c>
      <c r="F9369" s="57">
        <f t="shared" si="804"/>
        <v>941</v>
      </c>
      <c r="G9369" s="238">
        <f>SUM(C9369,C9345,C9321,C9297,C9273,C9249,C9225,C9201,C9177,C9153,C9129,C9105,C9081,C9057)/POBLA!$B$8*100000</f>
        <v>169.4131364446763</v>
      </c>
      <c r="H9369" s="295">
        <f t="shared" si="805"/>
        <v>1.3771260997067449</v>
      </c>
    </row>
    <row r="9370" spans="1:8" x14ac:dyDescent="0.25">
      <c r="A9370" s="105" t="s">
        <v>42</v>
      </c>
      <c r="B9370" s="102">
        <v>44283</v>
      </c>
      <c r="C9370" s="63">
        <v>32</v>
      </c>
      <c r="D9370" s="21">
        <f t="shared" si="803"/>
        <v>1979</v>
      </c>
      <c r="F9370" s="57">
        <f t="shared" si="804"/>
        <v>30</v>
      </c>
      <c r="G9370" s="238">
        <f>SUM(C9370,C9346,C9322,C9298,C9274,C9250,C9226,C9202,C9178,C9154,C9130,C9106,C9082,C9058)/POBLA!$B$9*100000</f>
        <v>68.077456282541263</v>
      </c>
      <c r="H9370" s="295">
        <f t="shared" si="805"/>
        <v>1.1907514450867052</v>
      </c>
    </row>
    <row r="9371" spans="1:8" x14ac:dyDescent="0.25">
      <c r="A9371" s="105" t="s">
        <v>33</v>
      </c>
      <c r="B9371" s="102">
        <v>44283</v>
      </c>
      <c r="C9371" s="63">
        <v>47</v>
      </c>
      <c r="D9371" s="21">
        <f t="shared" si="803"/>
        <v>22296</v>
      </c>
      <c r="E9371" s="4">
        <v>4</v>
      </c>
      <c r="F9371" s="57">
        <f t="shared" si="804"/>
        <v>962</v>
      </c>
      <c r="G9371" s="238">
        <f>SUM(C9371,C9347,C9323,C9299,C9275,C9251,C9227,C9203,C9179,C9155,C9131,C9107,C9083,C9059)/POBLA!$B$10*100000</f>
        <v>79.778850432167872</v>
      </c>
      <c r="H9371" s="295">
        <f t="shared" si="805"/>
        <v>0.66200215285252961</v>
      </c>
    </row>
    <row r="9372" spans="1:8" x14ac:dyDescent="0.25">
      <c r="A9372" s="105" t="s">
        <v>34</v>
      </c>
      <c r="B9372" s="102">
        <v>44283</v>
      </c>
      <c r="C9372" s="63">
        <v>46</v>
      </c>
      <c r="D9372" s="21">
        <f t="shared" si="803"/>
        <v>21056</v>
      </c>
      <c r="F9372" s="57">
        <f t="shared" si="804"/>
        <v>316</v>
      </c>
      <c r="G9372" s="238">
        <f>SUM(C9372,C9348,C9324,C9300,C9276,C9252,C9228,C9204,C9180,C9156,C9132,C9108,C9084,C9060)/POBLA!$B$11*100000</f>
        <v>339.25920965995959</v>
      </c>
      <c r="H9372" s="295">
        <f t="shared" si="805"/>
        <v>1.057391304347826</v>
      </c>
    </row>
    <row r="9373" spans="1:8" x14ac:dyDescent="0.25">
      <c r="A9373" s="105" t="s">
        <v>22</v>
      </c>
      <c r="B9373" s="102">
        <v>44283</v>
      </c>
      <c r="C9373" s="63">
        <v>47</v>
      </c>
      <c r="D9373" s="21">
        <f t="shared" si="803"/>
        <v>10902</v>
      </c>
      <c r="F9373" s="57">
        <f t="shared" si="804"/>
        <v>448</v>
      </c>
      <c r="G9373" s="238">
        <f>SUM(C9373,C9349,C9325,C9301,C9277,C9253,C9229,C9205,C9181,C9157,C9133,C9109,C9085,C9061)/POBLA!$B$12*100000</f>
        <v>93.258218539327274</v>
      </c>
      <c r="H9373" s="295">
        <f t="shared" si="805"/>
        <v>1.180064308681672</v>
      </c>
    </row>
    <row r="9374" spans="1:8" x14ac:dyDescent="0.25">
      <c r="A9374" s="105" t="s">
        <v>18</v>
      </c>
      <c r="B9374" s="102">
        <v>44283</v>
      </c>
      <c r="C9374" s="63">
        <v>116</v>
      </c>
      <c r="D9374" s="21">
        <f t="shared" si="803"/>
        <v>71842</v>
      </c>
      <c r="F9374" s="57">
        <f t="shared" si="804"/>
        <v>1498</v>
      </c>
      <c r="G9374" s="238">
        <f>SUM(C9374,C9350,C9326,C9302,C9278,C9254,C9230,C9206,C9182,C9158,C9134,C9110,C9086,C9062)/POBLA!$B$13*100000</f>
        <v>124.3004956947011</v>
      </c>
      <c r="H9374" s="295">
        <f t="shared" si="805"/>
        <v>1.1604127579737336</v>
      </c>
    </row>
    <row r="9375" spans="1:8" x14ac:dyDescent="0.25">
      <c r="A9375" s="105" t="s">
        <v>24</v>
      </c>
      <c r="B9375" s="102">
        <v>44283</v>
      </c>
      <c r="C9375" s="63">
        <v>142</v>
      </c>
      <c r="D9375" s="21">
        <f t="shared" si="803"/>
        <v>11698</v>
      </c>
      <c r="F9375" s="57">
        <f t="shared" si="804"/>
        <v>196</v>
      </c>
      <c r="G9375" s="238">
        <f>SUM(C9375,C9351,C9327,C9303,C9279,C9255,C9231,C9207,C9183,C9159,C9135,C9111,C9087,C9063)/POBLA!$B$14*100000</f>
        <v>137.00215810112473</v>
      </c>
      <c r="H9375" s="295">
        <f t="shared" si="805"/>
        <v>1.0188679245283019</v>
      </c>
    </row>
    <row r="9376" spans="1:8" x14ac:dyDescent="0.25">
      <c r="A9376" s="105" t="s">
        <v>20</v>
      </c>
      <c r="B9376" s="102">
        <v>44283</v>
      </c>
      <c r="C9376" s="63">
        <v>72</v>
      </c>
      <c r="D9376" s="21">
        <f t="shared" si="803"/>
        <v>64871</v>
      </c>
      <c r="E9376" s="4">
        <v>1</v>
      </c>
      <c r="F9376" s="57">
        <f t="shared" si="804"/>
        <v>1005</v>
      </c>
      <c r="G9376" s="238">
        <f>SUM(C9376,C9352,C9328,C9304,C9280,C9256,C9232,C9208,C9184,C9160,C9136,C9112,C9088,C9064)/POBLA!$B$15*100000</f>
        <v>249.82795151621022</v>
      </c>
      <c r="H9376" s="295">
        <f t="shared" si="805"/>
        <v>0.81483300589390961</v>
      </c>
    </row>
    <row r="9377" spans="1:8" x14ac:dyDescent="0.25">
      <c r="A9377" s="105" t="s">
        <v>19</v>
      </c>
      <c r="B9377" s="102">
        <v>44283</v>
      </c>
      <c r="C9377" s="63">
        <v>45</v>
      </c>
      <c r="D9377" s="21">
        <f t="shared" si="803"/>
        <v>55030</v>
      </c>
      <c r="E9377" s="4">
        <v>2</v>
      </c>
      <c r="F9377" s="57">
        <f t="shared" si="804"/>
        <v>1274</v>
      </c>
      <c r="G9377" s="238">
        <f>SUM(C9377,C9353,C9329,C9305,C9281,C9257,C9233,C9209,C9185,C9161,C9137,C9113,C9089,C9065)/POBLA!$B$16*100000</f>
        <v>166.26315859873463</v>
      </c>
      <c r="H9377" s="295">
        <f t="shared" si="805"/>
        <v>0.85078713210130053</v>
      </c>
    </row>
    <row r="9378" spans="1:8" x14ac:dyDescent="0.25">
      <c r="A9378" s="105" t="s">
        <v>35</v>
      </c>
      <c r="B9378" s="102">
        <v>44283</v>
      </c>
      <c r="C9378" s="63">
        <v>54</v>
      </c>
      <c r="D9378" s="21">
        <f t="shared" si="803"/>
        <v>28978</v>
      </c>
      <c r="F9378" s="57">
        <f t="shared" si="804"/>
        <v>1198</v>
      </c>
      <c r="G9378" s="238">
        <f>SUM(C9378,C9354,C9330,C9306,C9282,C9258,C9234,C9210,C9186,C9162,C9138,C9114,C9090,C9066)/POBLA!$B$17*100000</f>
        <v>94.84715286538794</v>
      </c>
      <c r="H9378" s="295">
        <f t="shared" si="805"/>
        <v>0.90915208613728127</v>
      </c>
    </row>
    <row r="9379" spans="1:8" x14ac:dyDescent="0.25">
      <c r="A9379" s="105" t="s">
        <v>36</v>
      </c>
      <c r="B9379" s="102">
        <v>44283</v>
      </c>
      <c r="C9379" s="63">
        <v>22</v>
      </c>
      <c r="D9379" s="21">
        <f t="shared" si="803"/>
        <v>16826</v>
      </c>
      <c r="F9379" s="57">
        <f t="shared" si="804"/>
        <v>223</v>
      </c>
      <c r="G9379" s="238">
        <f>SUM(C9379,C9355,C9331,C9307,C9283,C9259,C9235,C9211,C9187,C9163,C9139,C9115,C9091,C9067)/POBLA!$B$18*100000</f>
        <v>121.86114741486681</v>
      </c>
      <c r="H9379" s="295">
        <f t="shared" si="805"/>
        <v>1.5111111111111111</v>
      </c>
    </row>
    <row r="9380" spans="1:8" x14ac:dyDescent="0.25">
      <c r="A9380" s="105" t="s">
        <v>37</v>
      </c>
      <c r="B9380" s="102">
        <v>44283</v>
      </c>
      <c r="C9380" s="63">
        <v>203</v>
      </c>
      <c r="D9380" s="21">
        <f t="shared" si="803"/>
        <v>22349</v>
      </c>
      <c r="F9380" s="57">
        <f t="shared" si="804"/>
        <v>402</v>
      </c>
      <c r="G9380" s="238">
        <f>SUM(C9380,C9356,C9332,C9308,C9284,C9260,C9236,C9212,C9188,C9164,C9140,C9116,C9092,C9068)/POBLA!$B$19*100000</f>
        <v>163.47712500590171</v>
      </c>
      <c r="H9380" s="295">
        <f t="shared" si="805"/>
        <v>1.1154362416107382</v>
      </c>
    </row>
    <row r="9381" spans="1:8" x14ac:dyDescent="0.25">
      <c r="A9381" s="105" t="s">
        <v>38</v>
      </c>
      <c r="B9381" s="102">
        <v>44283</v>
      </c>
      <c r="C9381" s="63">
        <v>100</v>
      </c>
      <c r="D9381" s="21">
        <f t="shared" si="803"/>
        <v>38954</v>
      </c>
      <c r="F9381" s="57">
        <f t="shared" si="804"/>
        <v>637</v>
      </c>
      <c r="G9381" s="238">
        <f>SUM(C9381,C9357,C9333,C9309,C9285,C9261,C9237,C9213,C9189,C9165,C9141,C9117,C9093,C9069)/POBLA!$B$20*100000</f>
        <v>429.04254330075634</v>
      </c>
      <c r="H9381" s="295">
        <f t="shared" si="805"/>
        <v>1.0790921595598348</v>
      </c>
    </row>
    <row r="9382" spans="1:8" x14ac:dyDescent="0.25">
      <c r="A9382" s="105" t="s">
        <v>23</v>
      </c>
      <c r="B9382" s="102">
        <v>44283</v>
      </c>
      <c r="C9382" s="63">
        <v>234</v>
      </c>
      <c r="D9382" s="21">
        <f t="shared" si="803"/>
        <v>229157</v>
      </c>
      <c r="F9382" s="57">
        <f t="shared" si="804"/>
        <v>4245</v>
      </c>
      <c r="G9382" s="238">
        <f>SUM(C9382,C9358,C9334,C9310,C9286,C9262,C9238,C9214,C9190,C9166,C9142,C9118,C9094,C9070)/POBLA!$B$21*100000</f>
        <v>193.50088140033219</v>
      </c>
      <c r="H9382" s="295">
        <f t="shared" si="805"/>
        <v>1.1699435800991622</v>
      </c>
    </row>
    <row r="9383" spans="1:8" x14ac:dyDescent="0.25">
      <c r="A9383" s="105" t="s">
        <v>39</v>
      </c>
      <c r="B9383" s="102">
        <v>44283</v>
      </c>
      <c r="C9383" s="63">
        <v>136</v>
      </c>
      <c r="D9383" s="21">
        <f t="shared" si="803"/>
        <v>24838</v>
      </c>
      <c r="F9383" s="57">
        <f t="shared" si="804"/>
        <v>289</v>
      </c>
      <c r="G9383" s="238">
        <f>SUM(C9383,C9359,C9335,C9311,C9287,C9263,C9239,C9215,C9191,C9167,C9143,C9119,C9095,C9071)/POBLA!$B$22*100000</f>
        <v>140.85471623089953</v>
      </c>
      <c r="H9383" s="295">
        <f t="shared" si="805"/>
        <v>1.7182044887780548</v>
      </c>
    </row>
    <row r="9384" spans="1:8" x14ac:dyDescent="0.25">
      <c r="A9384" s="105" t="s">
        <v>40</v>
      </c>
      <c r="B9384" s="102">
        <v>44283</v>
      </c>
      <c r="C9384" s="63">
        <v>71</v>
      </c>
      <c r="D9384" s="21">
        <f t="shared" si="803"/>
        <v>23931</v>
      </c>
      <c r="F9384" s="57">
        <f t="shared" si="804"/>
        <v>365</v>
      </c>
      <c r="G9384" s="238">
        <f>SUM(C9384,C9360,C9336,C9312,C9288,C9264,C9240,C9216,C9192,C9168,C9144,C9120,C9096,C9072)/POBLA!$B$23*100000</f>
        <v>321.21246394842507</v>
      </c>
      <c r="H9384" s="295">
        <f t="shared" si="805"/>
        <v>1.3396226415094339</v>
      </c>
    </row>
    <row r="9385" spans="1:8" ht="15.75" thickBot="1" x14ac:dyDescent="0.3">
      <c r="A9385" s="107" t="s">
        <v>41</v>
      </c>
      <c r="B9385" s="103">
        <v>44283</v>
      </c>
      <c r="C9385" s="63">
        <v>293</v>
      </c>
      <c r="D9385" s="59">
        <f t="shared" si="803"/>
        <v>86428</v>
      </c>
      <c r="E9385" s="30"/>
      <c r="F9385" s="100">
        <f t="shared" si="804"/>
        <v>1501</v>
      </c>
      <c r="G9385" s="365">
        <f>SUM(C9385,C9361,C9337,C9313,C9289,C9265,C9241,C9217,C9193,C9169,C9145,C9121,C9097,C9073)/POBLA!$B$24*100000</f>
        <v>252.08655916008914</v>
      </c>
      <c r="H9385" s="366">
        <f t="shared" si="805"/>
        <v>1.810936837643069</v>
      </c>
    </row>
    <row r="9386" spans="1:8" x14ac:dyDescent="0.25">
      <c r="A9386" s="45" t="s">
        <v>17</v>
      </c>
      <c r="B9386" s="32">
        <v>44284</v>
      </c>
      <c r="C9386" s="367">
        <v>6456</v>
      </c>
      <c r="D9386" s="97">
        <f t="shared" si="803"/>
        <v>974564</v>
      </c>
      <c r="E9386" s="33">
        <v>77</v>
      </c>
      <c r="F9386" s="250">
        <f t="shared" si="804"/>
        <v>28060</v>
      </c>
      <c r="G9386" s="251">
        <f>SUM(C9386,C9362,C9338,C9314,C9290,C9266,C9242,C9218,C9194,C9170,C9146,C9122,C9098,C9074)/POBLA!$B$1*100000</f>
        <v>311.57608276451344</v>
      </c>
      <c r="H9386" s="294">
        <f t="shared" si="805"/>
        <v>1.4345258405732433</v>
      </c>
    </row>
    <row r="9387" spans="1:8" x14ac:dyDescent="0.25">
      <c r="A9387" s="105" t="s">
        <v>44</v>
      </c>
      <c r="B9387" s="102">
        <v>44284</v>
      </c>
      <c r="C9387" s="308">
        <v>2109</v>
      </c>
      <c r="D9387" s="21">
        <f t="shared" si="803"/>
        <v>258614</v>
      </c>
      <c r="E9387" s="4">
        <v>9</v>
      </c>
      <c r="F9387" s="57">
        <f t="shared" si="804"/>
        <v>6853</v>
      </c>
      <c r="G9387" s="238">
        <f>SUM(C9387,C9363,C9339,C9315,C9291,C9267,C9243,C9219,C9195,C9171,C9147,C9123,C9099,C9075)/POBLA!$B$2*100000</f>
        <v>506.30013987305438</v>
      </c>
      <c r="H9387" s="295">
        <f t="shared" si="805"/>
        <v>1.4528830005598059</v>
      </c>
    </row>
    <row r="9388" spans="1:8" x14ac:dyDescent="0.25">
      <c r="A9388" s="105" t="s">
        <v>29</v>
      </c>
      <c r="B9388" s="102">
        <v>44284</v>
      </c>
      <c r="C9388" s="308">
        <v>84</v>
      </c>
      <c r="D9388" s="21">
        <f t="shared" si="803"/>
        <v>10310</v>
      </c>
      <c r="F9388" s="57">
        <f t="shared" si="804"/>
        <v>18</v>
      </c>
      <c r="G9388" s="238">
        <f>SUM(C9388,C9364,C9340,C9316,C9292,C9268,C9244,C9220,C9196,C9172,C9148,C9124,C9100,C9076)/POBLA!$B$3*100000</f>
        <v>286.68537784218103</v>
      </c>
      <c r="H9388" s="295">
        <f t="shared" si="805"/>
        <v>1.1017576318223867</v>
      </c>
    </row>
    <row r="9389" spans="1:8" x14ac:dyDescent="0.25">
      <c r="A9389" s="105" t="s">
        <v>16</v>
      </c>
      <c r="B9389" s="102">
        <v>44284</v>
      </c>
      <c r="C9389" s="308">
        <v>238</v>
      </c>
      <c r="D9389" s="21">
        <f t="shared" si="803"/>
        <v>38221</v>
      </c>
      <c r="E9389" s="4">
        <v>5</v>
      </c>
      <c r="F9389" s="57">
        <f t="shared" si="804"/>
        <v>923</v>
      </c>
      <c r="G9389" s="238">
        <f>SUM(C9389,C9365,C9341,C9317,C9293,C9269,C9245,C9221,C9197,C9173,C9149,C9125,C9101,C9077)/POBLA!$B$4*100000</f>
        <v>179.23839869294611</v>
      </c>
      <c r="H9389" s="295">
        <f t="shared" si="805"/>
        <v>1.1701897018970189</v>
      </c>
    </row>
    <row r="9390" spans="1:8" x14ac:dyDescent="0.25">
      <c r="A9390" s="105" t="s">
        <v>30</v>
      </c>
      <c r="B9390" s="102">
        <v>44284</v>
      </c>
      <c r="C9390" s="308">
        <v>204</v>
      </c>
      <c r="D9390" s="21">
        <f t="shared" si="803"/>
        <v>49766</v>
      </c>
      <c r="E9390" s="4">
        <v>10</v>
      </c>
      <c r="F9390" s="57">
        <f t="shared" si="804"/>
        <v>864</v>
      </c>
      <c r="G9390" s="238">
        <f>SUM(C9390,C9366,C9342,C9318,C9294,C9270,C9246,C9222,C9198,C9174,C9150,C9126,C9102,C9078)/POBLA!$B$5*100000</f>
        <v>244.75196851665766</v>
      </c>
      <c r="H9390" s="295">
        <f t="shared" si="805"/>
        <v>1.2188254223652453</v>
      </c>
    </row>
    <row r="9391" spans="1:8" x14ac:dyDescent="0.25">
      <c r="A9391" s="105" t="s">
        <v>31</v>
      </c>
      <c r="B9391" s="102">
        <v>44284</v>
      </c>
      <c r="C9391" s="308">
        <v>492</v>
      </c>
      <c r="D9391" s="21">
        <f t="shared" si="803"/>
        <v>28879</v>
      </c>
      <c r="F9391" s="57">
        <f t="shared" si="804"/>
        <v>325</v>
      </c>
      <c r="G9391" s="238">
        <f>SUM(C9391,C9367,C9343,C9319,C9295,C9271,C9247,C9223,C9199,C9175,C9151,C9127,C9103,C9079)/POBLA!$B$6*100000</f>
        <v>343.50433306180133</v>
      </c>
      <c r="H9391" s="295">
        <f t="shared" si="805"/>
        <v>1.25</v>
      </c>
    </row>
    <row r="9392" spans="1:8" x14ac:dyDescent="0.25">
      <c r="A9392" s="105" t="s">
        <v>21</v>
      </c>
      <c r="B9392" s="102">
        <v>44284</v>
      </c>
      <c r="C9392" s="308">
        <v>1076</v>
      </c>
      <c r="D9392" s="21">
        <f t="shared" si="803"/>
        <v>178547</v>
      </c>
      <c r="E9392" s="4">
        <v>7</v>
      </c>
      <c r="F9392" s="57">
        <f t="shared" si="804"/>
        <v>3016</v>
      </c>
      <c r="G9392" s="238">
        <f>SUM(C9392,C9368,C9344,C9320,C9296,C9272,C9248,C9224,C9200,C9176,C9152,C9128,C9104,C9080)/POBLA!$B$7*100000</f>
        <v>273.50450079112875</v>
      </c>
      <c r="H9392" s="295">
        <f t="shared" si="805"/>
        <v>1.2870729570767112</v>
      </c>
    </row>
    <row r="9393" spans="1:8" x14ac:dyDescent="0.25">
      <c r="A9393" s="105" t="s">
        <v>32</v>
      </c>
      <c r="B9393" s="102">
        <v>44284</v>
      </c>
      <c r="C9393" s="308">
        <v>215</v>
      </c>
      <c r="D9393" s="21">
        <f t="shared" si="803"/>
        <v>49435</v>
      </c>
      <c r="E9393" s="4">
        <v>3</v>
      </c>
      <c r="F9393" s="57">
        <f t="shared" si="804"/>
        <v>944</v>
      </c>
      <c r="G9393" s="238">
        <f>SUM(C9393,C9369,C9345,C9321,C9297,C9273,C9249,C9225,C9201,C9177,C9153,C9129,C9105,C9081)/POBLA!$B$8*100000</f>
        <v>176.19543407065566</v>
      </c>
      <c r="H9393" s="295">
        <f t="shared" si="805"/>
        <v>1.4083044982698962</v>
      </c>
    </row>
    <row r="9394" spans="1:8" x14ac:dyDescent="0.25">
      <c r="A9394" s="105" t="s">
        <v>42</v>
      </c>
      <c r="B9394" s="102">
        <v>44284</v>
      </c>
      <c r="C9394" s="308">
        <v>75</v>
      </c>
      <c r="D9394" s="21">
        <f t="shared" ref="D9394:D9457" si="806">C9394+D9370</f>
        <v>2054</v>
      </c>
      <c r="F9394" s="57">
        <f t="shared" ref="F9394:F9457" si="807">E9394+F9370</f>
        <v>30</v>
      </c>
      <c r="G9394" s="238">
        <f>SUM(C9394,C9370,C9346,C9322,C9298,C9274,C9250,C9226,C9202,C9178,C9154,C9130,C9106,C9082)/POBLA!$B$9*100000</f>
        <v>75.182627690670586</v>
      </c>
      <c r="H9394" s="295">
        <f t="shared" ref="H9394:H9457" si="808">SUM(C9394,C9370,C9346,C9322,C9298,C9274,C9250,C9226,C9202,C9178,C9154,C9130,C9106,C9082)/SUM(C9058,C9034,C9010,C8986,C8962,C8938,C8914,C8890,C8866,C8842,C8818,C8794,C8770,C8746)</f>
        <v>1.2780898876404494</v>
      </c>
    </row>
    <row r="9395" spans="1:8" x14ac:dyDescent="0.25">
      <c r="A9395" s="105" t="s">
        <v>33</v>
      </c>
      <c r="B9395" s="102">
        <v>44284</v>
      </c>
      <c r="C9395" s="308">
        <v>28</v>
      </c>
      <c r="D9395" s="21">
        <f t="shared" si="806"/>
        <v>22324</v>
      </c>
      <c r="E9395" s="4">
        <v>2</v>
      </c>
      <c r="F9395" s="57">
        <f t="shared" si="807"/>
        <v>964</v>
      </c>
      <c r="G9395" s="238">
        <f>SUM(C9395,C9371,C9347,C9323,C9299,C9275,C9251,C9227,C9203,C9179,C9155,C9131,C9107,C9083)/POBLA!$B$10*100000</f>
        <v>79.778850432167872</v>
      </c>
      <c r="H9395" s="295">
        <f t="shared" si="808"/>
        <v>0.67360350492880616</v>
      </c>
    </row>
    <row r="9396" spans="1:8" x14ac:dyDescent="0.25">
      <c r="A9396" s="105" t="s">
        <v>34</v>
      </c>
      <c r="B9396" s="102">
        <v>44284</v>
      </c>
      <c r="C9396" s="308">
        <v>102</v>
      </c>
      <c r="D9396" s="21">
        <f t="shared" si="806"/>
        <v>21158</v>
      </c>
      <c r="E9396" s="4">
        <v>3</v>
      </c>
      <c r="F9396" s="57">
        <f t="shared" si="807"/>
        <v>319</v>
      </c>
      <c r="G9396" s="238">
        <f>SUM(C9396,C9372,C9348,C9324,C9300,C9276,C9252,C9228,C9204,C9180,C9156,C9132,C9108,C9084)/POBLA!$B$11*100000</f>
        <v>335.91125693305213</v>
      </c>
      <c r="H9396" s="295">
        <f t="shared" si="808"/>
        <v>1.0126156433978133</v>
      </c>
    </row>
    <row r="9397" spans="1:8" x14ac:dyDescent="0.25">
      <c r="A9397" s="105" t="s">
        <v>22</v>
      </c>
      <c r="B9397" s="102">
        <v>44284</v>
      </c>
      <c r="C9397" s="308">
        <v>106</v>
      </c>
      <c r="D9397" s="21">
        <f t="shared" si="806"/>
        <v>11008</v>
      </c>
      <c r="E9397" s="4">
        <v>1</v>
      </c>
      <c r="F9397" s="57">
        <f t="shared" si="807"/>
        <v>449</v>
      </c>
      <c r="G9397" s="238">
        <f>SUM(C9397,C9373,C9349,C9325,C9301,C9277,C9253,C9229,C9205,C9181,C9157,C9133,C9109,C9085)/POBLA!$B$12*100000</f>
        <v>116.63630057098425</v>
      </c>
      <c r="H9397" s="295">
        <f t="shared" si="808"/>
        <v>1.4902597402597402</v>
      </c>
    </row>
    <row r="9398" spans="1:8" x14ac:dyDescent="0.25">
      <c r="A9398" s="105" t="s">
        <v>18</v>
      </c>
      <c r="B9398" s="102">
        <v>44284</v>
      </c>
      <c r="C9398" s="308">
        <v>373</v>
      </c>
      <c r="D9398" s="21">
        <f t="shared" si="806"/>
        <v>72215</v>
      </c>
      <c r="E9398" s="4">
        <v>8</v>
      </c>
      <c r="F9398" s="57">
        <f t="shared" si="807"/>
        <v>1506</v>
      </c>
      <c r="G9398" s="238">
        <f>SUM(C9398,C9374,C9350,C9326,C9302,C9278,C9254,C9230,C9206,C9182,C9158,C9134,C9110,C9086)/POBLA!$B$13*100000</f>
        <v>136.76069089772693</v>
      </c>
      <c r="H9398" s="295">
        <f t="shared" si="808"/>
        <v>1.2607688744789254</v>
      </c>
    </row>
    <row r="9399" spans="1:8" x14ac:dyDescent="0.25">
      <c r="A9399" s="105" t="s">
        <v>24</v>
      </c>
      <c r="B9399" s="102">
        <v>44284</v>
      </c>
      <c r="C9399" s="308">
        <v>126</v>
      </c>
      <c r="D9399" s="21">
        <f t="shared" si="806"/>
        <v>11824</v>
      </c>
      <c r="E9399" s="4">
        <v>4</v>
      </c>
      <c r="F9399" s="57">
        <f t="shared" si="807"/>
        <v>200</v>
      </c>
      <c r="G9399" s="238">
        <f>SUM(C9399,C9375,C9351,C9327,C9303,C9279,C9255,C9231,C9207,C9183,C9159,C9135,C9111,C9087)/POBLA!$B$14*100000</f>
        <v>137.63642735159289</v>
      </c>
      <c r="H9399" s="295">
        <f t="shared" si="808"/>
        <v>1.0163934426229508</v>
      </c>
    </row>
    <row r="9400" spans="1:8" x14ac:dyDescent="0.25">
      <c r="A9400" s="105" t="s">
        <v>20</v>
      </c>
      <c r="B9400" s="102">
        <v>44284</v>
      </c>
      <c r="C9400" s="308">
        <v>121</v>
      </c>
      <c r="D9400" s="21">
        <f t="shared" si="806"/>
        <v>64992</v>
      </c>
      <c r="E9400" s="4">
        <v>2</v>
      </c>
      <c r="F9400" s="57">
        <f t="shared" si="807"/>
        <v>1007</v>
      </c>
      <c r="G9400" s="238">
        <f>SUM(C9400,C9376,C9352,C9328,C9304,C9280,C9256,C9232,C9208,C9184,C9160,C9136,C9112,C9088)/POBLA!$B$15*100000</f>
        <v>249.52677255115148</v>
      </c>
      <c r="H9400" s="295">
        <f t="shared" si="808"/>
        <v>0.82355864811133206</v>
      </c>
    </row>
    <row r="9401" spans="1:8" x14ac:dyDescent="0.25">
      <c r="A9401" s="105" t="s">
        <v>19</v>
      </c>
      <c r="B9401" s="102">
        <v>44284</v>
      </c>
      <c r="C9401" s="308">
        <v>162</v>
      </c>
      <c r="D9401" s="21">
        <f t="shared" si="806"/>
        <v>55192</v>
      </c>
      <c r="E9401" s="4">
        <v>1</v>
      </c>
      <c r="F9401" s="57">
        <f t="shared" si="807"/>
        <v>1275</v>
      </c>
      <c r="G9401" s="238">
        <f>SUM(C9401,C9377,C9353,C9329,C9305,C9281,C9257,C9233,C9209,C9185,C9161,C9137,C9113,C9089)/POBLA!$B$16*100000</f>
        <v>175.35881007477161</v>
      </c>
      <c r="H9401" s="295">
        <f t="shared" si="808"/>
        <v>0.90789473684210531</v>
      </c>
    </row>
    <row r="9402" spans="1:8" x14ac:dyDescent="0.25">
      <c r="A9402" s="105" t="s">
        <v>35</v>
      </c>
      <c r="B9402" s="102">
        <v>44284</v>
      </c>
      <c r="C9402" s="308">
        <v>147</v>
      </c>
      <c r="D9402" s="21">
        <f t="shared" si="806"/>
        <v>29125</v>
      </c>
      <c r="E9402" s="4">
        <v>5</v>
      </c>
      <c r="F9402" s="57">
        <f t="shared" si="807"/>
        <v>1203</v>
      </c>
      <c r="G9402" s="238">
        <f>SUM(C9402,C9378,C9354,C9330,C9306,C9282,C9258,C9234,C9210,C9186,C9162,C9138,C9114,C9090)/POBLA!$B$17*100000</f>
        <v>100.74438516789913</v>
      </c>
      <c r="H9402" s="295">
        <f t="shared" si="808"/>
        <v>0.9611520428667113</v>
      </c>
    </row>
    <row r="9403" spans="1:8" x14ac:dyDescent="0.25">
      <c r="A9403" s="105" t="s">
        <v>36</v>
      </c>
      <c r="B9403" s="102">
        <v>44284</v>
      </c>
      <c r="C9403" s="308">
        <v>158</v>
      </c>
      <c r="D9403" s="21">
        <f t="shared" si="806"/>
        <v>16984</v>
      </c>
      <c r="F9403" s="57">
        <f t="shared" si="807"/>
        <v>223</v>
      </c>
      <c r="G9403" s="238">
        <f>SUM(C9403,C9379,C9355,C9331,C9307,C9283,C9259,C9235,C9211,C9187,C9163,C9139,C9115,C9091)/POBLA!$B$18*100000</f>
        <v>133.25362863327348</v>
      </c>
      <c r="H9403" s="295">
        <f t="shared" si="808"/>
        <v>1.599078341013825</v>
      </c>
    </row>
    <row r="9404" spans="1:8" x14ac:dyDescent="0.25">
      <c r="A9404" s="105" t="s">
        <v>37</v>
      </c>
      <c r="B9404" s="102">
        <v>44284</v>
      </c>
      <c r="C9404" s="308">
        <v>191</v>
      </c>
      <c r="D9404" s="21">
        <f t="shared" si="806"/>
        <v>22540</v>
      </c>
      <c r="E9404" s="4">
        <v>6</v>
      </c>
      <c r="F9404" s="57">
        <f t="shared" si="807"/>
        <v>408</v>
      </c>
      <c r="G9404" s="238">
        <f>SUM(C9404,C9380,C9356,C9332,C9308,C9284,C9260,C9236,C9212,C9188,C9164,C9140,C9116,C9092)/POBLA!$B$19*100000</f>
        <v>200.85456634299112</v>
      </c>
      <c r="H9404" s="295">
        <f t="shared" si="808"/>
        <v>1.3741588156123823</v>
      </c>
    </row>
    <row r="9405" spans="1:8" x14ac:dyDescent="0.25">
      <c r="A9405" s="105" t="s">
        <v>38</v>
      </c>
      <c r="B9405" s="102">
        <v>44284</v>
      </c>
      <c r="C9405" s="308">
        <v>174</v>
      </c>
      <c r="D9405" s="21">
        <f t="shared" si="806"/>
        <v>39128</v>
      </c>
      <c r="E9405" s="4">
        <v>2</v>
      </c>
      <c r="F9405" s="57">
        <f t="shared" si="807"/>
        <v>639</v>
      </c>
      <c r="G9405" s="238">
        <f>SUM(C9405,C9381,C9357,C9333,C9309,C9285,C9261,C9237,C9213,C9189,C9165,C9141,C9117,C9093)/POBLA!$B$20*100000</f>
        <v>453.65301423579018</v>
      </c>
      <c r="H9405" s="295">
        <f t="shared" si="808"/>
        <v>1.1247457627118644</v>
      </c>
    </row>
    <row r="9406" spans="1:8" x14ac:dyDescent="0.25">
      <c r="A9406" s="105" t="s">
        <v>23</v>
      </c>
      <c r="B9406" s="102">
        <v>44284</v>
      </c>
      <c r="C9406" s="308">
        <v>869</v>
      </c>
      <c r="D9406" s="21">
        <f t="shared" si="806"/>
        <v>230026</v>
      </c>
      <c r="E9406" s="4">
        <v>13</v>
      </c>
      <c r="F9406" s="57">
        <f t="shared" si="807"/>
        <v>4258</v>
      </c>
      <c r="G9406" s="238">
        <f>SUM(C9406,C9382,C9358,C9334,C9310,C9286,C9262,C9238,C9214,C9190,C9166,C9142,C9118,C9094)/POBLA!$B$21*100000</f>
        <v>208.65746074134901</v>
      </c>
      <c r="H9406" s="295">
        <f t="shared" si="808"/>
        <v>1.2574982958418541</v>
      </c>
    </row>
    <row r="9407" spans="1:8" x14ac:dyDescent="0.25">
      <c r="A9407" s="105" t="s">
        <v>39</v>
      </c>
      <c r="B9407" s="102">
        <v>44284</v>
      </c>
      <c r="C9407" s="308">
        <v>93</v>
      </c>
      <c r="D9407" s="21">
        <f t="shared" si="806"/>
        <v>24931</v>
      </c>
      <c r="E9407" s="4">
        <v>3</v>
      </c>
      <c r="F9407" s="57">
        <f t="shared" si="807"/>
        <v>292</v>
      </c>
      <c r="G9407" s="238">
        <f>SUM(C9407,C9383,C9359,C9335,C9311,C9287,C9263,C9239,C9215,C9191,C9167,C9143,C9119,C9095)/POBLA!$B$22*100000</f>
        <v>143.10348528538412</v>
      </c>
      <c r="H9407" s="295">
        <f t="shared" si="808"/>
        <v>1.6686531585220501</v>
      </c>
    </row>
    <row r="9408" spans="1:8" x14ac:dyDescent="0.25">
      <c r="A9408" s="105" t="s">
        <v>40</v>
      </c>
      <c r="B9408" s="102">
        <v>44284</v>
      </c>
      <c r="C9408" s="308">
        <v>54</v>
      </c>
      <c r="D9408" s="21">
        <f t="shared" si="806"/>
        <v>23985</v>
      </c>
      <c r="E9408" s="4">
        <v>2</v>
      </c>
      <c r="F9408" s="57">
        <f t="shared" si="807"/>
        <v>367</v>
      </c>
      <c r="G9408" s="238">
        <f>SUM(C9408,C9384,C9360,C9336,C9312,C9288,C9264,C9240,C9216,C9192,C9168,C9144,C9120,C9096)/POBLA!$B$23*100000</f>
        <v>331.95724707346039</v>
      </c>
      <c r="H9408" s="295">
        <f t="shared" si="808"/>
        <v>1.3747072599531616</v>
      </c>
    </row>
    <row r="9409" spans="1:8" ht="15.75" thickBot="1" x14ac:dyDescent="0.3">
      <c r="A9409" s="106" t="s">
        <v>41</v>
      </c>
      <c r="B9409" s="109">
        <v>44284</v>
      </c>
      <c r="C9409" s="368">
        <v>361</v>
      </c>
      <c r="D9409" s="98">
        <f t="shared" si="806"/>
        <v>86789</v>
      </c>
      <c r="E9409" s="37"/>
      <c r="F9409" s="255">
        <f t="shared" si="807"/>
        <v>1501</v>
      </c>
      <c r="G9409" s="256">
        <f>SUM(C9409,C9385,C9361,C9337,C9313,C9289,C9265,C9241,C9217,C9193,C9169,C9145,C9121,C9097)/POBLA!$B$24*100000</f>
        <v>258.22349786623363</v>
      </c>
      <c r="H9409" s="296">
        <f t="shared" si="808"/>
        <v>1.7595496582227583</v>
      </c>
    </row>
    <row r="9410" spans="1:8" ht="15.75" thickBot="1" x14ac:dyDescent="0.3">
      <c r="A9410" s="45" t="s">
        <v>17</v>
      </c>
      <c r="B9410" s="109">
        <v>44285</v>
      </c>
      <c r="C9410" s="63">
        <v>4940</v>
      </c>
      <c r="D9410" s="97">
        <f t="shared" si="806"/>
        <v>979504</v>
      </c>
      <c r="E9410" s="31">
        <v>78</v>
      </c>
      <c r="F9410" s="250">
        <f t="shared" si="807"/>
        <v>28138</v>
      </c>
      <c r="G9410" s="251">
        <f>SUM(C9410,C9386,C9362,C9338,C9314,C9290,C9266,C9242,C9218,C9194,C9170,C9146,C9122,C9098)/POBLA!$B$1*100000</f>
        <v>318.29172344033947</v>
      </c>
      <c r="H9410" s="294">
        <f t="shared" si="808"/>
        <v>1.4339797097726981</v>
      </c>
    </row>
    <row r="9411" spans="1:8" ht="15.75" thickBot="1" x14ac:dyDescent="0.3">
      <c r="A9411" s="105" t="s">
        <v>44</v>
      </c>
      <c r="B9411" s="109">
        <v>44285</v>
      </c>
      <c r="C9411" s="63">
        <v>1012</v>
      </c>
      <c r="D9411" s="21">
        <f t="shared" si="806"/>
        <v>259626</v>
      </c>
      <c r="E9411" s="4">
        <v>5</v>
      </c>
      <c r="F9411" s="57">
        <f t="shared" si="807"/>
        <v>6858</v>
      </c>
      <c r="G9411" s="238">
        <f>SUM(C9411,C9387,C9363,C9339,C9315,C9291,C9267,C9243,C9219,C9195,C9171,C9147,C9123,C9099)/POBLA!$B$2*100000</f>
        <v>507.76324713572365</v>
      </c>
      <c r="H9411" s="295">
        <f t="shared" si="808"/>
        <v>1.4154808302365631</v>
      </c>
    </row>
    <row r="9412" spans="1:8" ht="15.75" thickBot="1" x14ac:dyDescent="0.3">
      <c r="A9412" s="105" t="s">
        <v>29</v>
      </c>
      <c r="B9412" s="109">
        <v>44285</v>
      </c>
      <c r="C9412" s="63">
        <v>71</v>
      </c>
      <c r="D9412" s="21">
        <f t="shared" si="806"/>
        <v>10381</v>
      </c>
      <c r="F9412" s="57">
        <f t="shared" si="807"/>
        <v>18</v>
      </c>
      <c r="G9412" s="238">
        <f>SUM(C9412,C9388,C9364,C9340,C9316,C9292,C9268,C9244,C9220,C9196,C9172,C9148,C9124,C9100)/POBLA!$B$3*100000</f>
        <v>273.20562875808184</v>
      </c>
      <c r="H9412" s="295">
        <f t="shared" si="808"/>
        <v>1.0179372197309418</v>
      </c>
    </row>
    <row r="9413" spans="1:8" ht="15.75" thickBot="1" x14ac:dyDescent="0.3">
      <c r="A9413" s="105" t="s">
        <v>16</v>
      </c>
      <c r="B9413" s="109">
        <v>44285</v>
      </c>
      <c r="C9413" s="63">
        <v>96</v>
      </c>
      <c r="D9413" s="21">
        <f t="shared" si="806"/>
        <v>38317</v>
      </c>
      <c r="F9413" s="57">
        <f t="shared" si="807"/>
        <v>923</v>
      </c>
      <c r="G9413" s="238">
        <f>SUM(C9413,C9389,C9365,C9341,C9317,C9293,C9269,C9245,C9221,C9197,C9173,C9149,C9125,C9101)/POBLA!$B$4*100000</f>
        <v>176.91386179465871</v>
      </c>
      <c r="H9413" s="295">
        <f t="shared" si="808"/>
        <v>1.1481681034482758</v>
      </c>
    </row>
    <row r="9414" spans="1:8" ht="15.75" thickBot="1" x14ac:dyDescent="0.3">
      <c r="A9414" s="105" t="s">
        <v>30</v>
      </c>
      <c r="B9414" s="109">
        <v>44285</v>
      </c>
      <c r="C9414" s="63">
        <v>132</v>
      </c>
      <c r="D9414" s="21">
        <f t="shared" si="806"/>
        <v>49898</v>
      </c>
      <c r="F9414" s="57">
        <f t="shared" si="807"/>
        <v>864</v>
      </c>
      <c r="G9414" s="238">
        <f>SUM(C9414,C9390,C9366,C9342,C9318,C9294,C9270,C9246,C9222,C9198,C9174,C9150,C9126,C9102)/POBLA!$B$5*100000</f>
        <v>249.92164705958376</v>
      </c>
      <c r="H9414" s="295">
        <f t="shared" si="808"/>
        <v>1.2764026402640265</v>
      </c>
    </row>
    <row r="9415" spans="1:8" ht="15.75" thickBot="1" x14ac:dyDescent="0.3">
      <c r="A9415" s="105" t="s">
        <v>31</v>
      </c>
      <c r="B9415" s="109">
        <v>44285</v>
      </c>
      <c r="C9415" s="63">
        <v>886</v>
      </c>
      <c r="D9415" s="21">
        <f t="shared" si="806"/>
        <v>29765</v>
      </c>
      <c r="E9415" s="4">
        <v>3</v>
      </c>
      <c r="F9415" s="57">
        <f t="shared" si="807"/>
        <v>328</v>
      </c>
      <c r="G9415" s="238">
        <f>SUM(C9415,C9391,C9367,C9343,C9319,C9295,C9271,C9247,C9223,C9199,C9175,C9151,C9127,C9103)/POBLA!$B$6*100000</f>
        <v>407.56566063021</v>
      </c>
      <c r="H9415" s="295">
        <f t="shared" si="808"/>
        <v>1.4561683136754862</v>
      </c>
    </row>
    <row r="9416" spans="1:8" ht="15.75" thickBot="1" x14ac:dyDescent="0.3">
      <c r="A9416" s="105" t="s">
        <v>21</v>
      </c>
      <c r="B9416" s="109">
        <v>44285</v>
      </c>
      <c r="C9416" s="63">
        <v>826</v>
      </c>
      <c r="D9416" s="21">
        <f t="shared" si="806"/>
        <v>179373</v>
      </c>
      <c r="E9416" s="4">
        <v>8</v>
      </c>
      <c r="F9416" s="57">
        <f t="shared" si="807"/>
        <v>3024</v>
      </c>
      <c r="G9416" s="238">
        <f>SUM(C9416,C9392,C9368,C9344,C9320,C9296,C9272,C9248,C9224,C9200,C9176,C9152,C9128,C9104)/POBLA!$B$7*100000</f>
        <v>273.95657434615538</v>
      </c>
      <c r="H9416" s="295">
        <f t="shared" si="808"/>
        <v>1.2842183994016454</v>
      </c>
    </row>
    <row r="9417" spans="1:8" ht="15.75" thickBot="1" x14ac:dyDescent="0.3">
      <c r="A9417" s="105" t="s">
        <v>32</v>
      </c>
      <c r="B9417" s="109">
        <v>44285</v>
      </c>
      <c r="C9417" s="63">
        <v>205</v>
      </c>
      <c r="D9417" s="21">
        <f t="shared" si="806"/>
        <v>49640</v>
      </c>
      <c r="E9417" s="4">
        <v>2</v>
      </c>
      <c r="F9417" s="57">
        <f t="shared" si="807"/>
        <v>946</v>
      </c>
      <c r="G9417" s="238">
        <f>SUM(C9417,C9393,C9369,C9345,C9321,C9297,C9273,C9249,C9225,C9201,C9177,C9153,C9129,C9105)/POBLA!$B$8*100000</f>
        <v>176.55619458267583</v>
      </c>
      <c r="H9417" s="295">
        <f t="shared" si="808"/>
        <v>1.3335149863760218</v>
      </c>
    </row>
    <row r="9418" spans="1:8" ht="15.75" thickBot="1" x14ac:dyDescent="0.3">
      <c r="A9418" s="105" t="s">
        <v>42</v>
      </c>
      <c r="B9418" s="109">
        <v>44285</v>
      </c>
      <c r="C9418" s="63">
        <v>28</v>
      </c>
      <c r="D9418" s="21">
        <f t="shared" si="806"/>
        <v>2082</v>
      </c>
      <c r="F9418" s="57">
        <f t="shared" si="807"/>
        <v>30</v>
      </c>
      <c r="G9418" s="238">
        <f>SUM(C9418,C9394,C9370,C9346,C9322,C9298,C9274,C9250,C9226,C9202,C9178,C9154,C9130,C9106)/POBLA!$B$9*100000</f>
        <v>75.347864235045677</v>
      </c>
      <c r="H9418" s="295">
        <f t="shared" si="808"/>
        <v>1.2357723577235773</v>
      </c>
    </row>
    <row r="9419" spans="1:8" ht="15.75" thickBot="1" x14ac:dyDescent="0.3">
      <c r="A9419" s="105" t="s">
        <v>33</v>
      </c>
      <c r="B9419" s="109">
        <v>44285</v>
      </c>
      <c r="C9419" s="63">
        <v>49</v>
      </c>
      <c r="D9419" s="21">
        <f t="shared" si="806"/>
        <v>22373</v>
      </c>
      <c r="F9419" s="57">
        <f t="shared" si="807"/>
        <v>964</v>
      </c>
      <c r="G9419" s="238">
        <f>SUM(C9419,C9395,C9371,C9347,C9323,C9299,C9275,C9251,C9227,C9203,C9179,C9155,C9131,C9107)/POBLA!$B$10*100000</f>
        <v>79.130241892068938</v>
      </c>
      <c r="H9419" s="295">
        <f t="shared" si="808"/>
        <v>0.69714285714285718</v>
      </c>
    </row>
    <row r="9420" spans="1:8" ht="15.75" thickBot="1" x14ac:dyDescent="0.3">
      <c r="A9420" s="105" t="s">
        <v>34</v>
      </c>
      <c r="B9420" s="109">
        <v>44285</v>
      </c>
      <c r="C9420" s="63">
        <v>43</v>
      </c>
      <c r="D9420" s="21">
        <f t="shared" si="806"/>
        <v>21201</v>
      </c>
      <c r="E9420" s="4">
        <v>2</v>
      </c>
      <c r="F9420" s="57">
        <f t="shared" si="807"/>
        <v>321</v>
      </c>
      <c r="G9420" s="238">
        <f>SUM(C9420,C9396,C9372,C9348,C9324,C9300,C9276,C9252,C9228,C9204,C9180,C9156,C9132,C9108)/POBLA!$B$11*100000</f>
        <v>316.10253663218276</v>
      </c>
      <c r="H9420" s="295">
        <f t="shared" si="808"/>
        <v>0.92945036915504509</v>
      </c>
    </row>
    <row r="9421" spans="1:8" ht="15.75" thickBot="1" x14ac:dyDescent="0.3">
      <c r="A9421" s="105" t="s">
        <v>22</v>
      </c>
      <c r="B9421" s="109">
        <v>44285</v>
      </c>
      <c r="C9421" s="63">
        <v>18</v>
      </c>
      <c r="D9421" s="21">
        <f t="shared" si="806"/>
        <v>11026</v>
      </c>
      <c r="F9421" s="57">
        <f t="shared" si="807"/>
        <v>449</v>
      </c>
      <c r="G9421" s="238">
        <f>SUM(C9421,C9397,C9373,C9349,C9325,C9301,C9277,C9253,C9229,C9205,C9181,C9157,C9133,C9109)/POBLA!$B$12*100000</f>
        <v>116.89041015828487</v>
      </c>
      <c r="H9421" s="295">
        <f t="shared" si="808"/>
        <v>1.5231788079470199</v>
      </c>
    </row>
    <row r="9422" spans="1:8" ht="15.75" thickBot="1" x14ac:dyDescent="0.3">
      <c r="A9422" s="105" t="s">
        <v>18</v>
      </c>
      <c r="B9422" s="109">
        <v>44285</v>
      </c>
      <c r="C9422" s="63">
        <v>271</v>
      </c>
      <c r="D9422" s="21">
        <f t="shared" si="806"/>
        <v>72486</v>
      </c>
      <c r="E9422" s="4">
        <v>1</v>
      </c>
      <c r="F9422" s="57">
        <f t="shared" si="807"/>
        <v>1507</v>
      </c>
      <c r="G9422" s="238">
        <f>SUM(C9422,C9398,C9374,C9350,C9326,C9302,C9278,C9254,C9230,C9206,C9182,C9158,C9134,C9110)/POBLA!$B$13*100000</f>
        <v>142.08641949256861</v>
      </c>
      <c r="H9422" s="295">
        <f t="shared" si="808"/>
        <v>1.2984389348025711</v>
      </c>
    </row>
    <row r="9423" spans="1:8" ht="15.75" thickBot="1" x14ac:dyDescent="0.3">
      <c r="A9423" s="105" t="s">
        <v>24</v>
      </c>
      <c r="B9423" s="109">
        <v>44285</v>
      </c>
      <c r="C9423" s="63">
        <v>114</v>
      </c>
      <c r="D9423" s="21">
        <f t="shared" si="806"/>
        <v>11938</v>
      </c>
      <c r="E9423" s="4">
        <v>3</v>
      </c>
      <c r="F9423" s="57">
        <f t="shared" si="807"/>
        <v>203</v>
      </c>
      <c r="G9423" s="238">
        <f>SUM(C9423,C9399,C9375,C9351,C9327,C9303,C9279,C9255,C9231,C9207,C9183,C9159,C9135,C9111)/POBLA!$B$14*100000</f>
        <v>138.66711488360366</v>
      </c>
      <c r="H9423" s="295">
        <f t="shared" si="808"/>
        <v>1.056797583081571</v>
      </c>
    </row>
    <row r="9424" spans="1:8" ht="15.75" thickBot="1" x14ac:dyDescent="0.3">
      <c r="A9424" s="105" t="s">
        <v>20</v>
      </c>
      <c r="B9424" s="109">
        <v>44285</v>
      </c>
      <c r="C9424" s="63">
        <v>82</v>
      </c>
      <c r="D9424" s="21">
        <f t="shared" si="806"/>
        <v>65074</v>
      </c>
      <c r="E9424" s="4">
        <v>3</v>
      </c>
      <c r="F9424" s="57">
        <f t="shared" si="807"/>
        <v>1010</v>
      </c>
      <c r="G9424" s="238">
        <f>SUM(C9424,C9400,C9376,C9352,C9328,C9304,C9280,C9256,C9232,C9208,C9184,C9160,C9136,C9112)/POBLA!$B$15*100000</f>
        <v>242.75024583733023</v>
      </c>
      <c r="H9424" s="295">
        <f t="shared" si="808"/>
        <v>0.82119205298013243</v>
      </c>
    </row>
    <row r="9425" spans="1:8" ht="15.75" thickBot="1" x14ac:dyDescent="0.3">
      <c r="A9425" s="105" t="s">
        <v>19</v>
      </c>
      <c r="B9425" s="109">
        <v>44285</v>
      </c>
      <c r="C9425" s="63">
        <v>83</v>
      </c>
      <c r="D9425" s="21">
        <f t="shared" si="806"/>
        <v>55275</v>
      </c>
      <c r="E9425" s="4">
        <v>5</v>
      </c>
      <c r="F9425" s="57">
        <f t="shared" si="807"/>
        <v>1280</v>
      </c>
      <c r="G9425" s="238">
        <f>SUM(C9425,C9401,C9377,C9353,C9329,C9305,C9281,C9257,C9233,C9209,C9185,C9161,C9137,C9113)/POBLA!$B$16*100000</f>
        <v>171.07850349781302</v>
      </c>
      <c r="H9425" s="295">
        <f t="shared" si="808"/>
        <v>0.88881167477414869</v>
      </c>
    </row>
    <row r="9426" spans="1:8" ht="15.75" thickBot="1" x14ac:dyDescent="0.3">
      <c r="A9426" s="105" t="s">
        <v>35</v>
      </c>
      <c r="B9426" s="109">
        <v>44285</v>
      </c>
      <c r="C9426" s="63">
        <v>84</v>
      </c>
      <c r="D9426" s="21">
        <f t="shared" si="806"/>
        <v>29209</v>
      </c>
      <c r="E9426" s="4">
        <v>1</v>
      </c>
      <c r="F9426" s="57">
        <f t="shared" si="807"/>
        <v>1204</v>
      </c>
      <c r="G9426" s="238">
        <f>SUM(C9426,C9402,C9378,C9354,C9330,C9306,C9282,C9258,C9234,C9210,C9186,C9162,C9138,C9114)/POBLA!$B$17*100000</f>
        <v>97.444743284351205</v>
      </c>
      <c r="H9426" s="295">
        <f t="shared" si="808"/>
        <v>0.91255752794214329</v>
      </c>
    </row>
    <row r="9427" spans="1:8" ht="15.75" thickBot="1" x14ac:dyDescent="0.3">
      <c r="A9427" s="105" t="s">
        <v>36</v>
      </c>
      <c r="B9427" s="109">
        <v>44285</v>
      </c>
      <c r="C9427" s="63">
        <v>139</v>
      </c>
      <c r="D9427" s="21">
        <f t="shared" si="806"/>
        <v>17123</v>
      </c>
      <c r="E9427" s="4">
        <v>1</v>
      </c>
      <c r="F9427" s="57">
        <f t="shared" si="807"/>
        <v>224</v>
      </c>
      <c r="G9427" s="238">
        <f>SUM(C9427,C9403,C9379,C9355,C9331,C9307,C9283,C9259,C9235,C9211,C9187,C9163,C9139,C9115)/POBLA!$B$18*100000</f>
        <v>141.57398008491879</v>
      </c>
      <c r="H9427" s="295">
        <f t="shared" si="808"/>
        <v>1.6409495548961424</v>
      </c>
    </row>
    <row r="9428" spans="1:8" ht="15.75" thickBot="1" x14ac:dyDescent="0.3">
      <c r="A9428" s="105" t="s">
        <v>37</v>
      </c>
      <c r="B9428" s="109">
        <v>44285</v>
      </c>
      <c r="C9428" s="63">
        <v>60</v>
      </c>
      <c r="D9428" s="21">
        <f t="shared" si="806"/>
        <v>22600</v>
      </c>
      <c r="E9428" s="4">
        <v>3</v>
      </c>
      <c r="F9428" s="57">
        <f t="shared" si="807"/>
        <v>411</v>
      </c>
      <c r="G9428" s="238">
        <f>SUM(C9428,C9404,C9380,C9356,C9332,C9308,C9284,C9260,C9236,C9212,C9188,C9164,C9140,C9116)/POBLA!$B$19*100000</f>
        <v>212.46124549503472</v>
      </c>
      <c r="H9428" s="295">
        <f t="shared" si="808"/>
        <v>1.4634146341463414</v>
      </c>
    </row>
    <row r="9429" spans="1:8" ht="15.75" thickBot="1" x14ac:dyDescent="0.3">
      <c r="A9429" s="105" t="s">
        <v>38</v>
      </c>
      <c r="B9429" s="109">
        <v>44285</v>
      </c>
      <c r="C9429" s="63">
        <v>82</v>
      </c>
      <c r="D9429" s="21">
        <f t="shared" si="806"/>
        <v>39210</v>
      </c>
      <c r="E9429" s="4">
        <v>1</v>
      </c>
      <c r="F9429" s="57">
        <f t="shared" si="807"/>
        <v>640</v>
      </c>
      <c r="G9429" s="238">
        <f>SUM(C9429,C9405,C9381,C9357,C9333,C9309,C9285,C9261,C9237,C9213,C9189,C9165,C9141,C9117)/POBLA!$B$20*100000</f>
        <v>447.36367166350374</v>
      </c>
      <c r="H9429" s="295">
        <f t="shared" si="808"/>
        <v>1.10840108401084</v>
      </c>
    </row>
    <row r="9430" spans="1:8" ht="15.75" thickBot="1" x14ac:dyDescent="0.3">
      <c r="A9430" s="105" t="s">
        <v>23</v>
      </c>
      <c r="B9430" s="109">
        <v>44285</v>
      </c>
      <c r="C9430" s="63">
        <v>548</v>
      </c>
      <c r="D9430" s="21">
        <f t="shared" si="806"/>
        <v>230574</v>
      </c>
      <c r="E9430" s="4">
        <v>6</v>
      </c>
      <c r="F9430" s="57">
        <f t="shared" si="807"/>
        <v>4264</v>
      </c>
      <c r="G9430" s="238">
        <f>SUM(C9430,C9406,C9382,C9358,C9334,C9310,C9286,C9262,C9238,C9214,C9190,C9166,C9142,C9118)/POBLA!$B$21*100000</f>
        <v>207.66775873214084</v>
      </c>
      <c r="H9430" s="295">
        <f t="shared" si="808"/>
        <v>1.2154915590863953</v>
      </c>
    </row>
    <row r="9431" spans="1:8" ht="15.75" thickBot="1" x14ac:dyDescent="0.3">
      <c r="A9431" s="105" t="s">
        <v>39</v>
      </c>
      <c r="B9431" s="109">
        <v>44285</v>
      </c>
      <c r="C9431" s="63">
        <v>51</v>
      </c>
      <c r="D9431" s="21">
        <f t="shared" si="806"/>
        <v>24982</v>
      </c>
      <c r="E9431" s="4">
        <v>2</v>
      </c>
      <c r="F9431" s="57">
        <f t="shared" si="807"/>
        <v>294</v>
      </c>
      <c r="G9431" s="238">
        <f>SUM(C9431,C9407,C9383,C9359,C9335,C9311,C9287,C9263,C9239,C9215,C9191,C9167,C9143,C9119)/POBLA!$B$22*100000</f>
        <v>140.54806590528798</v>
      </c>
      <c r="H9431" s="295">
        <f t="shared" si="808"/>
        <v>1.5714285714285714</v>
      </c>
    </row>
    <row r="9432" spans="1:8" ht="15.75" thickBot="1" x14ac:dyDescent="0.3">
      <c r="A9432" s="105" t="s">
        <v>40</v>
      </c>
      <c r="B9432" s="109">
        <v>44285</v>
      </c>
      <c r="C9432" s="63">
        <v>19</v>
      </c>
      <c r="D9432" s="21">
        <f t="shared" si="806"/>
        <v>24004</v>
      </c>
      <c r="F9432" s="57">
        <f t="shared" si="807"/>
        <v>367</v>
      </c>
      <c r="G9432" s="238">
        <f>SUM(C9432,C9408,C9384,C9360,C9336,C9312,C9288,C9264,C9240,C9216,C9192,C9168,C9144,C9120)/POBLA!$B$23*100000</f>
        <v>332.52276197477806</v>
      </c>
      <c r="H9432" s="295">
        <f t="shared" si="808"/>
        <v>1.5076923076923077</v>
      </c>
    </row>
    <row r="9433" spans="1:8" ht="15.75" thickBot="1" x14ac:dyDescent="0.3">
      <c r="A9433" s="107" t="s">
        <v>41</v>
      </c>
      <c r="B9433" s="103">
        <v>44285</v>
      </c>
      <c r="C9433" s="63">
        <v>315</v>
      </c>
      <c r="D9433" s="59">
        <f t="shared" si="806"/>
        <v>87104</v>
      </c>
      <c r="E9433" s="30">
        <v>1</v>
      </c>
      <c r="F9433" s="100">
        <f t="shared" si="807"/>
        <v>1502</v>
      </c>
      <c r="G9433" s="365">
        <f>SUM(C9433,C9409,C9385,C9361,C9337,C9313,C9289,C9265,C9241,C9217,C9193,C9169,C9145,C9121)/POBLA!$B$24*100000</f>
        <v>260.87890403716153</v>
      </c>
      <c r="H9433" s="366">
        <f t="shared" si="808"/>
        <v>1.7109133126934986</v>
      </c>
    </row>
    <row r="9434" spans="1:8" x14ac:dyDescent="0.25">
      <c r="A9434" s="45" t="s">
        <v>17</v>
      </c>
      <c r="B9434" s="32">
        <v>44286</v>
      </c>
      <c r="C9434" s="33">
        <v>8063</v>
      </c>
      <c r="D9434" s="97">
        <f t="shared" si="806"/>
        <v>987567</v>
      </c>
      <c r="E9434" s="33">
        <v>69</v>
      </c>
      <c r="F9434" s="250">
        <f t="shared" si="807"/>
        <v>28207</v>
      </c>
      <c r="G9434" s="251">
        <f>SUM(C9434,C9410,C9386,C9362,C9338,C9314,C9290,C9266,C9242,C9218,C9194,C9170,C9146,C9122)/POBLA!$B$1*100000</f>
        <v>343.75756970427409</v>
      </c>
      <c r="H9434" s="294">
        <f t="shared" si="808"/>
        <v>1.5433185738783242</v>
      </c>
    </row>
    <row r="9435" spans="1:8" x14ac:dyDescent="0.25">
      <c r="A9435" s="105" t="s">
        <v>44</v>
      </c>
      <c r="B9435" s="19">
        <v>44286</v>
      </c>
      <c r="C9435" s="4">
        <v>1707</v>
      </c>
      <c r="D9435" s="21">
        <f t="shared" si="806"/>
        <v>261333</v>
      </c>
      <c r="E9435" s="4">
        <v>16</v>
      </c>
      <c r="F9435" s="57">
        <f t="shared" si="807"/>
        <v>6874</v>
      </c>
      <c r="G9435" s="238">
        <f>SUM(C9435,C9411,C9387,C9363,C9339,C9315,C9291,C9267,C9243,C9219,C9195,C9171,C9147,C9123)/POBLA!$B$2*100000</f>
        <v>533.05874603254085</v>
      </c>
      <c r="H9435" s="295">
        <f t="shared" si="808"/>
        <v>1.4766279383950283</v>
      </c>
    </row>
    <row r="9436" spans="1:8" x14ac:dyDescent="0.25">
      <c r="A9436" s="105" t="s">
        <v>29</v>
      </c>
      <c r="B9436" s="19">
        <v>44286</v>
      </c>
      <c r="C9436" s="4">
        <v>79</v>
      </c>
      <c r="D9436" s="21">
        <f t="shared" si="806"/>
        <v>10460</v>
      </c>
      <c r="F9436" s="57">
        <f t="shared" si="807"/>
        <v>18</v>
      </c>
      <c r="G9436" s="238">
        <f>SUM(C9436,C9412,C9388,C9364,C9340,C9316,C9292,C9268,C9244,C9220,C9196,C9172,C9148,C9124)/POBLA!$B$3*100000</f>
        <v>265.26220519066624</v>
      </c>
      <c r="H9436" s="295">
        <f t="shared" si="808"/>
        <v>0.93867120954003402</v>
      </c>
    </row>
    <row r="9437" spans="1:8" x14ac:dyDescent="0.25">
      <c r="A9437" s="105" t="s">
        <v>16</v>
      </c>
      <c r="B9437" s="19">
        <v>44286</v>
      </c>
      <c r="C9437" s="4">
        <v>175</v>
      </c>
      <c r="D9437" s="21">
        <f t="shared" si="806"/>
        <v>38492</v>
      </c>
      <c r="E9437" s="4">
        <v>1</v>
      </c>
      <c r="F9437" s="57">
        <f t="shared" si="807"/>
        <v>924</v>
      </c>
      <c r="G9437" s="238">
        <f>SUM(C9437,C9413,C9389,C9365,C9341,C9317,C9293,C9269,C9245,C9221,C9197,C9173,C9149,C9125)/POBLA!$B$4*100000</f>
        <v>179.9025520924568</v>
      </c>
      <c r="H9437" s="295">
        <f t="shared" si="808"/>
        <v>1.1900054914881932</v>
      </c>
    </row>
    <row r="9438" spans="1:8" x14ac:dyDescent="0.25">
      <c r="A9438" s="105" t="s">
        <v>30</v>
      </c>
      <c r="B9438" s="19">
        <v>44286</v>
      </c>
      <c r="C9438" s="4">
        <v>215</v>
      </c>
      <c r="D9438" s="21">
        <f t="shared" si="806"/>
        <v>50113</v>
      </c>
      <c r="F9438" s="57">
        <f t="shared" si="807"/>
        <v>864</v>
      </c>
      <c r="G9438" s="238">
        <f>SUM(C9438,C9414,C9390,C9366,C9342,C9318,C9294,C9270,C9246,C9222,C9198,C9174,C9150,C9126)/POBLA!$B$5*100000</f>
        <v>264.29981550709704</v>
      </c>
      <c r="H9438" s="295">
        <f t="shared" si="808"/>
        <v>1.3554266777133388</v>
      </c>
    </row>
    <row r="9439" spans="1:8" x14ac:dyDescent="0.25">
      <c r="A9439" s="105" t="s">
        <v>31</v>
      </c>
      <c r="B9439" s="19">
        <v>44286</v>
      </c>
      <c r="C9439" s="4">
        <v>291</v>
      </c>
      <c r="D9439" s="21">
        <f t="shared" si="806"/>
        <v>30056</v>
      </c>
      <c r="F9439" s="57">
        <f t="shared" si="807"/>
        <v>328</v>
      </c>
      <c r="G9439" s="238">
        <f>SUM(C9439,C9415,C9391,C9367,C9343,C9319,C9295,C9271,C9247,C9223,C9199,C9175,C9151,C9127)/POBLA!$B$6*100000</f>
        <v>409.97465205687718</v>
      </c>
      <c r="H9439" s="295">
        <f t="shared" si="808"/>
        <v>1.4596569250317661</v>
      </c>
    </row>
    <row r="9440" spans="1:8" x14ac:dyDescent="0.25">
      <c r="A9440" s="105" t="s">
        <v>21</v>
      </c>
      <c r="B9440" s="19">
        <v>44286</v>
      </c>
      <c r="C9440" s="4">
        <v>1260</v>
      </c>
      <c r="D9440" s="21">
        <f t="shared" si="806"/>
        <v>180633</v>
      </c>
      <c r="E9440" s="4">
        <v>6</v>
      </c>
      <c r="F9440" s="57">
        <f t="shared" si="807"/>
        <v>3030</v>
      </c>
      <c r="G9440" s="238">
        <f>SUM(C9440,C9416,C9392,C9368,C9344,C9320,C9296,C9272,C9248,C9224,C9200,C9176,C9152,C9128)/POBLA!$B$7*100000</f>
        <v>286.69441157308302</v>
      </c>
      <c r="H9440" s="295">
        <f t="shared" si="808"/>
        <v>1.3303307008884502</v>
      </c>
    </row>
    <row r="9441" spans="1:8" x14ac:dyDescent="0.25">
      <c r="A9441" s="105" t="s">
        <v>32</v>
      </c>
      <c r="B9441" s="19">
        <v>44286</v>
      </c>
      <c r="C9441" s="4">
        <v>299</v>
      </c>
      <c r="D9441" s="21">
        <f t="shared" si="806"/>
        <v>49939</v>
      </c>
      <c r="F9441" s="57">
        <f t="shared" si="807"/>
        <v>946</v>
      </c>
      <c r="G9441" s="238">
        <f>SUM(C9441,C9417,C9393,C9369,C9345,C9321,C9297,C9273,C9249,C9225,C9201,C9177,C9153,C9129)/POBLA!$B$8*100000</f>
        <v>183.48279641346329</v>
      </c>
      <c r="H9441" s="295">
        <f t="shared" si="808"/>
        <v>1.3548215237080448</v>
      </c>
    </row>
    <row r="9442" spans="1:8" x14ac:dyDescent="0.25">
      <c r="A9442" s="105" t="s">
        <v>42</v>
      </c>
      <c r="B9442" s="19">
        <v>44286</v>
      </c>
      <c r="C9442" s="4">
        <v>175</v>
      </c>
      <c r="D9442" s="21">
        <f t="shared" si="806"/>
        <v>2257</v>
      </c>
      <c r="F9442" s="57">
        <f t="shared" si="807"/>
        <v>30</v>
      </c>
      <c r="G9442" s="238">
        <f>SUM(C9442,C9418,C9394,C9370,C9346,C9322,C9298,C9274,C9250,C9226,C9202,C9178,C9154,C9130)/POBLA!$B$9*100000</f>
        <v>100.7942920688111</v>
      </c>
      <c r="H9442" s="295">
        <f t="shared" si="808"/>
        <v>1.6897506925207757</v>
      </c>
    </row>
    <row r="9443" spans="1:8" x14ac:dyDescent="0.25">
      <c r="A9443" s="105" t="s">
        <v>33</v>
      </c>
      <c r="B9443" s="19">
        <v>44286</v>
      </c>
      <c r="C9443" s="4">
        <v>76</v>
      </c>
      <c r="D9443" s="21">
        <f t="shared" si="806"/>
        <v>22449</v>
      </c>
      <c r="E9443" s="4">
        <v>2</v>
      </c>
      <c r="F9443" s="57">
        <f t="shared" si="807"/>
        <v>966</v>
      </c>
      <c r="G9443" s="238">
        <f>SUM(C9443,C9419,C9395,C9371,C9347,C9323,C9299,C9275,C9251,C9227,C9203,C9179,C9155,C9131)/POBLA!$B$10*100000</f>
        <v>79.259963600088739</v>
      </c>
      <c r="H9443" s="295">
        <f t="shared" si="808"/>
        <v>0.71378504672897192</v>
      </c>
    </row>
    <row r="9444" spans="1:8" x14ac:dyDescent="0.25">
      <c r="A9444" s="105" t="s">
        <v>34</v>
      </c>
      <c r="B9444" s="19">
        <v>44286</v>
      </c>
      <c r="C9444" s="4">
        <v>89</v>
      </c>
      <c r="D9444" s="21">
        <f t="shared" si="806"/>
        <v>21290</v>
      </c>
      <c r="E9444" s="4">
        <v>1</v>
      </c>
      <c r="F9444" s="57">
        <f t="shared" si="807"/>
        <v>322</v>
      </c>
      <c r="G9444" s="238">
        <f>SUM(C9444,C9420,C9396,C9372,C9348,C9324,C9300,C9276,C9252,C9228,C9204,C9180,C9156,C9132)/POBLA!$B$11*100000</f>
        <v>296.29381633131339</v>
      </c>
      <c r="H9444" s="295">
        <f t="shared" si="808"/>
        <v>0.83294117647058818</v>
      </c>
    </row>
    <row r="9445" spans="1:8" x14ac:dyDescent="0.25">
      <c r="A9445" s="105" t="s">
        <v>22</v>
      </c>
      <c r="B9445" s="19">
        <v>44286</v>
      </c>
      <c r="C9445" s="4">
        <v>72</v>
      </c>
      <c r="D9445" s="21">
        <f t="shared" si="806"/>
        <v>11098</v>
      </c>
      <c r="F9445" s="57">
        <f t="shared" si="807"/>
        <v>449</v>
      </c>
      <c r="G9445" s="238">
        <f>SUM(C9445,C9421,C9397,C9373,C9349,C9325,C9301,C9277,C9253,C9229,C9205,C9181,C9157,C9133)/POBLA!$B$12*100000</f>
        <v>134.93219085662884</v>
      </c>
      <c r="H9445" s="295">
        <f t="shared" si="808"/>
        <v>1.8964285714285714</v>
      </c>
    </row>
    <row r="9446" spans="1:8" x14ac:dyDescent="0.25">
      <c r="A9446" s="105" t="s">
        <v>18</v>
      </c>
      <c r="B9446" s="19">
        <v>44286</v>
      </c>
      <c r="C9446" s="4">
        <v>521</v>
      </c>
      <c r="D9446" s="21">
        <f t="shared" si="806"/>
        <v>73007</v>
      </c>
      <c r="E9446" s="4">
        <v>4</v>
      </c>
      <c r="F9446" s="57">
        <f t="shared" si="807"/>
        <v>1511</v>
      </c>
      <c r="G9446" s="238">
        <f>SUM(C9446,C9422,C9398,C9374,C9350,C9326,C9302,C9278,C9254,C9230,C9206,C9182,C9158,C9134)/POBLA!$B$13*100000</f>
        <v>160.77671229710731</v>
      </c>
      <c r="H9446" s="295">
        <f t="shared" si="808"/>
        <v>1.5094339622641511</v>
      </c>
    </row>
    <row r="9447" spans="1:8" x14ac:dyDescent="0.25">
      <c r="A9447" s="105" t="s">
        <v>24</v>
      </c>
      <c r="B9447" s="19">
        <v>44286</v>
      </c>
      <c r="C9447" s="4">
        <v>134</v>
      </c>
      <c r="D9447" s="21">
        <f t="shared" si="806"/>
        <v>12072</v>
      </c>
      <c r="E9447" s="4">
        <v>4</v>
      </c>
      <c r="F9447" s="57">
        <f t="shared" si="807"/>
        <v>207</v>
      </c>
      <c r="G9447" s="238">
        <f>SUM(C9447,C9423,C9399,C9375,C9351,C9327,C9303,C9279,C9255,C9231,C9207,C9183,C9159,C9135)/POBLA!$B$14*100000</f>
        <v>138.11212928944403</v>
      </c>
      <c r="H9447" s="295">
        <f t="shared" si="808"/>
        <v>1.036904761904762</v>
      </c>
    </row>
    <row r="9448" spans="1:8" x14ac:dyDescent="0.25">
      <c r="A9448" s="105" t="s">
        <v>20</v>
      </c>
      <c r="B9448" s="19">
        <v>44286</v>
      </c>
      <c r="C9448" s="4">
        <v>140</v>
      </c>
      <c r="D9448" s="21">
        <f t="shared" si="806"/>
        <v>65214</v>
      </c>
      <c r="F9448" s="57">
        <f t="shared" si="807"/>
        <v>1010</v>
      </c>
      <c r="G9448" s="238">
        <f>SUM(C9448,C9424,C9400,C9376,C9352,C9328,C9304,C9280,C9256,C9232,C9208,C9184,C9160,C9136)/POBLA!$B$15*100000</f>
        <v>244.10555118009447</v>
      </c>
      <c r="H9448" s="295">
        <f t="shared" si="808"/>
        <v>0.84515119916579773</v>
      </c>
    </row>
    <row r="9449" spans="1:8" x14ac:dyDescent="0.25">
      <c r="A9449" s="105" t="s">
        <v>19</v>
      </c>
      <c r="B9449" s="19">
        <v>44286</v>
      </c>
      <c r="C9449" s="4">
        <v>150</v>
      </c>
      <c r="D9449" s="21">
        <f t="shared" si="806"/>
        <v>55425</v>
      </c>
      <c r="E9449" s="4">
        <v>1</v>
      </c>
      <c r="F9449" s="57">
        <f t="shared" si="807"/>
        <v>1281</v>
      </c>
      <c r="G9449" s="238">
        <f>SUM(C9449,C9425,C9401,C9377,C9353,C9329,C9305,C9281,C9257,C9233,C9209,C9185,C9161,C9137)/POBLA!$B$16*100000</f>
        <v>176.42888671901125</v>
      </c>
      <c r="H9449" s="295">
        <f t="shared" si="808"/>
        <v>0.96700879765395897</v>
      </c>
    </row>
    <row r="9450" spans="1:8" x14ac:dyDescent="0.25">
      <c r="A9450" s="105" t="s">
        <v>35</v>
      </c>
      <c r="B9450" s="19">
        <v>44286</v>
      </c>
      <c r="C9450" s="4">
        <v>153</v>
      </c>
      <c r="D9450" s="21">
        <f t="shared" si="806"/>
        <v>29362</v>
      </c>
      <c r="E9450" s="4">
        <v>1</v>
      </c>
      <c r="F9450" s="57">
        <f t="shared" si="807"/>
        <v>1205</v>
      </c>
      <c r="G9450" s="238">
        <f>SUM(C9450,C9426,C9402,C9378,C9354,C9330,C9306,C9282,C9258,C9234,C9210,C9186,C9162,C9138)/POBLA!$B$17*100000</f>
        <v>99.550897678105187</v>
      </c>
      <c r="H9450" s="295">
        <f t="shared" si="808"/>
        <v>0.94281914893617025</v>
      </c>
    </row>
    <row r="9451" spans="1:8" x14ac:dyDescent="0.25">
      <c r="A9451" s="105" t="s">
        <v>36</v>
      </c>
      <c r="B9451" s="19">
        <v>44286</v>
      </c>
      <c r="C9451" s="4">
        <v>179</v>
      </c>
      <c r="D9451" s="21">
        <f t="shared" si="806"/>
        <v>17302</v>
      </c>
      <c r="F9451" s="57">
        <f t="shared" si="807"/>
        <v>224</v>
      </c>
      <c r="G9451" s="238">
        <f>SUM(C9451,C9427,C9403,C9379,C9355,C9331,C9307,C9283,C9259,C9235,C9211,C9187,C9163,C9139)/POBLA!$B$18*100000</f>
        <v>155.01454781449968</v>
      </c>
      <c r="H9451" s="295">
        <f t="shared" si="808"/>
        <v>1.7627365356622999</v>
      </c>
    </row>
    <row r="9452" spans="1:8" x14ac:dyDescent="0.25">
      <c r="A9452" s="105" t="s">
        <v>37</v>
      </c>
      <c r="B9452" s="19">
        <v>44286</v>
      </c>
      <c r="C9452" s="4">
        <v>203</v>
      </c>
      <c r="D9452" s="21">
        <f t="shared" si="806"/>
        <v>22803</v>
      </c>
      <c r="E9452" s="4">
        <v>5</v>
      </c>
      <c r="F9452" s="57">
        <f t="shared" si="807"/>
        <v>416</v>
      </c>
      <c r="G9452" s="238">
        <f>SUM(C9452,C9428,C9404,C9380,C9356,C9332,C9308,C9284,C9260,C9236,C9212,C9188,C9164,C9140)/POBLA!$B$19*100000</f>
        <v>251.60919721124944</v>
      </c>
      <c r="H9452" s="295">
        <f t="shared" si="808"/>
        <v>1.7377717391304348</v>
      </c>
    </row>
    <row r="9453" spans="1:8" x14ac:dyDescent="0.25">
      <c r="A9453" s="105" t="s">
        <v>38</v>
      </c>
      <c r="B9453" s="19">
        <v>44286</v>
      </c>
      <c r="C9453" s="4">
        <v>195</v>
      </c>
      <c r="D9453" s="21">
        <f t="shared" si="806"/>
        <v>39405</v>
      </c>
      <c r="E9453" s="4">
        <v>2</v>
      </c>
      <c r="F9453" s="57">
        <f t="shared" si="807"/>
        <v>642</v>
      </c>
      <c r="G9453" s="238">
        <f>SUM(C9453,C9429,C9405,C9381,C9357,C9333,C9309,C9285,C9261,C9237,C9213,C9189,C9165,C9141)/POBLA!$B$20*100000</f>
        <v>461.85650454746809</v>
      </c>
      <c r="H9453" s="295">
        <f t="shared" si="808"/>
        <v>1.1419878296146044</v>
      </c>
    </row>
    <row r="9454" spans="1:8" x14ac:dyDescent="0.25">
      <c r="A9454" s="105" t="s">
        <v>23</v>
      </c>
      <c r="B9454" s="19">
        <v>44286</v>
      </c>
      <c r="C9454" s="4">
        <v>920</v>
      </c>
      <c r="D9454" s="21">
        <f t="shared" si="806"/>
        <v>231494</v>
      </c>
      <c r="E9454" s="4">
        <v>9</v>
      </c>
      <c r="F9454" s="57">
        <f t="shared" si="807"/>
        <v>4273</v>
      </c>
      <c r="G9454" s="238">
        <f>SUM(C9454,C9430,C9406,C9382,C9358,C9334,C9310,C9286,C9262,C9238,C9214,C9190,C9166,C9142)/POBLA!$B$21*100000</f>
        <v>216.82957161738233</v>
      </c>
      <c r="H9454" s="295">
        <f t="shared" si="808"/>
        <v>1.2498777506112468</v>
      </c>
    </row>
    <row r="9455" spans="1:8" x14ac:dyDescent="0.25">
      <c r="A9455" s="105" t="s">
        <v>39</v>
      </c>
      <c r="B9455" s="19">
        <v>44286</v>
      </c>
      <c r="C9455" s="4">
        <v>128</v>
      </c>
      <c r="D9455" s="21">
        <f t="shared" si="806"/>
        <v>25110</v>
      </c>
      <c r="E9455" s="4">
        <v>3</v>
      </c>
      <c r="F9455" s="57">
        <f t="shared" si="807"/>
        <v>297</v>
      </c>
      <c r="G9455" s="238">
        <f>SUM(C9455,C9431,C9407,C9383,C9359,C9335,C9311,C9287,C9263,C9239,C9215,C9191,C9167,C9143)/POBLA!$B$22*100000</f>
        <v>142.5924014093649</v>
      </c>
      <c r="H9455" s="295">
        <f t="shared" si="808"/>
        <v>1.5032327586206897</v>
      </c>
    </row>
    <row r="9456" spans="1:8" x14ac:dyDescent="0.25">
      <c r="A9456" s="105" t="s">
        <v>40</v>
      </c>
      <c r="B9456" s="19">
        <v>44286</v>
      </c>
      <c r="C9456" s="4">
        <v>84</v>
      </c>
      <c r="D9456" s="21">
        <f t="shared" si="806"/>
        <v>24088</v>
      </c>
      <c r="F9456" s="57">
        <f t="shared" si="807"/>
        <v>367</v>
      </c>
      <c r="G9456" s="238">
        <f>SUM(C9456,C9432,C9408,C9384,C9360,C9336,C9312,C9288,C9264,C9240,C9216,C9192,C9168,C9144)/POBLA!$B$23*100000</f>
        <v>361.36402194197819</v>
      </c>
      <c r="H9456" s="295">
        <f t="shared" si="808"/>
        <v>1.5935162094763091</v>
      </c>
    </row>
    <row r="9457" spans="1:12" ht="15.75" thickBot="1" x14ac:dyDescent="0.3">
      <c r="A9457" s="106" t="s">
        <v>41</v>
      </c>
      <c r="B9457" s="36">
        <v>44286</v>
      </c>
      <c r="C9457" s="37">
        <v>748</v>
      </c>
      <c r="D9457" s="98">
        <f t="shared" si="806"/>
        <v>87852</v>
      </c>
      <c r="E9457" s="37"/>
      <c r="F9457" s="255">
        <f t="shared" si="807"/>
        <v>1502</v>
      </c>
      <c r="G9457" s="256">
        <f>SUM(C9457,C9433,C9409,C9385,C9361,C9337,C9313,C9289,C9265,C9241,C9217,C9193,C9169,C9145)/POBLA!$B$24*100000</f>
        <v>288.14107405868799</v>
      </c>
      <c r="H9457" s="296">
        <f t="shared" si="808"/>
        <v>1.8322701688555347</v>
      </c>
    </row>
    <row r="9458" spans="1:12" ht="15.75" thickBot="1" x14ac:dyDescent="0.3">
      <c r="A9458" s="45" t="s">
        <v>17</v>
      </c>
      <c r="B9458" s="36">
        <v>44287</v>
      </c>
      <c r="C9458" s="31">
        <v>7087</v>
      </c>
      <c r="D9458" s="97">
        <f t="shared" ref="D9458:D9521" si="809">C9458+D9434</f>
        <v>994654</v>
      </c>
      <c r="E9458" s="31">
        <v>35</v>
      </c>
      <c r="F9458" s="250">
        <f t="shared" ref="F9458:F9521" si="810">E9458+F9434</f>
        <v>28242</v>
      </c>
      <c r="G9458" s="251">
        <f>SUM(C9458,C9434,C9410,C9386,C9362,C9338,C9314,C9290,C9266,C9242,C9218,C9194,C9170,C9146)/POBLA!$B$1*100000</f>
        <v>363.73346522897231</v>
      </c>
      <c r="H9458" s="294">
        <f t="shared" ref="H9458:H9521" si="811">SUM(C9458,C9434,C9410,C9386,C9362,C9338,C9314,C9290,C9266,C9242,C9218,C9194,C9170,C9146)/SUM(C9122,C9098,C9074,C9050,C9026,C9002,C8978,C8954,C8930,C8906,C8882,C8858,C8834,C8810)</f>
        <v>1.6116752551278166</v>
      </c>
      <c r="J9458" s="369"/>
      <c r="K9458" s="369"/>
      <c r="L9458" s="369"/>
    </row>
    <row r="9459" spans="1:12" ht="15.75" thickBot="1" x14ac:dyDescent="0.3">
      <c r="A9459" s="105" t="s">
        <v>44</v>
      </c>
      <c r="B9459" s="36">
        <v>44287</v>
      </c>
      <c r="C9459" s="4">
        <v>1576</v>
      </c>
      <c r="D9459" s="21">
        <f t="shared" si="809"/>
        <v>262909</v>
      </c>
      <c r="E9459" s="4">
        <v>10</v>
      </c>
      <c r="F9459" s="57">
        <f t="shared" si="810"/>
        <v>6884</v>
      </c>
      <c r="G9459" s="238">
        <f>SUM(C9459,C9435,C9411,C9387,C9363,C9339,C9315,C9291,C9267,C9243,C9219,C9195,C9171,C9147)/POBLA!$B$2*100000</f>
        <v>554.51765255169164</v>
      </c>
      <c r="H9459" s="295">
        <f t="shared" si="811"/>
        <v>1.5025107920007048</v>
      </c>
      <c r="J9459" s="370"/>
      <c r="K9459" s="371"/>
      <c r="L9459" s="372"/>
    </row>
    <row r="9460" spans="1:12" ht="15.75" thickBot="1" x14ac:dyDescent="0.3">
      <c r="A9460" s="105" t="s">
        <v>29</v>
      </c>
      <c r="B9460" s="36">
        <v>44287</v>
      </c>
      <c r="C9460" s="4">
        <v>70</v>
      </c>
      <c r="D9460" s="21">
        <f t="shared" si="809"/>
        <v>10530</v>
      </c>
      <c r="F9460" s="57">
        <f t="shared" si="810"/>
        <v>18</v>
      </c>
      <c r="G9460" s="238">
        <f>SUM(C9460,C9436,C9412,C9388,C9364,C9340,C9316,C9292,C9268,C9244,C9220,C9196,C9172,C9148)/POBLA!$B$3*100000</f>
        <v>257.80020123339705</v>
      </c>
      <c r="H9460" s="295">
        <f t="shared" si="811"/>
        <v>0.88075657894736847</v>
      </c>
      <c r="J9460" s="370"/>
      <c r="K9460" s="371"/>
      <c r="L9460" s="372"/>
    </row>
    <row r="9461" spans="1:12" ht="15.75" thickBot="1" x14ac:dyDescent="0.3">
      <c r="A9461" s="105" t="s">
        <v>16</v>
      </c>
      <c r="B9461" s="36">
        <v>44287</v>
      </c>
      <c r="C9461" s="4">
        <v>180</v>
      </c>
      <c r="D9461" s="21">
        <f t="shared" si="809"/>
        <v>38672</v>
      </c>
      <c r="F9461" s="57">
        <f t="shared" si="810"/>
        <v>924</v>
      </c>
      <c r="G9461" s="238">
        <f>SUM(C9461,C9437,C9413,C9389,C9365,C9341,C9317,C9293,C9269,C9245,C9221,C9197,C9173,C9149)/POBLA!$B$4*100000</f>
        <v>179.81953291751796</v>
      </c>
      <c r="H9461" s="295">
        <f t="shared" si="811"/>
        <v>1.1894563426688634</v>
      </c>
      <c r="J9461" s="370"/>
      <c r="K9461" s="373"/>
      <c r="L9461" s="374"/>
    </row>
    <row r="9462" spans="1:12" ht="15.75" thickBot="1" x14ac:dyDescent="0.3">
      <c r="A9462" s="105" t="s">
        <v>30</v>
      </c>
      <c r="B9462" s="36">
        <v>44287</v>
      </c>
      <c r="C9462" s="4">
        <v>111</v>
      </c>
      <c r="D9462" s="21">
        <f t="shared" si="809"/>
        <v>50224</v>
      </c>
      <c r="F9462" s="57">
        <f t="shared" si="810"/>
        <v>864</v>
      </c>
      <c r="G9462" s="238">
        <f>SUM(C9462,C9438,C9414,C9390,C9366,C9342,C9318,C9294,C9270,C9246,C9222,C9198,C9174,C9150)/POBLA!$B$5*100000</f>
        <v>267.53086459642583</v>
      </c>
      <c r="H9462" s="295">
        <f t="shared" si="811"/>
        <v>1.3629629629629629</v>
      </c>
      <c r="J9462" s="370"/>
      <c r="K9462" s="371"/>
      <c r="L9462" s="374"/>
    </row>
    <row r="9463" spans="1:12" ht="15.75" thickBot="1" x14ac:dyDescent="0.3">
      <c r="A9463" s="105" t="s">
        <v>31</v>
      </c>
      <c r="B9463" s="36">
        <v>44287</v>
      </c>
      <c r="C9463" s="4">
        <v>422</v>
      </c>
      <c r="D9463" s="21">
        <f t="shared" si="809"/>
        <v>30478</v>
      </c>
      <c r="F9463" s="57">
        <f t="shared" si="810"/>
        <v>328</v>
      </c>
      <c r="G9463" s="238">
        <f>SUM(C9463,C9439,C9415,C9391,C9367,C9343,C9319,C9295,C9271,C9247,C9223,C9199,C9175,C9151)/POBLA!$B$6*100000</f>
        <v>419.25373014478038</v>
      </c>
      <c r="H9463" s="295">
        <f t="shared" si="811"/>
        <v>1.5306188925081434</v>
      </c>
      <c r="J9463" s="370"/>
      <c r="K9463" s="371"/>
      <c r="L9463" s="372"/>
    </row>
    <row r="9464" spans="1:12" ht="15.75" thickBot="1" x14ac:dyDescent="0.3">
      <c r="A9464" s="105" t="s">
        <v>21</v>
      </c>
      <c r="B9464" s="36">
        <v>44287</v>
      </c>
      <c r="C9464" s="4">
        <v>1194</v>
      </c>
      <c r="D9464" s="21">
        <f t="shared" si="809"/>
        <v>181827</v>
      </c>
      <c r="E9464" s="4">
        <v>8</v>
      </c>
      <c r="F9464" s="57">
        <f t="shared" si="810"/>
        <v>3038</v>
      </c>
      <c r="G9464" s="238">
        <f>SUM(C9464,C9440,C9416,C9392,C9368,C9344,C9320,C9296,C9272,C9248,C9224,C9200,C9176,C9152)/POBLA!$B$7*100000</f>
        <v>299.59180417237297</v>
      </c>
      <c r="H9464" s="295">
        <f t="shared" si="811"/>
        <v>1.3879512135025256</v>
      </c>
      <c r="J9464" s="370"/>
      <c r="K9464" s="371"/>
      <c r="L9464" s="374"/>
    </row>
    <row r="9465" spans="1:12" ht="15.75" thickBot="1" x14ac:dyDescent="0.3">
      <c r="A9465" s="105" t="s">
        <v>32</v>
      </c>
      <c r="B9465" s="36">
        <v>44287</v>
      </c>
      <c r="C9465" s="4">
        <v>236</v>
      </c>
      <c r="D9465" s="21">
        <f t="shared" si="809"/>
        <v>50175</v>
      </c>
      <c r="E9465" s="4">
        <v>2</v>
      </c>
      <c r="F9465" s="57">
        <f t="shared" si="810"/>
        <v>948</v>
      </c>
      <c r="G9465" s="238">
        <f>SUM(C9465,C9441,C9417,C9393,C9369,C9345,C9321,C9297,C9273,C9249,C9225,C9201,C9177,C9153)/POBLA!$B$8*100000</f>
        <v>185.2865989735642</v>
      </c>
      <c r="H9465" s="295">
        <f t="shared" si="811"/>
        <v>1.3580116340560551</v>
      </c>
      <c r="J9465" s="370"/>
      <c r="K9465" s="371"/>
      <c r="L9465" s="372"/>
    </row>
    <row r="9466" spans="1:12" ht="15.75" thickBot="1" x14ac:dyDescent="0.3">
      <c r="A9466" s="105" t="s">
        <v>42</v>
      </c>
      <c r="B9466" s="36">
        <v>44287</v>
      </c>
      <c r="C9466" s="4">
        <v>37</v>
      </c>
      <c r="D9466" s="21">
        <f t="shared" si="809"/>
        <v>2294</v>
      </c>
      <c r="E9466" s="4">
        <v>6</v>
      </c>
      <c r="F9466" s="57">
        <f t="shared" si="810"/>
        <v>36</v>
      </c>
      <c r="G9466" s="238">
        <f>SUM(C9466,C9442,C9418,C9394,C9370,C9346,C9322,C9298,C9274,C9250,C9226,C9202,C9178,C9154)/POBLA!$B$9*100000</f>
        <v>104.75996913381351</v>
      </c>
      <c r="H9466" s="295">
        <f t="shared" si="811"/>
        <v>1.8062678062678064</v>
      </c>
      <c r="J9466" s="370"/>
      <c r="K9466" s="371"/>
      <c r="L9466" s="372"/>
    </row>
    <row r="9467" spans="1:12" ht="15.75" thickBot="1" x14ac:dyDescent="0.3">
      <c r="A9467" s="105" t="s">
        <v>33</v>
      </c>
      <c r="B9467" s="36">
        <v>44287</v>
      </c>
      <c r="C9467" s="4">
        <v>84</v>
      </c>
      <c r="D9467" s="21">
        <f t="shared" si="809"/>
        <v>22533</v>
      </c>
      <c r="E9467" s="4">
        <v>5</v>
      </c>
      <c r="F9467" s="57">
        <f t="shared" si="810"/>
        <v>971</v>
      </c>
      <c r="G9467" s="238">
        <f>SUM(C9467,C9443,C9419,C9395,C9371,C9347,C9323,C9299,C9275,C9251,C9227,C9203,C9179,C9155)/POBLA!$B$10*100000</f>
        <v>83.411058256721859</v>
      </c>
      <c r="H9467" s="295">
        <f t="shared" si="811"/>
        <v>0.7831912302070646</v>
      </c>
      <c r="J9467" s="370"/>
      <c r="K9467" s="375"/>
      <c r="L9467" s="376"/>
    </row>
    <row r="9468" spans="1:12" ht="15.75" thickBot="1" x14ac:dyDescent="0.3">
      <c r="A9468" s="105" t="s">
        <v>34</v>
      </c>
      <c r="B9468" s="36">
        <v>44287</v>
      </c>
      <c r="C9468" s="4">
        <v>95</v>
      </c>
      <c r="D9468" s="21">
        <f t="shared" si="809"/>
        <v>21385</v>
      </c>
      <c r="F9468" s="57">
        <f t="shared" si="810"/>
        <v>322</v>
      </c>
      <c r="G9468" s="238">
        <f>SUM(C9468,C9444,C9420,C9396,C9372,C9348,C9324,C9300,C9276,C9252,C9228,C9204,C9180,C9156)/POBLA!$B$11*100000</f>
        <v>299.64176905822092</v>
      </c>
      <c r="H9468" s="295">
        <f t="shared" si="811"/>
        <v>0.85441527446300713</v>
      </c>
      <c r="J9468" s="370"/>
      <c r="K9468" s="373"/>
      <c r="L9468" s="374"/>
    </row>
    <row r="9469" spans="1:12" ht="15.75" thickBot="1" x14ac:dyDescent="0.3">
      <c r="A9469" s="105" t="s">
        <v>22</v>
      </c>
      <c r="B9469" s="36">
        <v>44287</v>
      </c>
      <c r="C9469" s="4">
        <v>55</v>
      </c>
      <c r="D9469" s="21">
        <f t="shared" si="809"/>
        <v>11153</v>
      </c>
      <c r="F9469" s="57">
        <f t="shared" si="810"/>
        <v>449</v>
      </c>
      <c r="G9469" s="238">
        <f>SUM(C9469,C9445,C9421,C9397,C9373,C9349,C9325,C9301,C9277,C9253,C9229,C9205,C9181,C9157)/POBLA!$B$12*100000</f>
        <v>135.44041003123007</v>
      </c>
      <c r="H9469" s="295">
        <f t="shared" si="811"/>
        <v>1.697452229299363</v>
      </c>
      <c r="J9469" s="370"/>
      <c r="K9469" s="373"/>
      <c r="L9469" s="374"/>
    </row>
    <row r="9470" spans="1:12" ht="15.75" thickBot="1" x14ac:dyDescent="0.3">
      <c r="A9470" s="105" t="s">
        <v>18</v>
      </c>
      <c r="B9470" s="36">
        <v>44287</v>
      </c>
      <c r="C9470" s="4">
        <v>488</v>
      </c>
      <c r="D9470" s="21">
        <f t="shared" si="809"/>
        <v>73495</v>
      </c>
      <c r="E9470" s="4">
        <v>2</v>
      </c>
      <c r="F9470" s="57">
        <f t="shared" si="810"/>
        <v>1513</v>
      </c>
      <c r="G9470" s="238">
        <f>SUM(C9470,C9446,C9422,C9398,C9374,C9350,C9326,C9302,C9278,C9254,C9230,C9206,C9182,C9158)/POBLA!$B$13*100000</f>
        <v>174.34224739717575</v>
      </c>
      <c r="H9470" s="295">
        <f t="shared" si="811"/>
        <v>1.6222533894343152</v>
      </c>
      <c r="J9470" s="370"/>
      <c r="K9470" s="373"/>
      <c r="L9470" s="374"/>
    </row>
    <row r="9471" spans="1:12" ht="15.75" thickBot="1" x14ac:dyDescent="0.3">
      <c r="A9471" s="105" t="s">
        <v>24</v>
      </c>
      <c r="B9471" s="36">
        <v>44287</v>
      </c>
      <c r="C9471" s="4">
        <v>82</v>
      </c>
      <c r="D9471" s="21">
        <f t="shared" si="809"/>
        <v>12154</v>
      </c>
      <c r="F9471" s="57">
        <f t="shared" si="810"/>
        <v>207</v>
      </c>
      <c r="G9471" s="238">
        <f>SUM(C9471,C9447,C9423,C9399,C9375,C9351,C9327,C9303,C9279,C9255,C9231,C9207,C9183,C9159)/POBLA!$B$14*100000</f>
        <v>134.14794647401794</v>
      </c>
      <c r="H9471" s="295">
        <f t="shared" si="811"/>
        <v>1.0149970005998801</v>
      </c>
      <c r="J9471" s="370"/>
      <c r="K9471" s="371"/>
      <c r="L9471" s="372"/>
    </row>
    <row r="9472" spans="1:12" ht="15.75" thickBot="1" x14ac:dyDescent="0.3">
      <c r="A9472" s="105" t="s">
        <v>20</v>
      </c>
      <c r="B9472" s="36">
        <v>44287</v>
      </c>
      <c r="C9472" s="4">
        <v>97</v>
      </c>
      <c r="D9472" s="21">
        <f t="shared" si="809"/>
        <v>65311</v>
      </c>
      <c r="F9472" s="57">
        <f t="shared" si="810"/>
        <v>1010</v>
      </c>
      <c r="G9472" s="238">
        <f>SUM(C9472,C9448,C9424,C9400,C9376,C9352,C9328,C9304,C9280,C9256,C9232,C9208,C9184,C9160)/POBLA!$B$15*100000</f>
        <v>235.07018222833281</v>
      </c>
      <c r="H9472" s="295">
        <f t="shared" si="811"/>
        <v>0.83879634605051046</v>
      </c>
      <c r="J9472" s="370"/>
      <c r="K9472" s="373"/>
      <c r="L9472" s="374"/>
    </row>
    <row r="9473" spans="1:12" ht="15.75" thickBot="1" x14ac:dyDescent="0.3">
      <c r="A9473" s="105" t="s">
        <v>19</v>
      </c>
      <c r="B9473" s="36">
        <v>44287</v>
      </c>
      <c r="C9473" s="4">
        <v>128</v>
      </c>
      <c r="D9473" s="21">
        <f t="shared" si="809"/>
        <v>55553</v>
      </c>
      <c r="E9473" s="4">
        <v>1</v>
      </c>
      <c r="F9473" s="57">
        <f t="shared" si="810"/>
        <v>1282</v>
      </c>
      <c r="G9473" s="238">
        <f>SUM(C9473,C9449,C9425,C9401,C9377,C9353,C9329,C9305,C9281,C9257,C9233,C9209,C9185,C9161)/POBLA!$B$16*100000</f>
        <v>177.63272294378083</v>
      </c>
      <c r="H9473" s="295">
        <f t="shared" si="811"/>
        <v>0.98297557364914878</v>
      </c>
      <c r="J9473" s="370"/>
      <c r="K9473" s="373"/>
      <c r="L9473" s="372"/>
    </row>
    <row r="9474" spans="1:12" ht="15.75" thickBot="1" x14ac:dyDescent="0.3">
      <c r="A9474" s="105" t="s">
        <v>35</v>
      </c>
      <c r="B9474" s="36">
        <v>44287</v>
      </c>
      <c r="C9474" s="4">
        <v>163</v>
      </c>
      <c r="D9474" s="21">
        <f t="shared" si="809"/>
        <v>29525</v>
      </c>
      <c r="F9474" s="57">
        <f t="shared" si="810"/>
        <v>1205</v>
      </c>
      <c r="G9474" s="238">
        <f>SUM(C9474,C9450,C9426,C9402,C9378,C9354,C9330,C9306,C9282,C9258,C9234,C9210,C9186,C9162)/POBLA!$B$17*100000</f>
        <v>100.81459031435757</v>
      </c>
      <c r="H9474" s="295">
        <f t="shared" si="811"/>
        <v>0.97027027027027024</v>
      </c>
      <c r="J9474" s="370"/>
      <c r="K9474" s="371"/>
      <c r="L9474" s="372"/>
    </row>
    <row r="9475" spans="1:12" ht="15.75" thickBot="1" x14ac:dyDescent="0.3">
      <c r="A9475" s="105" t="s">
        <v>36</v>
      </c>
      <c r="B9475" s="36">
        <v>44287</v>
      </c>
      <c r="C9475" s="4">
        <v>91</v>
      </c>
      <c r="D9475" s="21">
        <f t="shared" si="809"/>
        <v>17393</v>
      </c>
      <c r="F9475" s="57">
        <f t="shared" si="810"/>
        <v>224</v>
      </c>
      <c r="G9475" s="238">
        <f>SUM(C9475,C9451,C9427,C9403,C9379,C9355,C9331,C9307,C9283,C9259,C9235,C9211,C9187,C9163)/POBLA!$B$18*100000</f>
        <v>155.52656944229324</v>
      </c>
      <c r="H9475" s="295">
        <f t="shared" si="811"/>
        <v>1.6851595006934812</v>
      </c>
      <c r="J9475" s="370"/>
      <c r="K9475" s="371"/>
      <c r="L9475" s="374"/>
    </row>
    <row r="9476" spans="1:12" ht="15.75" thickBot="1" x14ac:dyDescent="0.3">
      <c r="A9476" s="105" t="s">
        <v>37</v>
      </c>
      <c r="B9476" s="36">
        <v>44287</v>
      </c>
      <c r="C9476" s="4">
        <v>246</v>
      </c>
      <c r="D9476" s="21">
        <f t="shared" si="809"/>
        <v>23049</v>
      </c>
      <c r="E9476" s="4">
        <v>14</v>
      </c>
      <c r="F9476" s="57">
        <f t="shared" si="810"/>
        <v>430</v>
      </c>
      <c r="G9476" s="238">
        <f>SUM(C9476,C9452,C9428,C9404,C9380,C9356,C9332,C9308,C9284,C9260,C9236,C9212,C9188,C9164)/POBLA!$B$19*100000</f>
        <v>297.64246706850696</v>
      </c>
      <c r="H9476" s="295">
        <f t="shared" si="811"/>
        <v>2.0445945945945945</v>
      </c>
      <c r="J9476" s="370"/>
      <c r="K9476" s="373"/>
      <c r="L9476" s="374"/>
    </row>
    <row r="9477" spans="1:12" ht="15.75" thickBot="1" x14ac:dyDescent="0.3">
      <c r="A9477" s="105" t="s">
        <v>38</v>
      </c>
      <c r="B9477" s="36">
        <v>44287</v>
      </c>
      <c r="C9477" s="4">
        <v>178</v>
      </c>
      <c r="D9477" s="21">
        <f t="shared" si="809"/>
        <v>39583</v>
      </c>
      <c r="F9477" s="57">
        <f t="shared" si="810"/>
        <v>642</v>
      </c>
      <c r="G9477" s="238">
        <f>SUM(C9477,C9453,C9429,C9405,C9381,C9357,C9333,C9309,C9285,C9261,C9237,C9213,C9189,C9165)/POBLA!$B$20*100000</f>
        <v>470.8803438903139</v>
      </c>
      <c r="H9477" s="295">
        <f t="shared" si="811"/>
        <v>1.2041958041958043</v>
      </c>
      <c r="J9477" s="370"/>
      <c r="K9477" s="371"/>
      <c r="L9477" s="374"/>
    </row>
    <row r="9478" spans="1:12" ht="15.75" thickBot="1" x14ac:dyDescent="0.3">
      <c r="A9478" s="105" t="s">
        <v>23</v>
      </c>
      <c r="B9478" s="36">
        <v>44287</v>
      </c>
      <c r="C9478" s="4">
        <v>1022</v>
      </c>
      <c r="D9478" s="21">
        <f t="shared" si="809"/>
        <v>232516</v>
      </c>
      <c r="F9478" s="57">
        <f t="shared" si="810"/>
        <v>4273</v>
      </c>
      <c r="G9478" s="238">
        <f>SUM(C9478,C9454,C9430,C9406,C9382,C9358,C9334,C9310,C9286,C9262,C9238,C9214,C9190,C9166)/POBLA!$B$21*100000</f>
        <v>231.98615095839915</v>
      </c>
      <c r="H9478" s="295">
        <f t="shared" si="811"/>
        <v>1.3357212634321067</v>
      </c>
      <c r="J9478" s="370"/>
      <c r="K9478" s="371"/>
      <c r="L9478" s="374"/>
    </row>
    <row r="9479" spans="1:12" ht="15.75" thickBot="1" x14ac:dyDescent="0.3">
      <c r="A9479" s="105" t="s">
        <v>39</v>
      </c>
      <c r="B9479" s="36">
        <v>44287</v>
      </c>
      <c r="C9479" s="4">
        <v>191</v>
      </c>
      <c r="D9479" s="21">
        <f t="shared" si="809"/>
        <v>25301</v>
      </c>
      <c r="F9479" s="57">
        <f t="shared" si="810"/>
        <v>297</v>
      </c>
      <c r="G9479" s="238">
        <f>SUM(C9479,C9455,C9431,C9407,C9383,C9359,C9335,C9311,C9287,C9263,C9239,C9215,C9191,C9167)/POBLA!$B$22*100000</f>
        <v>150.8719602008764</v>
      </c>
      <c r="H9479" s="295">
        <f t="shared" si="811"/>
        <v>1.5407098121085594</v>
      </c>
      <c r="J9479" s="370"/>
      <c r="K9479" s="371"/>
      <c r="L9479" s="372"/>
    </row>
    <row r="9480" spans="1:12" ht="15.75" thickBot="1" x14ac:dyDescent="0.3">
      <c r="A9480" s="105" t="s">
        <v>40</v>
      </c>
      <c r="B9480" s="36">
        <v>44287</v>
      </c>
      <c r="C9480" s="4">
        <v>57</v>
      </c>
      <c r="D9480" s="21">
        <f t="shared" si="809"/>
        <v>24145</v>
      </c>
      <c r="F9480" s="57">
        <f t="shared" si="810"/>
        <v>367</v>
      </c>
      <c r="G9480" s="238">
        <f>SUM(C9480,C9456,C9432,C9408,C9384,C9360,C9336,C9312,C9288,C9264,C9240,C9216,C9192,C9168)/POBLA!$B$23*100000</f>
        <v>365.32262625120171</v>
      </c>
      <c r="H9480" s="295">
        <f t="shared" si="811"/>
        <v>1.5454545454545454</v>
      </c>
      <c r="J9480" s="370"/>
      <c r="K9480" s="371"/>
      <c r="L9480" s="374"/>
    </row>
    <row r="9481" spans="1:12" ht="15.75" thickBot="1" x14ac:dyDescent="0.3">
      <c r="A9481" s="106" t="s">
        <v>41</v>
      </c>
      <c r="B9481" s="36">
        <v>44287</v>
      </c>
      <c r="C9481" s="4">
        <v>540</v>
      </c>
      <c r="D9481" s="98">
        <f t="shared" si="809"/>
        <v>88392</v>
      </c>
      <c r="F9481" s="255">
        <f t="shared" si="810"/>
        <v>1502</v>
      </c>
      <c r="G9481" s="256">
        <f>SUM(C9481,C9457,C9433,C9409,C9385,C9361,C9337,C9313,C9289,C9265,C9241,C9217,C9193,C9169)/POBLA!$B$24*100000</f>
        <v>298.99873484648214</v>
      </c>
      <c r="H9481" s="296">
        <f t="shared" si="811"/>
        <v>1.7648902821316614</v>
      </c>
      <c r="J9481" s="370"/>
      <c r="K9481" s="373"/>
      <c r="L9481" s="374"/>
    </row>
    <row r="9482" spans="1:12" ht="15.75" thickBot="1" x14ac:dyDescent="0.3">
      <c r="A9482" s="45" t="s">
        <v>17</v>
      </c>
      <c r="B9482" s="36">
        <v>44288</v>
      </c>
      <c r="C9482" s="4">
        <v>5016</v>
      </c>
      <c r="D9482" s="97">
        <f t="shared" si="809"/>
        <v>999670</v>
      </c>
      <c r="E9482" s="4">
        <v>56</v>
      </c>
      <c r="F9482" s="250">
        <f t="shared" si="810"/>
        <v>28298</v>
      </c>
      <c r="G9482" s="251">
        <f>SUM(C9482,C9458,C9434,C9410,C9386,C9362,C9338,C9314,C9290,C9266,C9242,C9218,C9194,C9170)/POBLA!$B$1*100000</f>
        <v>372.13656739889382</v>
      </c>
      <c r="H9482" s="294">
        <f t="shared" si="811"/>
        <v>1.6469118982742961</v>
      </c>
      <c r="J9482" s="370"/>
      <c r="K9482" s="371"/>
      <c r="L9482" s="372"/>
    </row>
    <row r="9483" spans="1:12" ht="15.75" thickBot="1" x14ac:dyDescent="0.3">
      <c r="A9483" s="105" t="s">
        <v>44</v>
      </c>
      <c r="B9483" s="36">
        <v>44288</v>
      </c>
      <c r="C9483" s="4">
        <v>1699</v>
      </c>
      <c r="D9483" s="21">
        <f t="shared" si="809"/>
        <v>264608</v>
      </c>
      <c r="E9483" s="4">
        <v>4</v>
      </c>
      <c r="F9483" s="57">
        <f t="shared" si="810"/>
        <v>6888</v>
      </c>
      <c r="G9483" s="238">
        <f>SUM(C9483,C9459,C9435,C9411,C9387,C9363,C9339,C9315,C9291,C9267,C9243,C9219,C9195,C9171)/POBLA!$B$2*100000</f>
        <v>581.0161507533702</v>
      </c>
      <c r="H9483" s="295">
        <f t="shared" si="811"/>
        <v>1.5714034470629616</v>
      </c>
    </row>
    <row r="9484" spans="1:12" ht="15.75" thickBot="1" x14ac:dyDescent="0.3">
      <c r="A9484" s="105" t="s">
        <v>29</v>
      </c>
      <c r="B9484" s="36">
        <v>44288</v>
      </c>
      <c r="C9484" s="4">
        <v>94</v>
      </c>
      <c r="D9484" s="21">
        <f t="shared" si="809"/>
        <v>10624</v>
      </c>
      <c r="F9484" s="57">
        <f t="shared" si="810"/>
        <v>18</v>
      </c>
      <c r="G9484" s="238">
        <f>SUM(C9484,C9460,C9436,C9412,C9388,C9364,C9340,C9316,C9292,C9268,C9244,C9220,C9196,C9172)/POBLA!$B$3*100000</f>
        <v>252.50458552178665</v>
      </c>
      <c r="H9484" s="295">
        <f t="shared" si="811"/>
        <v>0.86337448559670782</v>
      </c>
    </row>
    <row r="9485" spans="1:12" ht="15.75" thickBot="1" x14ac:dyDescent="0.3">
      <c r="A9485" s="105" t="s">
        <v>16</v>
      </c>
      <c r="B9485" s="36">
        <v>44288</v>
      </c>
      <c r="C9485" s="4">
        <v>189</v>
      </c>
      <c r="D9485" s="21">
        <f t="shared" si="809"/>
        <v>38861</v>
      </c>
      <c r="E9485" s="4">
        <v>3</v>
      </c>
      <c r="F9485" s="57">
        <f t="shared" si="810"/>
        <v>927</v>
      </c>
      <c r="G9485" s="238">
        <f>SUM(C9485,C9461,C9437,C9413,C9389,C9365,C9341,C9317,C9293,C9269,C9245,C9221,C9197,C9173)/POBLA!$B$4*100000</f>
        <v>181.72897394111118</v>
      </c>
      <c r="H9485" s="295">
        <f t="shared" si="811"/>
        <v>1.2060606060606061</v>
      </c>
    </row>
    <row r="9486" spans="1:12" ht="15.75" thickBot="1" x14ac:dyDescent="0.3">
      <c r="A9486" s="105" t="s">
        <v>30</v>
      </c>
      <c r="B9486" s="36">
        <v>44288</v>
      </c>
      <c r="C9486" s="4">
        <v>48</v>
      </c>
      <c r="D9486" s="21">
        <f t="shared" si="809"/>
        <v>50272</v>
      </c>
      <c r="E9486" s="4">
        <v>6</v>
      </c>
      <c r="F9486" s="57">
        <f t="shared" si="810"/>
        <v>870</v>
      </c>
      <c r="G9486" s="238">
        <f>SUM(C9486,C9462,C9438,C9414,C9390,C9366,C9342,C9318,C9294,C9270,C9246,C9222,C9198,C9174)/POBLA!$B$5*100000</f>
        <v>254.76822069357701</v>
      </c>
      <c r="H9486" s="295">
        <f t="shared" si="811"/>
        <v>1.2779578606158832</v>
      </c>
    </row>
    <row r="9487" spans="1:12" ht="15.75" thickBot="1" x14ac:dyDescent="0.3">
      <c r="A9487" s="105" t="s">
        <v>31</v>
      </c>
      <c r="B9487" s="36">
        <v>44288</v>
      </c>
      <c r="C9487" s="4">
        <v>194</v>
      </c>
      <c r="D9487" s="21">
        <f t="shared" si="809"/>
        <v>30672</v>
      </c>
      <c r="F9487" s="57">
        <f t="shared" si="810"/>
        <v>328</v>
      </c>
      <c r="G9487" s="238">
        <f>SUM(C9487,C9463,C9439,C9415,C9391,C9367,C9343,C9319,C9295,C9271,C9247,C9223,C9199,C9175)/POBLA!$B$6*100000</f>
        <v>404.71055968008591</v>
      </c>
      <c r="H9487" s="295">
        <f t="shared" si="811"/>
        <v>1.3863080684596576</v>
      </c>
    </row>
    <row r="9488" spans="1:12" ht="15.75" thickBot="1" x14ac:dyDescent="0.3">
      <c r="A9488" s="105" t="s">
        <v>21</v>
      </c>
      <c r="B9488" s="36">
        <v>44288</v>
      </c>
      <c r="C9488" s="4">
        <v>697</v>
      </c>
      <c r="D9488" s="21">
        <f t="shared" si="809"/>
        <v>182524</v>
      </c>
      <c r="E9488" s="4">
        <v>7</v>
      </c>
      <c r="F9488" s="57">
        <f t="shared" si="810"/>
        <v>3045</v>
      </c>
      <c r="G9488" s="238">
        <f>SUM(C9488,C9464,C9440,C9416,C9392,C9368,C9344,C9320,C9296,C9272,C9248,C9224,C9200,C9176)/POBLA!$B$7*100000</f>
        <v>299.96410004121844</v>
      </c>
      <c r="H9488" s="295">
        <f t="shared" si="811"/>
        <v>1.3974231912784936</v>
      </c>
    </row>
    <row r="9489" spans="1:8" ht="15.75" thickBot="1" x14ac:dyDescent="0.3">
      <c r="A9489" s="105" t="s">
        <v>32</v>
      </c>
      <c r="B9489" s="36">
        <v>44288</v>
      </c>
      <c r="C9489" s="4">
        <v>160</v>
      </c>
      <c r="D9489" s="21">
        <f t="shared" si="809"/>
        <v>50335</v>
      </c>
      <c r="E9489" s="4">
        <v>1</v>
      </c>
      <c r="F9489" s="57">
        <f t="shared" si="810"/>
        <v>949</v>
      </c>
      <c r="G9489" s="238">
        <f>SUM(C9489,C9465,C9441,C9417,C9393,C9369,C9345,C9321,C9297,C9273,C9249,C9225,C9201,C9177)/POBLA!$B$8*100000</f>
        <v>179.44227867883728</v>
      </c>
      <c r="H9489" s="295">
        <f t="shared" si="811"/>
        <v>1.2360834990059641</v>
      </c>
    </row>
    <row r="9490" spans="1:8" ht="15.75" thickBot="1" x14ac:dyDescent="0.3">
      <c r="A9490" s="105" t="s">
        <v>42</v>
      </c>
      <c r="B9490" s="36">
        <v>44288</v>
      </c>
      <c r="C9490" s="4">
        <v>0</v>
      </c>
      <c r="D9490" s="21">
        <f t="shared" si="809"/>
        <v>2294</v>
      </c>
      <c r="F9490" s="57">
        <f t="shared" si="810"/>
        <v>36</v>
      </c>
      <c r="G9490" s="238">
        <f>SUM(C9490,C9466,C9442,C9418,C9394,C9370,C9346,C9322,C9298,C9274,C9250,C9226,C9202,C9178)/POBLA!$B$9*100000</f>
        <v>100.629055524436</v>
      </c>
      <c r="H9490" s="295">
        <f t="shared" si="811"/>
        <v>1.75</v>
      </c>
    </row>
    <row r="9491" spans="1:8" ht="15.75" thickBot="1" x14ac:dyDescent="0.3">
      <c r="A9491" s="105" t="s">
        <v>33</v>
      </c>
      <c r="B9491" s="36">
        <v>44288</v>
      </c>
      <c r="C9491" s="4">
        <v>52</v>
      </c>
      <c r="D9491" s="21">
        <f t="shared" si="809"/>
        <v>22585</v>
      </c>
      <c r="E9491" s="4">
        <v>3</v>
      </c>
      <c r="F9491" s="57">
        <f t="shared" si="810"/>
        <v>974</v>
      </c>
      <c r="G9491" s="238">
        <f>SUM(C9491,C9467,C9443,C9419,C9395,C9371,C9347,C9323,C9299,C9275,C9251,C9227,C9203,C9179)/POBLA!$B$10*100000</f>
        <v>83.540779964741631</v>
      </c>
      <c r="H9491" s="295">
        <f t="shared" si="811"/>
        <v>0.81313131313131315</v>
      </c>
    </row>
    <row r="9492" spans="1:8" ht="15.75" thickBot="1" x14ac:dyDescent="0.3">
      <c r="A9492" s="105" t="s">
        <v>34</v>
      </c>
      <c r="B9492" s="36">
        <v>44288</v>
      </c>
      <c r="C9492" s="4">
        <v>67</v>
      </c>
      <c r="D9492" s="21">
        <f t="shared" si="809"/>
        <v>21452</v>
      </c>
      <c r="F9492" s="57">
        <f t="shared" si="810"/>
        <v>322</v>
      </c>
      <c r="G9492" s="238">
        <f>SUM(C9492,C9468,C9444,C9420,C9396,C9372,C9348,C9324,C9300,C9276,C9252,C9228,C9204,C9180)/POBLA!$B$11*100000</f>
        <v>299.36277299764527</v>
      </c>
      <c r="H9492" s="295">
        <f t="shared" si="811"/>
        <v>0.88312757201646086</v>
      </c>
    </row>
    <row r="9493" spans="1:8" ht="15.75" thickBot="1" x14ac:dyDescent="0.3">
      <c r="A9493" s="105" t="s">
        <v>22</v>
      </c>
      <c r="B9493" s="36">
        <v>44288</v>
      </c>
      <c r="C9493" s="4">
        <v>51</v>
      </c>
      <c r="D9493" s="21">
        <f t="shared" si="809"/>
        <v>11204</v>
      </c>
      <c r="F9493" s="57">
        <f t="shared" si="810"/>
        <v>449</v>
      </c>
      <c r="G9493" s="238">
        <f>SUM(C9493,C9469,C9445,C9421,C9397,C9373,C9349,C9325,C9301,C9277,C9253,C9229,C9205,C9181)/POBLA!$B$12*100000</f>
        <v>141.79314971374555</v>
      </c>
      <c r="H9493" s="295">
        <f t="shared" si="811"/>
        <v>1.7602523659305993</v>
      </c>
    </row>
    <row r="9494" spans="1:8" ht="15.75" thickBot="1" x14ac:dyDescent="0.3">
      <c r="A9494" s="105" t="s">
        <v>18</v>
      </c>
      <c r="B9494" s="36">
        <v>44288</v>
      </c>
      <c r="C9494" s="4">
        <v>235</v>
      </c>
      <c r="D9494" s="21">
        <f t="shared" si="809"/>
        <v>73730</v>
      </c>
      <c r="F9494" s="57">
        <f t="shared" si="810"/>
        <v>1513</v>
      </c>
      <c r="G9494" s="238">
        <f>SUM(C9494,C9470,C9446,C9422,C9398,C9374,C9350,C9326,C9302,C9278,C9254,C9230,C9206,C9182)/POBLA!$B$13*100000</f>
        <v>175.44758729421838</v>
      </c>
      <c r="H9494" s="295">
        <f t="shared" si="811"/>
        <v>1.5937927886809675</v>
      </c>
    </row>
    <row r="9495" spans="1:8" ht="15.75" thickBot="1" x14ac:dyDescent="0.3">
      <c r="A9495" s="105" t="s">
        <v>24</v>
      </c>
      <c r="B9495" s="36">
        <v>44288</v>
      </c>
      <c r="C9495" s="4">
        <v>89</v>
      </c>
      <c r="D9495" s="21">
        <f t="shared" si="809"/>
        <v>12243</v>
      </c>
      <c r="F9495" s="57">
        <f t="shared" si="810"/>
        <v>207</v>
      </c>
      <c r="G9495" s="238">
        <f>SUM(C9495,C9471,C9447,C9423,C9399,C9375,C9351,C9327,C9303,C9279,C9255,C9231,C9207,C9183)/POBLA!$B$14*100000</f>
        <v>131.76943678476232</v>
      </c>
      <c r="H9495" s="295">
        <f t="shared" si="811"/>
        <v>0.99164677804295942</v>
      </c>
    </row>
    <row r="9496" spans="1:8" ht="15.75" thickBot="1" x14ac:dyDescent="0.3">
      <c r="A9496" s="105" t="s">
        <v>20</v>
      </c>
      <c r="B9496" s="36">
        <v>44288</v>
      </c>
      <c r="C9496" s="4">
        <v>60</v>
      </c>
      <c r="D9496" s="21">
        <f t="shared" si="809"/>
        <v>65371</v>
      </c>
      <c r="F9496" s="57">
        <f t="shared" si="810"/>
        <v>1010</v>
      </c>
      <c r="G9496" s="238">
        <f>SUM(C9496,C9472,C9448,C9424,C9400,C9376,C9352,C9328,C9304,C9280,C9256,C9232,C9208,C9184)/POBLA!$B$15*100000</f>
        <v>220.16182345792603</v>
      </c>
      <c r="H9496" s="295">
        <f t="shared" si="811"/>
        <v>0.79542981501632204</v>
      </c>
    </row>
    <row r="9497" spans="1:8" ht="15.75" thickBot="1" x14ac:dyDescent="0.3">
      <c r="A9497" s="105" t="s">
        <v>19</v>
      </c>
      <c r="B9497" s="36">
        <v>44288</v>
      </c>
      <c r="C9497" s="4">
        <v>36</v>
      </c>
      <c r="D9497" s="21">
        <f t="shared" si="809"/>
        <v>55589</v>
      </c>
      <c r="E9497" s="4">
        <v>2</v>
      </c>
      <c r="F9497" s="57">
        <f t="shared" si="810"/>
        <v>1284</v>
      </c>
      <c r="G9497" s="238">
        <f>SUM(C9497,C9473,C9449,C9425,C9401,C9377,C9353,C9329,C9305,C9281,C9257,C9233,C9209,C9185)/POBLA!$B$16*100000</f>
        <v>173.08489720576236</v>
      </c>
      <c r="H9497" s="295">
        <f t="shared" si="811"/>
        <v>1.0237341772151898</v>
      </c>
    </row>
    <row r="9498" spans="1:8" ht="15.75" thickBot="1" x14ac:dyDescent="0.3">
      <c r="A9498" s="105" t="s">
        <v>35</v>
      </c>
      <c r="B9498" s="36">
        <v>44288</v>
      </c>
      <c r="C9498" s="4">
        <v>67</v>
      </c>
      <c r="D9498" s="21">
        <f t="shared" si="809"/>
        <v>29592</v>
      </c>
      <c r="F9498" s="57">
        <f t="shared" si="810"/>
        <v>1205</v>
      </c>
      <c r="G9498" s="238">
        <f>SUM(C9498,C9474,C9450,C9426,C9402,C9378,C9354,C9330,C9306,C9282,C9258,C9234,C9210,C9186)/POBLA!$B$17*100000</f>
        <v>101.30602633956684</v>
      </c>
      <c r="H9498" s="295">
        <f t="shared" si="811"/>
        <v>1.055596196049744</v>
      </c>
    </row>
    <row r="9499" spans="1:8" ht="15.75" thickBot="1" x14ac:dyDescent="0.3">
      <c r="A9499" s="105" t="s">
        <v>36</v>
      </c>
      <c r="B9499" s="36">
        <v>44288</v>
      </c>
      <c r="C9499" s="4">
        <v>43</v>
      </c>
      <c r="D9499" s="21">
        <f t="shared" si="809"/>
        <v>17436</v>
      </c>
      <c r="F9499" s="57">
        <f t="shared" si="810"/>
        <v>224</v>
      </c>
      <c r="G9499" s="238">
        <f>SUM(C9499,C9475,C9451,C9427,C9403,C9379,C9355,C9331,C9307,C9283,C9259,C9235,C9211,C9187)/POBLA!$B$18*100000</f>
        <v>149.25430450182216</v>
      </c>
      <c r="H9499" s="295">
        <f t="shared" si="811"/>
        <v>1.5525965379494009</v>
      </c>
    </row>
    <row r="9500" spans="1:8" ht="15.75" thickBot="1" x14ac:dyDescent="0.3">
      <c r="A9500" s="105" t="s">
        <v>37</v>
      </c>
      <c r="B9500" s="36">
        <v>44288</v>
      </c>
      <c r="C9500" s="4">
        <v>141</v>
      </c>
      <c r="D9500" s="21">
        <f t="shared" si="809"/>
        <v>23190</v>
      </c>
      <c r="F9500" s="57">
        <f t="shared" si="810"/>
        <v>430</v>
      </c>
      <c r="G9500" s="238">
        <f>SUM(C9500,C9476,C9452,C9428,C9404,C9380,C9356,C9332,C9308,C9284,C9260,C9236,C9212,C9188)/POBLA!$B$19*100000</f>
        <v>322.42961237626099</v>
      </c>
      <c r="H9500" s="295">
        <f t="shared" si="811"/>
        <v>2.1853333333333333</v>
      </c>
    </row>
    <row r="9501" spans="1:8" ht="15.75" thickBot="1" x14ac:dyDescent="0.3">
      <c r="A9501" s="105" t="s">
        <v>38</v>
      </c>
      <c r="B9501" s="36">
        <v>44288</v>
      </c>
      <c r="C9501" s="4">
        <v>58</v>
      </c>
      <c r="D9501" s="21">
        <f t="shared" si="809"/>
        <v>39641</v>
      </c>
      <c r="F9501" s="57">
        <f t="shared" si="810"/>
        <v>642</v>
      </c>
      <c r="G9501" s="238">
        <f>SUM(C9501,C9477,C9453,C9429,C9405,C9381,C9357,C9333,C9309,C9285,C9261,C9237,C9213,C9189)/POBLA!$B$20*100000</f>
        <v>450.37161811111901</v>
      </c>
      <c r="H9501" s="295">
        <f t="shared" si="811"/>
        <v>1.1656050955414012</v>
      </c>
    </row>
    <row r="9502" spans="1:8" ht="15.75" thickBot="1" x14ac:dyDescent="0.3">
      <c r="A9502" s="105" t="s">
        <v>23</v>
      </c>
      <c r="B9502" s="36">
        <v>44288</v>
      </c>
      <c r="C9502" s="4">
        <v>469</v>
      </c>
      <c r="D9502" s="21">
        <f t="shared" si="809"/>
        <v>232985</v>
      </c>
      <c r="F9502" s="57">
        <f t="shared" si="810"/>
        <v>4273</v>
      </c>
      <c r="G9502" s="238">
        <f>SUM(C9502,C9478,C9454,C9430,C9406,C9382,C9358,C9334,C9310,C9286,C9262,C9238,C9214,C9190)/POBLA!$B$21*100000</f>
        <v>230.48745934445532</v>
      </c>
      <c r="H9502" s="295">
        <f t="shared" si="811"/>
        <v>1.3281733746130031</v>
      </c>
    </row>
    <row r="9503" spans="1:8" ht="15.75" thickBot="1" x14ac:dyDescent="0.3">
      <c r="A9503" s="105" t="s">
        <v>39</v>
      </c>
      <c r="B9503" s="36">
        <v>44288</v>
      </c>
      <c r="C9503" s="4">
        <v>104</v>
      </c>
      <c r="D9503" s="21">
        <f t="shared" si="809"/>
        <v>25405</v>
      </c>
      <c r="F9503" s="57">
        <f t="shared" si="810"/>
        <v>297</v>
      </c>
      <c r="G9503" s="238">
        <f>SUM(C9503,C9479,C9455,C9431,C9407,C9383,C9359,C9335,C9311,C9287,C9263,C9239,C9215,C9191)/POBLA!$B$22*100000</f>
        <v>149.84979244883795</v>
      </c>
      <c r="H9503" s="295">
        <f t="shared" si="811"/>
        <v>1.4943934760448523</v>
      </c>
    </row>
    <row r="9504" spans="1:8" ht="15.75" thickBot="1" x14ac:dyDescent="0.3">
      <c r="A9504" s="105" t="s">
        <v>40</v>
      </c>
      <c r="B9504" s="36">
        <v>44288</v>
      </c>
      <c r="C9504" s="4">
        <v>68</v>
      </c>
      <c r="D9504" s="21">
        <f t="shared" si="809"/>
        <v>24213</v>
      </c>
      <c r="F9504" s="57">
        <f t="shared" si="810"/>
        <v>367</v>
      </c>
      <c r="G9504" s="238">
        <f>SUM(C9504,C9480,C9456,C9432,C9408,C9384,C9360,C9336,C9312,C9288,C9264,C9240,C9216,C9192)/POBLA!$B$23*100000</f>
        <v>382.28807329073118</v>
      </c>
      <c r="H9504" s="295">
        <f t="shared" si="811"/>
        <v>1.6568627450980393</v>
      </c>
    </row>
    <row r="9505" spans="1:8" ht="15.75" thickBot="1" x14ac:dyDescent="0.3">
      <c r="A9505" s="106" t="s">
        <v>41</v>
      </c>
      <c r="B9505" s="36">
        <v>44288</v>
      </c>
      <c r="C9505" s="4">
        <v>265</v>
      </c>
      <c r="D9505" s="98">
        <f t="shared" si="809"/>
        <v>88657</v>
      </c>
      <c r="F9505" s="255">
        <f t="shared" si="810"/>
        <v>1502</v>
      </c>
      <c r="G9505" s="256">
        <f>SUM(C9505,C9481,C9457,C9433,C9409,C9385,C9361,C9337,C9313,C9289,C9265,C9241,C9217,C9193)/POBLA!$B$24*100000</f>
        <v>294.63206692095622</v>
      </c>
      <c r="H9505" s="296">
        <f t="shared" si="811"/>
        <v>1.6738183037210861</v>
      </c>
    </row>
    <row r="9506" spans="1:8" ht="15.75" thickBot="1" x14ac:dyDescent="0.3">
      <c r="A9506" s="45" t="s">
        <v>17</v>
      </c>
      <c r="B9506" s="36">
        <v>44289</v>
      </c>
      <c r="C9506" s="62">
        <v>5306</v>
      </c>
      <c r="D9506" s="97">
        <f t="shared" si="809"/>
        <v>1004976</v>
      </c>
      <c r="E9506" s="4">
        <v>53</v>
      </c>
      <c r="F9506" s="250">
        <f t="shared" si="810"/>
        <v>28351</v>
      </c>
      <c r="G9506" s="251">
        <f>SUM(C9506,C9482,C9458,C9434,C9410,C9386,C9362,C9338,C9314,C9290,C9266,C9242,C9218,C9194)/POBLA!$B$1*100000</f>
        <v>384.24524379571432</v>
      </c>
      <c r="H9506" s="294">
        <f t="shared" si="811"/>
        <v>1.6600004925744403</v>
      </c>
    </row>
    <row r="9507" spans="1:8" ht="15.75" thickBot="1" x14ac:dyDescent="0.3">
      <c r="A9507" s="105" t="s">
        <v>44</v>
      </c>
      <c r="B9507" s="36">
        <v>44289</v>
      </c>
      <c r="C9507" s="62">
        <v>1888</v>
      </c>
      <c r="D9507" s="21">
        <f t="shared" si="809"/>
        <v>266496</v>
      </c>
      <c r="E9507" s="4">
        <v>8</v>
      </c>
      <c r="F9507" s="57">
        <f t="shared" si="810"/>
        <v>6896</v>
      </c>
      <c r="G9507" s="238">
        <f>SUM(C9507,C9483,C9459,C9435,C9411,C9387,C9363,C9339,C9315,C9291,C9267,C9243,C9219,C9195)/POBLA!$B$2*100000</f>
        <v>615.02526623675158</v>
      </c>
      <c r="H9507" s="295">
        <f t="shared" si="811"/>
        <v>1.6359076364265328</v>
      </c>
    </row>
    <row r="9508" spans="1:8" ht="15.75" thickBot="1" x14ac:dyDescent="0.3">
      <c r="A9508" s="105" t="s">
        <v>29</v>
      </c>
      <c r="B9508" s="36">
        <v>44289</v>
      </c>
      <c r="C9508" s="62">
        <v>83</v>
      </c>
      <c r="D9508" s="21">
        <f t="shared" si="809"/>
        <v>10707</v>
      </c>
      <c r="F9508" s="57">
        <f t="shared" si="810"/>
        <v>18</v>
      </c>
      <c r="G9508" s="238">
        <f>SUM(C9508,C9484,C9460,C9436,C9412,C9388,C9364,C9340,C9316,C9292,C9268,C9244,C9220,C9196)/POBLA!$B$3*100000</f>
        <v>254.91168357251863</v>
      </c>
      <c r="H9508" s="295">
        <f t="shared" si="811"/>
        <v>0.85265700483091789</v>
      </c>
    </row>
    <row r="9509" spans="1:8" ht="15.75" thickBot="1" x14ac:dyDescent="0.3">
      <c r="A9509" s="105" t="s">
        <v>16</v>
      </c>
      <c r="B9509" s="36">
        <v>44289</v>
      </c>
      <c r="C9509" s="62">
        <v>84</v>
      </c>
      <c r="D9509" s="21">
        <f t="shared" si="809"/>
        <v>38945</v>
      </c>
      <c r="E9509" s="4">
        <v>3</v>
      </c>
      <c r="F9509" s="57">
        <f t="shared" si="810"/>
        <v>930</v>
      </c>
      <c r="G9509" s="238">
        <f>SUM(C9509,C9485,C9461,C9437,C9413,C9389,C9365,C9341,C9317,C9293,C9269,C9245,C9221,C9197)/POBLA!$B$4*100000</f>
        <v>174.58932489637132</v>
      </c>
      <c r="H9509" s="295">
        <f t="shared" si="811"/>
        <v>1.1288244766505635</v>
      </c>
    </row>
    <row r="9510" spans="1:8" ht="15.75" thickBot="1" x14ac:dyDescent="0.3">
      <c r="A9510" s="105" t="s">
        <v>30</v>
      </c>
      <c r="B9510" s="36">
        <v>44289</v>
      </c>
      <c r="C9510" s="62">
        <v>41</v>
      </c>
      <c r="D9510" s="21">
        <f t="shared" si="809"/>
        <v>50313</v>
      </c>
      <c r="F9510" s="57">
        <f t="shared" si="810"/>
        <v>870</v>
      </c>
      <c r="G9510" s="238">
        <f>SUM(C9510,C9486,C9462,C9438,C9414,C9390,C9366,C9342,C9318,C9294,C9270,C9246,C9222,C9198)/POBLA!$B$5*100000</f>
        <v>255.73753542037562</v>
      </c>
      <c r="H9510" s="295">
        <f t="shared" si="811"/>
        <v>1.2890879478827362</v>
      </c>
    </row>
    <row r="9511" spans="1:8" ht="15.75" thickBot="1" x14ac:dyDescent="0.3">
      <c r="A9511" s="105" t="s">
        <v>31</v>
      </c>
      <c r="B9511" s="36">
        <v>44289</v>
      </c>
      <c r="C9511" s="62">
        <v>193</v>
      </c>
      <c r="D9511" s="21">
        <f t="shared" si="809"/>
        <v>30865</v>
      </c>
      <c r="F9511" s="57">
        <f t="shared" si="810"/>
        <v>328</v>
      </c>
      <c r="G9511" s="238">
        <f>SUM(C9511,C9487,C9463,C9439,C9415,C9391,C9367,C9343,C9319,C9295,C9271,C9247,C9223,C9199)/POBLA!$B$6*100000</f>
        <v>400.96323968304807</v>
      </c>
      <c r="H9511" s="295">
        <f t="shared" si="811"/>
        <v>1.3495495495495495</v>
      </c>
    </row>
    <row r="9512" spans="1:8" ht="15.75" thickBot="1" x14ac:dyDescent="0.3">
      <c r="A9512" s="105" t="s">
        <v>21</v>
      </c>
      <c r="B9512" s="36">
        <v>44289</v>
      </c>
      <c r="C9512" s="62">
        <v>585</v>
      </c>
      <c r="D9512" s="21">
        <f t="shared" si="809"/>
        <v>183109</v>
      </c>
      <c r="E9512" s="4">
        <v>3</v>
      </c>
      <c r="F9512" s="57">
        <f t="shared" si="810"/>
        <v>3048</v>
      </c>
      <c r="G9512" s="238">
        <f>SUM(C9512,C9488,C9464,C9440,C9416,C9392,C9368,C9344,C9320,C9296,C9272,C9248,C9224,C9200)/POBLA!$B$7*100000</f>
        <v>300.8948397133322</v>
      </c>
      <c r="H9512" s="295">
        <f t="shared" si="811"/>
        <v>1.3781973203410476</v>
      </c>
    </row>
    <row r="9513" spans="1:8" ht="15.75" thickBot="1" x14ac:dyDescent="0.3">
      <c r="A9513" s="105" t="s">
        <v>32</v>
      </c>
      <c r="B9513" s="36">
        <v>44289</v>
      </c>
      <c r="C9513" s="62">
        <v>109</v>
      </c>
      <c r="D9513" s="21">
        <f t="shared" si="809"/>
        <v>50444</v>
      </c>
      <c r="E9513" s="4">
        <v>1</v>
      </c>
      <c r="F9513" s="57">
        <f t="shared" si="810"/>
        <v>950</v>
      </c>
      <c r="G9513" s="238">
        <f>SUM(C9513,C9489,C9465,C9441,C9417,C9393,C9369,C9345,C9321,C9297,C9273,C9249,C9225,C9201)/POBLA!$B$8*100000</f>
        <v>176.48404248027182</v>
      </c>
      <c r="H9513" s="295">
        <f t="shared" si="811"/>
        <v>1.1868025230470645</v>
      </c>
    </row>
    <row r="9514" spans="1:8" ht="15.75" thickBot="1" x14ac:dyDescent="0.3">
      <c r="A9514" s="105" t="s">
        <v>42</v>
      </c>
      <c r="B9514" s="36">
        <v>44289</v>
      </c>
      <c r="C9514" s="62">
        <v>4</v>
      </c>
      <c r="D9514" s="21">
        <f t="shared" si="809"/>
        <v>2298</v>
      </c>
      <c r="E9514" s="4">
        <v>5</v>
      </c>
      <c r="F9514" s="57">
        <f t="shared" si="810"/>
        <v>41</v>
      </c>
      <c r="G9514" s="238">
        <f>SUM(C9514,C9490,C9466,C9442,C9418,C9394,C9370,C9346,C9322,C9298,C9274,C9250,C9226,C9202)/POBLA!$B$9*100000</f>
        <v>100.629055524436</v>
      </c>
      <c r="H9514" s="295">
        <f t="shared" si="811"/>
        <v>1.7449856733524356</v>
      </c>
    </row>
    <row r="9515" spans="1:8" ht="15.75" thickBot="1" x14ac:dyDescent="0.3">
      <c r="A9515" s="105" t="s">
        <v>33</v>
      </c>
      <c r="B9515" s="36">
        <v>44289</v>
      </c>
      <c r="C9515" s="62">
        <v>27</v>
      </c>
      <c r="D9515" s="21">
        <f t="shared" si="809"/>
        <v>22612</v>
      </c>
      <c r="E9515" s="4">
        <v>2</v>
      </c>
      <c r="F9515" s="57">
        <f t="shared" si="810"/>
        <v>976</v>
      </c>
      <c r="G9515" s="238">
        <f>SUM(C9515,C9491,C9467,C9443,C9419,C9395,C9371,C9347,C9323,C9299,C9275,C9251,C9227,C9203)/POBLA!$B$10*100000</f>
        <v>82.892171424642711</v>
      </c>
      <c r="H9515" s="295">
        <f t="shared" si="811"/>
        <v>0.83203125</v>
      </c>
    </row>
    <row r="9516" spans="1:8" ht="15.75" thickBot="1" x14ac:dyDescent="0.3">
      <c r="A9516" s="105" t="s">
        <v>34</v>
      </c>
      <c r="B9516" s="36">
        <v>44289</v>
      </c>
      <c r="C9516" s="62">
        <v>64</v>
      </c>
      <c r="D9516" s="21">
        <f t="shared" si="809"/>
        <v>21516</v>
      </c>
      <c r="F9516" s="57">
        <f t="shared" si="810"/>
        <v>322</v>
      </c>
      <c r="G9516" s="238">
        <f>SUM(C9516,C9492,C9468,C9444,C9420,C9396,C9372,C9348,C9324,C9300,C9276,C9252,C9228,C9204)/POBLA!$B$11*100000</f>
        <v>299.36277299764527</v>
      </c>
      <c r="H9516" s="295">
        <f t="shared" si="811"/>
        <v>0.86184738955823292</v>
      </c>
    </row>
    <row r="9517" spans="1:8" ht="15.75" thickBot="1" x14ac:dyDescent="0.3">
      <c r="A9517" s="105" t="s">
        <v>22</v>
      </c>
      <c r="B9517" s="36">
        <v>44289</v>
      </c>
      <c r="C9517" s="62">
        <v>97</v>
      </c>
      <c r="D9517" s="21">
        <f t="shared" si="809"/>
        <v>11301</v>
      </c>
      <c r="F9517" s="57">
        <f t="shared" si="810"/>
        <v>449</v>
      </c>
      <c r="G9517" s="238">
        <f>SUM(C9517,C9493,C9469,C9445,C9421,C9397,C9373,C9349,C9325,C9301,C9277,C9253,C9229,C9205)/POBLA!$B$12*100000</f>
        <v>159.5808208247889</v>
      </c>
      <c r="H9517" s="295">
        <f t="shared" si="811"/>
        <v>1.9503105590062111</v>
      </c>
    </row>
    <row r="9518" spans="1:8" ht="15.75" thickBot="1" x14ac:dyDescent="0.3">
      <c r="A9518" s="105" t="s">
        <v>18</v>
      </c>
      <c r="B9518" s="36">
        <v>44289</v>
      </c>
      <c r="C9518" s="62">
        <v>271</v>
      </c>
      <c r="D9518" s="21">
        <f t="shared" si="809"/>
        <v>74001</v>
      </c>
      <c r="F9518" s="57">
        <f t="shared" si="810"/>
        <v>1513</v>
      </c>
      <c r="G9518" s="238">
        <f>SUM(C9518,C9494,C9470,C9446,C9422,C9398,C9374,C9350,C9326,C9302,C9278,C9254,C9230,C9206)/POBLA!$B$13*100000</f>
        <v>182.02938395388119</v>
      </c>
      <c r="H9518" s="295">
        <f t="shared" si="811"/>
        <v>1.6415949252378794</v>
      </c>
    </row>
    <row r="9519" spans="1:8" ht="15.75" thickBot="1" x14ac:dyDescent="0.3">
      <c r="A9519" s="105" t="s">
        <v>24</v>
      </c>
      <c r="B9519" s="36">
        <v>44289</v>
      </c>
      <c r="C9519" s="62">
        <v>63</v>
      </c>
      <c r="D9519" s="21">
        <f t="shared" si="809"/>
        <v>12306</v>
      </c>
      <c r="E9519" s="4">
        <v>3</v>
      </c>
      <c r="F9519" s="57">
        <f t="shared" si="810"/>
        <v>210</v>
      </c>
      <c r="G9519" s="238">
        <f>SUM(C9519,C9495,C9471,C9447,C9423,C9399,C9375,C9351,C9327,C9303,C9279,C9255,C9231,C9207)/POBLA!$B$14*100000</f>
        <v>129.39092709550667</v>
      </c>
      <c r="H9519" s="295">
        <f t="shared" si="811"/>
        <v>0.98254063816977721</v>
      </c>
    </row>
    <row r="9520" spans="1:8" ht="15.75" thickBot="1" x14ac:dyDescent="0.3">
      <c r="A9520" s="105" t="s">
        <v>20</v>
      </c>
      <c r="B9520" s="36">
        <v>44289</v>
      </c>
      <c r="C9520" s="62">
        <v>63</v>
      </c>
      <c r="D9520" s="21">
        <f t="shared" si="809"/>
        <v>65434</v>
      </c>
      <c r="E9520" s="4">
        <v>4</v>
      </c>
      <c r="F9520" s="57">
        <f t="shared" si="810"/>
        <v>1014</v>
      </c>
      <c r="G9520" s="238">
        <f>SUM(C9520,C9496,C9472,C9448,C9424,C9400,C9376,C9352,C9328,C9304,C9280,C9256,C9232,C9208)/POBLA!$B$15*100000</f>
        <v>216.39708639469202</v>
      </c>
      <c r="H9520" s="295">
        <f t="shared" si="811"/>
        <v>0.78310626702997277</v>
      </c>
    </row>
    <row r="9521" spans="1:8" ht="15.75" thickBot="1" x14ac:dyDescent="0.3">
      <c r="A9521" s="105" t="s">
        <v>19</v>
      </c>
      <c r="B9521" s="36">
        <v>44289</v>
      </c>
      <c r="C9521" s="62">
        <v>111</v>
      </c>
      <c r="D9521" s="21">
        <f t="shared" si="809"/>
        <v>55700</v>
      </c>
      <c r="F9521" s="57">
        <f t="shared" si="810"/>
        <v>1284</v>
      </c>
      <c r="G9521" s="238">
        <f>SUM(C9521,C9497,C9473,C9449,C9425,C9401,C9377,C9353,C9329,C9305,C9281,C9257,C9233,C9209)/POBLA!$B$16*100000</f>
        <v>176.83016546060111</v>
      </c>
      <c r="H9521" s="295">
        <f t="shared" si="811"/>
        <v>1.0360501567398119</v>
      </c>
    </row>
    <row r="9522" spans="1:8" ht="15.75" thickBot="1" x14ac:dyDescent="0.3">
      <c r="A9522" s="105" t="s">
        <v>35</v>
      </c>
      <c r="B9522" s="36">
        <v>44289</v>
      </c>
      <c r="C9522" s="62">
        <v>74</v>
      </c>
      <c r="D9522" s="21">
        <f t="shared" ref="D9522:D9585" si="812">C9522+D9498</f>
        <v>29666</v>
      </c>
      <c r="F9522" s="57">
        <f t="shared" ref="F9522:F9585" si="813">E9522+F9498</f>
        <v>1205</v>
      </c>
      <c r="G9522" s="238">
        <f>SUM(C9522,C9498,C9474,C9450,C9426,C9402,C9378,C9354,C9330,C9306,C9282,C9258,C9234,C9210)/POBLA!$B$17*100000</f>
        <v>98.427615334769726</v>
      </c>
      <c r="H9522" s="295">
        <f t="shared" ref="H9522:H9545" si="814">SUM(C9522,C9498,C9474,C9450,C9426,C9402,C9378,C9354,C9330,C9306,C9282,C9258,C9234,C9210)/SUM(C9186,C9162,C9138,C9114,C9090,C9066,C9042,C9018,C8994,C8970,C8946,C8922,C8898,C8874)</f>
        <v>0.98732394366197185</v>
      </c>
    </row>
    <row r="9523" spans="1:8" ht="15.75" thickBot="1" x14ac:dyDescent="0.3">
      <c r="A9523" s="105" t="s">
        <v>36</v>
      </c>
      <c r="B9523" s="36">
        <v>44289</v>
      </c>
      <c r="C9523" s="62">
        <v>14</v>
      </c>
      <c r="D9523" s="21">
        <f t="shared" si="812"/>
        <v>17450</v>
      </c>
      <c r="F9523" s="57">
        <f t="shared" si="813"/>
        <v>224</v>
      </c>
      <c r="G9523" s="238">
        <f>SUM(C9523,C9499,C9475,C9451,C9427,C9403,C9379,C9355,C9331,C9307,C9283,C9259,C9235,C9211)/POBLA!$B$18*100000</f>
        <v>145.79815851421563</v>
      </c>
      <c r="H9523" s="295">
        <f t="shared" si="814"/>
        <v>1.4472681067344346</v>
      </c>
    </row>
    <row r="9524" spans="1:8" ht="15.75" thickBot="1" x14ac:dyDescent="0.3">
      <c r="A9524" s="105" t="s">
        <v>37</v>
      </c>
      <c r="B9524" s="36">
        <v>44289</v>
      </c>
      <c r="C9524" s="62">
        <v>243</v>
      </c>
      <c r="D9524" s="21">
        <f t="shared" si="812"/>
        <v>23433</v>
      </c>
      <c r="F9524" s="57">
        <f t="shared" si="813"/>
        <v>430</v>
      </c>
      <c r="G9524" s="238">
        <f>SUM(C9524,C9500,C9476,C9452,C9428,C9404,C9380,C9356,C9332,C9308,C9284,C9260,C9236,C9212)/POBLA!$B$19*100000</f>
        <v>370.03666923718544</v>
      </c>
      <c r="H9524" s="295">
        <f t="shared" si="814"/>
        <v>2.508</v>
      </c>
    </row>
    <row r="9525" spans="1:8" ht="15.75" thickBot="1" x14ac:dyDescent="0.3">
      <c r="A9525" s="105" t="s">
        <v>38</v>
      </c>
      <c r="B9525" s="36">
        <v>44289</v>
      </c>
      <c r="C9525" s="62">
        <v>70</v>
      </c>
      <c r="D9525" s="21">
        <f t="shared" si="812"/>
        <v>39711</v>
      </c>
      <c r="F9525" s="57">
        <f t="shared" si="813"/>
        <v>642</v>
      </c>
      <c r="G9525" s="238">
        <f>SUM(C9525,C9501,C9477,C9453,C9429,C9405,C9381,C9357,C9333,C9309,C9285,C9261,C9237,C9213)/POBLA!$B$20*100000</f>
        <v>428.49564394664452</v>
      </c>
      <c r="H9525" s="295">
        <f t="shared" si="814"/>
        <v>1.0228459530026111</v>
      </c>
    </row>
    <row r="9526" spans="1:8" ht="15.75" thickBot="1" x14ac:dyDescent="0.3">
      <c r="A9526" s="105" t="s">
        <v>23</v>
      </c>
      <c r="B9526" s="36">
        <v>44289</v>
      </c>
      <c r="C9526" s="62">
        <v>495</v>
      </c>
      <c r="D9526" s="21">
        <f t="shared" si="812"/>
        <v>233480</v>
      </c>
      <c r="E9526" s="4">
        <v>1</v>
      </c>
      <c r="F9526" s="57">
        <f t="shared" si="813"/>
        <v>4274</v>
      </c>
      <c r="G9526" s="238">
        <f>SUM(C9526,C9502,C9478,C9454,C9430,C9406,C9382,C9358,C9334,C9310,C9286,C9262,C9238,C9214)/POBLA!$B$21*100000</f>
        <v>233.11723896892278</v>
      </c>
      <c r="H9526" s="295">
        <f t="shared" si="814"/>
        <v>1.3292486294743631</v>
      </c>
    </row>
    <row r="9527" spans="1:8" ht="15.75" thickBot="1" x14ac:dyDescent="0.3">
      <c r="A9527" s="105" t="s">
        <v>39</v>
      </c>
      <c r="B9527" s="36">
        <v>44289</v>
      </c>
      <c r="C9527" s="62">
        <v>142</v>
      </c>
      <c r="D9527" s="21">
        <f t="shared" si="812"/>
        <v>25547</v>
      </c>
      <c r="F9527" s="57">
        <f t="shared" si="813"/>
        <v>297</v>
      </c>
      <c r="G9527" s="238">
        <f>SUM(C9527,C9503,C9479,C9455,C9431,C9407,C9383,C9359,C9335,C9311,C9287,C9263,C9239,C9215)/POBLA!$B$22*100000</f>
        <v>154.65398088341871</v>
      </c>
      <c r="H9527" s="295">
        <f t="shared" si="814"/>
        <v>1.4804305283757337</v>
      </c>
    </row>
    <row r="9528" spans="1:8" ht="15.75" thickBot="1" x14ac:dyDescent="0.3">
      <c r="A9528" s="105" t="s">
        <v>40</v>
      </c>
      <c r="B9528" s="36">
        <v>44289</v>
      </c>
      <c r="C9528" s="62">
        <v>18</v>
      </c>
      <c r="D9528" s="21">
        <f t="shared" si="812"/>
        <v>24231</v>
      </c>
      <c r="F9528" s="57">
        <f t="shared" si="813"/>
        <v>367</v>
      </c>
      <c r="G9528" s="238">
        <f>SUM(C9528,C9504,C9480,C9456,C9432,C9408,C9384,C9360,C9336,C9312,C9288,C9264,C9240,C9216)/POBLA!$B$23*100000</f>
        <v>377.76395408018999</v>
      </c>
      <c r="H9528" s="295">
        <f t="shared" si="814"/>
        <v>1.5754716981132075</v>
      </c>
    </row>
    <row r="9529" spans="1:8" ht="15.75" thickBot="1" x14ac:dyDescent="0.3">
      <c r="A9529" s="106" t="s">
        <v>41</v>
      </c>
      <c r="B9529" s="36">
        <v>44289</v>
      </c>
      <c r="C9529" s="62">
        <v>339</v>
      </c>
      <c r="D9529" s="98">
        <f t="shared" si="812"/>
        <v>88996</v>
      </c>
      <c r="F9529" s="255">
        <f t="shared" si="813"/>
        <v>1502</v>
      </c>
      <c r="G9529" s="256">
        <f>SUM(C9529,C9505,C9481,C9457,C9433,C9409,C9385,C9361,C9337,C9313,C9289,C9265,C9241,C9217)/POBLA!$B$24*100000</f>
        <v>301.1820688092451</v>
      </c>
      <c r="H9529" s="296">
        <f t="shared" si="814"/>
        <v>1.6332800000000001</v>
      </c>
    </row>
    <row r="9530" spans="1:8" ht="15.75" thickBot="1" x14ac:dyDescent="0.3">
      <c r="A9530" s="45" t="s">
        <v>17</v>
      </c>
      <c r="B9530" s="36">
        <v>44290</v>
      </c>
      <c r="C9530" s="62">
        <v>5274</v>
      </c>
      <c r="D9530" s="97">
        <f t="shared" si="812"/>
        <v>1010250</v>
      </c>
      <c r="E9530" s="4">
        <v>76</v>
      </c>
      <c r="F9530" s="250">
        <f t="shared" si="813"/>
        <v>28427</v>
      </c>
      <c r="G9530" s="251">
        <f>SUM(C9530,C9506,C9482,C9458,C9434,C9410,C9386,C9362,C9338,C9314,C9290,C9266,C9242,C9218)/POBLA!$B$1*100000</f>
        <v>404.86533914755034</v>
      </c>
      <c r="H9530" s="294">
        <f t="shared" si="814"/>
        <v>1.7208141507148049</v>
      </c>
    </row>
    <row r="9531" spans="1:8" ht="15.75" thickBot="1" x14ac:dyDescent="0.3">
      <c r="A9531" s="105" t="s">
        <v>44</v>
      </c>
      <c r="B9531" s="36">
        <v>44290</v>
      </c>
      <c r="C9531" s="62">
        <v>1944</v>
      </c>
      <c r="D9531" s="21">
        <f t="shared" si="812"/>
        <v>268440</v>
      </c>
      <c r="E9531" s="4">
        <v>9</v>
      </c>
      <c r="F9531" s="57">
        <f t="shared" si="813"/>
        <v>6905</v>
      </c>
      <c r="G9531" s="238">
        <f>SUM(C9531,C9507,C9483,C9459,C9435,C9411,C9387,C9363,C9339,C9315,C9291,C9267,C9243,C9219)/POBLA!$B$2*100000</f>
        <v>657.97559276977904</v>
      </c>
      <c r="H9531" s="295">
        <f t="shared" si="814"/>
        <v>1.7212724334439058</v>
      </c>
    </row>
    <row r="9532" spans="1:8" ht="15.75" thickBot="1" x14ac:dyDescent="0.3">
      <c r="A9532" s="105" t="s">
        <v>29</v>
      </c>
      <c r="B9532" s="36">
        <v>44290</v>
      </c>
      <c r="C9532" s="62">
        <v>52</v>
      </c>
      <c r="D9532" s="21">
        <f t="shared" si="812"/>
        <v>10759</v>
      </c>
      <c r="F9532" s="57">
        <f t="shared" si="813"/>
        <v>18</v>
      </c>
      <c r="G9532" s="238">
        <f>SUM(C9532,C9508,C9484,C9460,C9436,C9412,C9388,C9364,C9340,C9316,C9292,C9268,C9244,C9220)/POBLA!$B$3*100000</f>
        <v>254.91168357251863</v>
      </c>
      <c r="H9532" s="295">
        <f t="shared" si="814"/>
        <v>0.84855769230769229</v>
      </c>
    </row>
    <row r="9533" spans="1:8" ht="15.75" thickBot="1" x14ac:dyDescent="0.3">
      <c r="A9533" s="105" t="s">
        <v>16</v>
      </c>
      <c r="B9533" s="36">
        <v>44290</v>
      </c>
      <c r="C9533" s="62">
        <v>75</v>
      </c>
      <c r="D9533" s="21">
        <f t="shared" si="812"/>
        <v>39020</v>
      </c>
      <c r="E9533" s="4">
        <v>1</v>
      </c>
      <c r="F9533" s="57">
        <f t="shared" si="813"/>
        <v>931</v>
      </c>
      <c r="G9533" s="238">
        <f>SUM(C9533,C9509,C9485,C9461,C9437,C9413,C9389,C9365,C9341,C9317,C9293,C9269,C9245,C9221)/POBLA!$B$4*100000</f>
        <v>170.8534620241237</v>
      </c>
      <c r="H9533" s="295">
        <f t="shared" si="814"/>
        <v>1.0837282780410742</v>
      </c>
    </row>
    <row r="9534" spans="1:8" ht="15.75" thickBot="1" x14ac:dyDescent="0.3">
      <c r="A9534" s="105" t="s">
        <v>30</v>
      </c>
      <c r="B9534" s="36">
        <v>44290</v>
      </c>
      <c r="C9534" s="62">
        <v>22</v>
      </c>
      <c r="D9534" s="21">
        <f t="shared" si="812"/>
        <v>50335</v>
      </c>
      <c r="F9534" s="57">
        <f t="shared" si="813"/>
        <v>870</v>
      </c>
      <c r="G9534" s="238">
        <f>SUM(C9534,C9510,C9486,C9462,C9438,C9414,C9390,C9366,C9342,C9318,C9294,C9270,C9246,C9222)/POBLA!$B$5*100000</f>
        <v>256.54529769270783</v>
      </c>
      <c r="H9534" s="295">
        <f t="shared" si="814"/>
        <v>1.3200332502078138</v>
      </c>
    </row>
    <row r="9535" spans="1:8" ht="15.75" thickBot="1" x14ac:dyDescent="0.3">
      <c r="A9535" s="105" t="s">
        <v>31</v>
      </c>
      <c r="B9535" s="36">
        <v>44290</v>
      </c>
      <c r="C9535" s="62">
        <v>7</v>
      </c>
      <c r="D9535" s="21">
        <f t="shared" si="812"/>
        <v>30872</v>
      </c>
      <c r="F9535" s="57">
        <f t="shared" si="813"/>
        <v>328</v>
      </c>
      <c r="G9535" s="238">
        <f>SUM(C9535,C9511,C9487,C9463,C9439,C9415,C9391,C9367,C9343,C9319,C9295,C9271,C9247,C9223)/POBLA!$B$6*100000</f>
        <v>393.02249016551553</v>
      </c>
      <c r="H9535" s="295">
        <f t="shared" si="814"/>
        <v>1.3401277760876178</v>
      </c>
    </row>
    <row r="9536" spans="1:8" ht="15.75" thickBot="1" x14ac:dyDescent="0.3">
      <c r="A9536" s="105" t="s">
        <v>21</v>
      </c>
      <c r="B9536" s="36">
        <v>44290</v>
      </c>
      <c r="C9536" s="62">
        <v>755</v>
      </c>
      <c r="D9536" s="21">
        <f t="shared" si="812"/>
        <v>183864</v>
      </c>
      <c r="E9536" s="4">
        <v>5</v>
      </c>
      <c r="F9536" s="57">
        <f t="shared" si="813"/>
        <v>3053</v>
      </c>
      <c r="G9536" s="238">
        <f>SUM(C9536,C9512,C9488,C9464,C9440,C9416,C9392,C9368,C9344,C9320,C9296,C9272,C9248,C9224)/POBLA!$B$7*100000</f>
        <v>310.20223643446928</v>
      </c>
      <c r="H9536" s="295">
        <f t="shared" si="814"/>
        <v>1.3955018542887905</v>
      </c>
    </row>
    <row r="9537" spans="1:8" ht="15.75" thickBot="1" x14ac:dyDescent="0.3">
      <c r="A9537" s="105" t="s">
        <v>32</v>
      </c>
      <c r="B9537" s="36">
        <v>44290</v>
      </c>
      <c r="C9537" s="62">
        <v>156</v>
      </c>
      <c r="D9537" s="21">
        <f t="shared" si="812"/>
        <v>50600</v>
      </c>
      <c r="F9537" s="57">
        <f t="shared" si="813"/>
        <v>950</v>
      </c>
      <c r="G9537" s="238">
        <f>SUM(C9537,C9513,C9489,C9465,C9441,C9417,C9393,C9369,C9345,C9321,C9297,C9273,C9249,C9225)/POBLA!$B$8*100000</f>
        <v>178.57645344998886</v>
      </c>
      <c r="H9537" s="295">
        <f t="shared" si="814"/>
        <v>1.1608818011257036</v>
      </c>
    </row>
    <row r="9538" spans="1:8" ht="15.75" thickBot="1" x14ac:dyDescent="0.3">
      <c r="A9538" s="105" t="s">
        <v>42</v>
      </c>
      <c r="B9538" s="36">
        <v>44290</v>
      </c>
      <c r="C9538" s="62">
        <v>21</v>
      </c>
      <c r="D9538" s="21">
        <f t="shared" si="812"/>
        <v>2319</v>
      </c>
      <c r="F9538" s="57">
        <f t="shared" si="813"/>
        <v>41</v>
      </c>
      <c r="G9538" s="238">
        <f>SUM(C9538,C9514,C9490,C9466,C9442,C9418,C9394,C9370,C9346,C9322,C9298,C9274,C9250,C9226)/POBLA!$B$9*100000</f>
        <v>103.1076036900625</v>
      </c>
      <c r="H9538" s="295">
        <f t="shared" si="814"/>
        <v>1.9082568807339451</v>
      </c>
    </row>
    <row r="9539" spans="1:8" ht="15.75" thickBot="1" x14ac:dyDescent="0.3">
      <c r="A9539" s="105" t="s">
        <v>33</v>
      </c>
      <c r="B9539" s="36">
        <v>44290</v>
      </c>
      <c r="C9539" s="62">
        <v>35</v>
      </c>
      <c r="D9539" s="21">
        <f t="shared" si="812"/>
        <v>22647</v>
      </c>
      <c r="F9539" s="57">
        <f t="shared" si="813"/>
        <v>976</v>
      </c>
      <c r="G9539" s="238">
        <f>SUM(C9539,C9515,C9491,C9467,C9443,C9419,C9395,C9371,C9347,C9323,C9299,C9275,C9251,C9227)/POBLA!$B$10*100000</f>
        <v>80.816624096326152</v>
      </c>
      <c r="H9539" s="295">
        <f t="shared" si="814"/>
        <v>0.8165137614678899</v>
      </c>
    </row>
    <row r="9540" spans="1:8" ht="15.75" thickBot="1" x14ac:dyDescent="0.3">
      <c r="A9540" s="105" t="s">
        <v>34</v>
      </c>
      <c r="B9540" s="36">
        <v>44290</v>
      </c>
      <c r="C9540" s="62">
        <v>86</v>
      </c>
      <c r="D9540" s="21">
        <f t="shared" si="812"/>
        <v>21602</v>
      </c>
      <c r="F9540" s="57">
        <f t="shared" si="813"/>
        <v>322</v>
      </c>
      <c r="G9540" s="238">
        <f>SUM(C9540,C9516,C9492,C9468,C9444,C9420,C9396,C9372,C9348,C9324,C9300,C9276,C9252,C9228)/POBLA!$B$11*100000</f>
        <v>310.52261542067026</v>
      </c>
      <c r="H9540" s="295">
        <f t="shared" si="814"/>
        <v>0.89182692307692313</v>
      </c>
    </row>
    <row r="9541" spans="1:8" ht="15.75" thickBot="1" x14ac:dyDescent="0.3">
      <c r="A9541" s="105" t="s">
        <v>22</v>
      </c>
      <c r="B9541" s="36">
        <v>44290</v>
      </c>
      <c r="C9541" s="62">
        <v>60</v>
      </c>
      <c r="D9541" s="21">
        <f t="shared" si="812"/>
        <v>11361</v>
      </c>
      <c r="F9541" s="57">
        <f t="shared" si="813"/>
        <v>449</v>
      </c>
      <c r="G9541" s="238">
        <f>SUM(C9541,C9517,C9493,C9469,C9445,C9421,C9397,C9373,C9349,C9325,C9301,C9277,C9253,C9229)/POBLA!$B$12*100000</f>
        <v>169.49109472951307</v>
      </c>
      <c r="H9541" s="295">
        <f t="shared" si="814"/>
        <v>2.0151057401812689</v>
      </c>
    </row>
    <row r="9542" spans="1:8" ht="15.75" thickBot="1" x14ac:dyDescent="0.3">
      <c r="A9542" s="105" t="s">
        <v>18</v>
      </c>
      <c r="B9542" s="36">
        <v>44290</v>
      </c>
      <c r="C9542" s="62">
        <v>356</v>
      </c>
      <c r="D9542" s="21">
        <f t="shared" si="812"/>
        <v>74357</v>
      </c>
      <c r="F9542" s="57">
        <f t="shared" si="813"/>
        <v>1513</v>
      </c>
      <c r="G9542" s="238">
        <f>SUM(C9542,C9518,C9494,C9470,C9446,C9422,C9398,C9374,C9350,C9326,C9302,C9278,C9254,C9230)/POBLA!$B$13*100000</f>
        <v>196.24807444765662</v>
      </c>
      <c r="H9542" s="295">
        <f t="shared" si="814"/>
        <v>1.7562949640287771</v>
      </c>
    </row>
    <row r="9543" spans="1:8" ht="15.75" thickBot="1" x14ac:dyDescent="0.3">
      <c r="A9543" s="105" t="s">
        <v>24</v>
      </c>
      <c r="B9543" s="36">
        <v>44290</v>
      </c>
      <c r="C9543" s="62">
        <v>3</v>
      </c>
      <c r="D9543" s="21">
        <f t="shared" si="812"/>
        <v>12309</v>
      </c>
      <c r="F9543" s="57">
        <f t="shared" si="813"/>
        <v>210</v>
      </c>
      <c r="G9543" s="238">
        <f>SUM(C9543,C9519,C9495,C9471,C9447,C9423,C9399,C9375,C9351,C9327,C9303,C9279,C9255,C9231)/POBLA!$B$14*100000</f>
        <v>120.03545565110117</v>
      </c>
      <c r="H9543" s="295">
        <f t="shared" si="814"/>
        <v>0.90496114763897195</v>
      </c>
    </row>
    <row r="9544" spans="1:8" ht="15.75" thickBot="1" x14ac:dyDescent="0.3">
      <c r="A9544" s="105" t="s">
        <v>20</v>
      </c>
      <c r="B9544" s="36">
        <v>44290</v>
      </c>
      <c r="C9544" s="62">
        <v>64</v>
      </c>
      <c r="D9544" s="21">
        <f t="shared" si="812"/>
        <v>65498</v>
      </c>
      <c r="F9544" s="57">
        <f t="shared" si="813"/>
        <v>1014</v>
      </c>
      <c r="G9544" s="238">
        <f>SUM(C9544,C9520,C9496,C9472,C9448,C9424,C9400,C9376,C9352,C9328,C9304,C9280,C9256,C9232)/POBLA!$B$15*100000</f>
        <v>216.99944432480947</v>
      </c>
      <c r="H9544" s="295">
        <f t="shared" si="814"/>
        <v>0.81782065834279227</v>
      </c>
    </row>
    <row r="9545" spans="1:8" ht="15.75" thickBot="1" x14ac:dyDescent="0.3">
      <c r="A9545" s="105" t="s">
        <v>19</v>
      </c>
      <c r="B9545" s="36">
        <v>44290</v>
      </c>
      <c r="C9545" s="62">
        <v>31</v>
      </c>
      <c r="D9545" s="21">
        <f t="shared" si="812"/>
        <v>55731</v>
      </c>
      <c r="F9545" s="57">
        <f t="shared" si="813"/>
        <v>1284</v>
      </c>
      <c r="G9545" s="238">
        <f>SUM(C9545,C9521,C9497,C9473,C9449,C9425,C9401,C9377,C9353,C9329,C9305,C9281,C9257,C9233)/POBLA!$B$16*100000</f>
        <v>177.90024210484074</v>
      </c>
      <c r="H9545" s="295">
        <f t="shared" si="814"/>
        <v>1.0350194552529184</v>
      </c>
    </row>
    <row r="9546" spans="1:8" ht="15.75" thickBot="1" x14ac:dyDescent="0.3">
      <c r="A9546" s="105" t="s">
        <v>35</v>
      </c>
      <c r="B9546" s="36">
        <v>44290</v>
      </c>
      <c r="C9546" s="62">
        <v>76</v>
      </c>
      <c r="D9546" s="21">
        <f t="shared" si="812"/>
        <v>29742</v>
      </c>
      <c r="E9546" s="4">
        <v>1</v>
      </c>
      <c r="F9546" s="57">
        <f t="shared" si="813"/>
        <v>1206</v>
      </c>
      <c r="G9546" s="238">
        <f>SUM(C9546,C9522,C9498,C9474,C9450,C9426,C9402,C9378,C9354,C9330,C9306,C9282,C9258,C9234)/POBLA!$B$17*100000</f>
        <v>100.81459031435757</v>
      </c>
      <c r="H9546" s="295">
        <f t="shared" ref="H9546:H9569" si="815">SUM(C9546,C9522,C9498,C9474,C9450,C9426,C9402,C9378,C9354,C9330,C9306,C9282,C9258,C9234)/SUM(C9210,C9186,C9162,C9138,C9114,C9090,C9066,C9042,C9018,C8994,C8970,C8946,C8922,C8898)</f>
        <v>0.99377162629757787</v>
      </c>
    </row>
    <row r="9547" spans="1:8" ht="15.75" thickBot="1" x14ac:dyDescent="0.3">
      <c r="A9547" s="105" t="s">
        <v>36</v>
      </c>
      <c r="B9547" s="36">
        <v>44290</v>
      </c>
      <c r="C9547" s="62">
        <v>27</v>
      </c>
      <c r="D9547" s="21">
        <f t="shared" si="812"/>
        <v>17477</v>
      </c>
      <c r="F9547" s="57">
        <f t="shared" si="813"/>
        <v>224</v>
      </c>
      <c r="G9547" s="238">
        <f>SUM(C9547,C9523,C9499,C9475,C9451,C9427,C9403,C9379,C9355,C9331,C9307,C9283,C9259,C9235)/POBLA!$B$18*100000</f>
        <v>148.7422828740286</v>
      </c>
      <c r="H9547" s="295">
        <f t="shared" si="815"/>
        <v>1.4878361075544173</v>
      </c>
    </row>
    <row r="9548" spans="1:8" ht="15.75" thickBot="1" x14ac:dyDescent="0.3">
      <c r="A9548" s="105" t="s">
        <v>37</v>
      </c>
      <c r="B9548" s="36">
        <v>44290</v>
      </c>
      <c r="C9548" s="62">
        <v>185</v>
      </c>
      <c r="D9548" s="21">
        <f t="shared" si="812"/>
        <v>23618</v>
      </c>
      <c r="F9548" s="57">
        <f t="shared" si="813"/>
        <v>430</v>
      </c>
      <c r="G9548" s="238">
        <f>SUM(C9548,C9524,C9500,C9476,C9452,C9428,C9404,C9380,C9356,C9332,C9308,C9284,C9260,C9236)/POBLA!$B$19*100000</f>
        <v>406.43049369698304</v>
      </c>
      <c r="H9548" s="295">
        <f t="shared" si="815"/>
        <v>2.7546666666666666</v>
      </c>
    </row>
    <row r="9549" spans="1:8" ht="15.75" thickBot="1" x14ac:dyDescent="0.3">
      <c r="A9549" s="105" t="s">
        <v>38</v>
      </c>
      <c r="B9549" s="36">
        <v>44290</v>
      </c>
      <c r="C9549" s="62">
        <v>77</v>
      </c>
      <c r="D9549" s="21">
        <f t="shared" si="812"/>
        <v>39788</v>
      </c>
      <c r="E9549" s="4">
        <v>1</v>
      </c>
      <c r="F9549" s="57">
        <f t="shared" si="813"/>
        <v>643</v>
      </c>
      <c r="G9549" s="238">
        <f>SUM(C9549,C9525,C9501,C9477,C9453,C9429,C9405,C9381,C9357,C9333,C9309,C9285,C9261,C9237)/POBLA!$B$20*100000</f>
        <v>436.9725839353784</v>
      </c>
      <c r="H9549" s="295">
        <f t="shared" si="815"/>
        <v>1.0464963981663393</v>
      </c>
    </row>
    <row r="9550" spans="1:8" ht="15.75" thickBot="1" x14ac:dyDescent="0.3">
      <c r="A9550" s="105" t="s">
        <v>23</v>
      </c>
      <c r="B9550" s="36">
        <v>44290</v>
      </c>
      <c r="C9550" s="62">
        <v>318</v>
      </c>
      <c r="D9550" s="21">
        <f t="shared" si="812"/>
        <v>233798</v>
      </c>
      <c r="F9550" s="57">
        <f t="shared" si="813"/>
        <v>4274</v>
      </c>
      <c r="G9550" s="238">
        <f>SUM(C9550,C9526,C9502,C9478,C9454,C9430,C9406,C9382,C9358,C9334,C9310,C9286,C9262,C9238)/POBLA!$B$21*100000</f>
        <v>235.23802898865461</v>
      </c>
      <c r="H9550" s="295">
        <f t="shared" si="815"/>
        <v>1.3383204633204633</v>
      </c>
    </row>
    <row r="9551" spans="1:8" ht="15.75" thickBot="1" x14ac:dyDescent="0.3">
      <c r="A9551" s="105" t="s">
        <v>39</v>
      </c>
      <c r="B9551" s="36">
        <v>44290</v>
      </c>
      <c r="C9551" s="62">
        <v>89</v>
      </c>
      <c r="D9551" s="21">
        <f t="shared" si="812"/>
        <v>25636</v>
      </c>
      <c r="F9551" s="57">
        <f t="shared" si="813"/>
        <v>297</v>
      </c>
      <c r="G9551" s="238">
        <f>SUM(C9551,C9527,C9503,C9479,C9455,C9431,C9407,C9383,C9359,C9335,C9311,C9287,C9263,C9239)/POBLA!$B$22*100000</f>
        <v>156.59609961229177</v>
      </c>
      <c r="H9551" s="295">
        <f t="shared" si="815"/>
        <v>1.4384976525821596</v>
      </c>
    </row>
    <row r="9552" spans="1:8" ht="15.75" thickBot="1" x14ac:dyDescent="0.3">
      <c r="A9552" s="105" t="s">
        <v>40</v>
      </c>
      <c r="B9552" s="36">
        <v>44290</v>
      </c>
      <c r="C9552" s="62">
        <v>74</v>
      </c>
      <c r="D9552" s="21">
        <f t="shared" si="812"/>
        <v>24305</v>
      </c>
      <c r="F9552" s="57">
        <f t="shared" si="813"/>
        <v>367</v>
      </c>
      <c r="G9552" s="238">
        <f>SUM(C9552,C9528,C9504,C9480,C9456,C9432,C9408,C9384,C9360,C9336,C9312,C9288,C9264,C9240)/POBLA!$B$23*100000</f>
        <v>406.60521404739012</v>
      </c>
      <c r="H9552" s="295">
        <f t="shared" si="815"/>
        <v>1.7536585365853659</v>
      </c>
    </row>
    <row r="9553" spans="1:8" x14ac:dyDescent="0.25">
      <c r="A9553" s="107" t="s">
        <v>41</v>
      </c>
      <c r="B9553" s="29">
        <v>44290</v>
      </c>
      <c r="C9553" s="62">
        <v>168</v>
      </c>
      <c r="D9553" s="59">
        <f t="shared" si="812"/>
        <v>89164</v>
      </c>
      <c r="E9553" s="30"/>
      <c r="F9553" s="100">
        <f t="shared" si="813"/>
        <v>1502</v>
      </c>
      <c r="G9553" s="365">
        <f>SUM(C9553,C9529,C9505,C9481,C9457,C9433,C9409,C9385,C9361,C9337,C9313,C9289,C9265,C9241)/POBLA!$B$24*100000</f>
        <v>304.84062842252348</v>
      </c>
      <c r="H9553" s="366">
        <f t="shared" si="815"/>
        <v>1.6281121966593131</v>
      </c>
    </row>
    <row r="9554" spans="1:8" x14ac:dyDescent="0.25">
      <c r="A9554" s="42" t="s">
        <v>17</v>
      </c>
      <c r="B9554" s="19">
        <v>44291</v>
      </c>
      <c r="C9554" s="5">
        <v>6243</v>
      </c>
      <c r="D9554" s="21">
        <f t="shared" si="812"/>
        <v>1016493</v>
      </c>
      <c r="E9554" s="4">
        <v>163</v>
      </c>
      <c r="F9554" s="57">
        <f t="shared" si="813"/>
        <v>28590</v>
      </c>
      <c r="G9554" s="238">
        <f>SUM(C9554,C9530,C9506,C9482,C9458,C9434,C9410,C9386,C9362,C9338,C9314,C9290,C9266,C9242)/POBLA!$B$1*100000</f>
        <v>425.4797336159603</v>
      </c>
      <c r="H9554" s="378">
        <f t="shared" si="815"/>
        <v>1.7809860163222451</v>
      </c>
    </row>
    <row r="9555" spans="1:8" x14ac:dyDescent="0.25">
      <c r="A9555" s="42" t="s">
        <v>44</v>
      </c>
      <c r="B9555" s="19">
        <v>44291</v>
      </c>
      <c r="C9555" s="5">
        <v>2428</v>
      </c>
      <c r="D9555" s="21">
        <f t="shared" si="812"/>
        <v>270868</v>
      </c>
      <c r="E9555" s="4">
        <v>41</v>
      </c>
      <c r="F9555" s="57">
        <f t="shared" si="813"/>
        <v>6946</v>
      </c>
      <c r="G9555" s="238">
        <f>SUM(C9555,C9531,C9507,C9483,C9459,C9435,C9411,C9387,C9363,C9339,C9315,C9291,C9267,C9243)/POBLA!$B$2*100000</f>
        <v>707.81878018471571</v>
      </c>
      <c r="H9555" s="378">
        <f t="shared" si="815"/>
        <v>1.8203863199264152</v>
      </c>
    </row>
    <row r="9556" spans="1:8" x14ac:dyDescent="0.25">
      <c r="A9556" s="42" t="s">
        <v>29</v>
      </c>
      <c r="B9556" s="19">
        <v>44291</v>
      </c>
      <c r="C9556" s="5">
        <v>110</v>
      </c>
      <c r="D9556" s="21">
        <f t="shared" si="812"/>
        <v>10869</v>
      </c>
      <c r="F9556" s="57">
        <f t="shared" si="813"/>
        <v>18</v>
      </c>
      <c r="G9556" s="238">
        <f>SUM(C9556,C9532,C9508,C9484,C9460,C9436,C9412,C9388,C9364,C9340,C9316,C9292,C9268,C9244)/POBLA!$B$3*100000</f>
        <v>266.70646402110543</v>
      </c>
      <c r="H9556" s="378">
        <f t="shared" si="815"/>
        <v>0.89789303079416527</v>
      </c>
    </row>
    <row r="9557" spans="1:8" x14ac:dyDescent="0.25">
      <c r="A9557" s="42" t="s">
        <v>16</v>
      </c>
      <c r="B9557" s="19">
        <v>44291</v>
      </c>
      <c r="C9557" s="5">
        <v>90</v>
      </c>
      <c r="D9557" s="21">
        <f t="shared" si="812"/>
        <v>39110</v>
      </c>
      <c r="E9557" s="4">
        <v>12</v>
      </c>
      <c r="F9557" s="57">
        <f t="shared" si="813"/>
        <v>943</v>
      </c>
      <c r="G9557" s="238">
        <f>SUM(C9557,C9533,C9509,C9485,C9461,C9437,C9413,C9389,C9365,C9341,C9317,C9293,C9269,C9245)/POBLA!$B$4*100000</f>
        <v>170.18930862461303</v>
      </c>
      <c r="H9557" s="378">
        <f t="shared" si="815"/>
        <v>1.0915867944621938</v>
      </c>
    </row>
    <row r="9558" spans="1:8" x14ac:dyDescent="0.25">
      <c r="A9558" s="42" t="s">
        <v>30</v>
      </c>
      <c r="B9558" s="19">
        <v>44291</v>
      </c>
      <c r="C9558" s="5">
        <v>154</v>
      </c>
      <c r="D9558" s="21">
        <f t="shared" si="812"/>
        <v>50489</v>
      </c>
      <c r="F9558" s="57">
        <f t="shared" si="813"/>
        <v>870</v>
      </c>
      <c r="G9558" s="238">
        <f>SUM(C9558,C9534,C9510,C9486,C9462,C9438,C9414,C9390,C9366,C9342,C9318,C9294,C9270,C9246)/POBLA!$B$5*100000</f>
        <v>262.84584341689907</v>
      </c>
      <c r="H9558" s="378">
        <f t="shared" si="815"/>
        <v>1.3026421136909527</v>
      </c>
    </row>
    <row r="9559" spans="1:8" x14ac:dyDescent="0.25">
      <c r="A9559" s="42" t="s">
        <v>31</v>
      </c>
      <c r="B9559" s="19">
        <v>44291</v>
      </c>
      <c r="C9559" s="5">
        <v>60</v>
      </c>
      <c r="D9559" s="21">
        <f t="shared" si="812"/>
        <v>30932</v>
      </c>
      <c r="E9559" s="4">
        <v>3</v>
      </c>
      <c r="F9559" s="57">
        <f t="shared" si="813"/>
        <v>331</v>
      </c>
      <c r="G9559" s="238">
        <f>SUM(C9559,C9535,C9511,C9487,C9463,C9439,C9415,C9391,C9367,C9343,C9319,C9295,C9271,C9247)/POBLA!$B$6*100000</f>
        <v>382.40508350724167</v>
      </c>
      <c r="H9559" s="378">
        <f t="shared" si="815"/>
        <v>1.3115055079559363</v>
      </c>
    </row>
    <row r="9560" spans="1:8" x14ac:dyDescent="0.25">
      <c r="A9560" s="42" t="s">
        <v>21</v>
      </c>
      <c r="B9560" s="19">
        <v>44291</v>
      </c>
      <c r="C9560" s="5">
        <v>1048</v>
      </c>
      <c r="D9560" s="21">
        <f t="shared" si="812"/>
        <v>184912</v>
      </c>
      <c r="E9560" s="4">
        <v>7</v>
      </c>
      <c r="F9560" s="57">
        <f t="shared" si="813"/>
        <v>3060</v>
      </c>
      <c r="G9560" s="238">
        <f>SUM(C9560,C9536,C9512,C9488,C9464,C9440,C9416,C9392,C9368,C9344,C9320,C9296,C9272,C9248)/POBLA!$B$7*100000</f>
        <v>321.79659349280007</v>
      </c>
      <c r="H9560" s="378">
        <f t="shared" si="815"/>
        <v>1.427173015685812</v>
      </c>
    </row>
    <row r="9561" spans="1:8" x14ac:dyDescent="0.25">
      <c r="A9561" s="42" t="s">
        <v>32</v>
      </c>
      <c r="B9561" s="19">
        <v>44291</v>
      </c>
      <c r="C9561" s="5">
        <v>107</v>
      </c>
      <c r="D9561" s="21">
        <f t="shared" si="812"/>
        <v>50707</v>
      </c>
      <c r="F9561" s="57">
        <f t="shared" si="813"/>
        <v>950</v>
      </c>
      <c r="G9561" s="238">
        <f>SUM(C9561,C9537,C9513,C9489,C9465,C9441,C9417,C9393,C9369,C9345,C9321,C9297,C9273,C9249)/POBLA!$B$8*100000</f>
        <v>173.8144146913225</v>
      </c>
      <c r="H9561" s="378">
        <f t="shared" si="815"/>
        <v>1.085135135135135</v>
      </c>
    </row>
    <row r="9562" spans="1:8" x14ac:dyDescent="0.25">
      <c r="A9562" s="42" t="s">
        <v>42</v>
      </c>
      <c r="B9562" s="19">
        <v>44291</v>
      </c>
      <c r="C9562" s="5">
        <v>30</v>
      </c>
      <c r="D9562" s="21">
        <f t="shared" si="812"/>
        <v>2349</v>
      </c>
      <c r="F9562" s="57">
        <f t="shared" si="813"/>
        <v>41</v>
      </c>
      <c r="G9562" s="238">
        <f>SUM(C9562,C9538,C9514,C9490,C9466,C9442,C9418,C9394,C9370,C9346,C9322,C9298,C9274,C9250)/POBLA!$B$9*100000</f>
        <v>104.42949604506332</v>
      </c>
      <c r="H9562" s="378">
        <f t="shared" si="815"/>
        <v>1.9446153846153846</v>
      </c>
    </row>
    <row r="9563" spans="1:8" x14ac:dyDescent="0.25">
      <c r="A9563" s="42" t="s">
        <v>33</v>
      </c>
      <c r="B9563" s="19">
        <v>44291</v>
      </c>
      <c r="C9563" s="5">
        <v>46</v>
      </c>
      <c r="D9563" s="21">
        <f t="shared" si="812"/>
        <v>22693</v>
      </c>
      <c r="E9563" s="4">
        <v>1</v>
      </c>
      <c r="F9563" s="57">
        <f t="shared" si="813"/>
        <v>977</v>
      </c>
      <c r="G9563" s="238">
        <f>SUM(C9563,C9539,C9515,C9491,C9467,C9443,C9419,C9395,C9371,C9347,C9323,C9299,C9275,C9251)/POBLA!$B$10*100000</f>
        <v>84.578553628899925</v>
      </c>
      <c r="H9563" s="378">
        <f t="shared" si="815"/>
        <v>0.87516778523489935</v>
      </c>
    </row>
    <row r="9564" spans="1:8" x14ac:dyDescent="0.25">
      <c r="A9564" s="42" t="s">
        <v>34</v>
      </c>
      <c r="B9564" s="19">
        <v>44291</v>
      </c>
      <c r="C9564" s="5">
        <v>138</v>
      </c>
      <c r="D9564" s="21">
        <f t="shared" si="812"/>
        <v>21740</v>
      </c>
      <c r="F9564" s="57">
        <f t="shared" si="813"/>
        <v>322</v>
      </c>
      <c r="G9564" s="238">
        <f>SUM(C9564,C9540,C9516,C9492,C9468,C9444,C9420,C9396,C9372,C9348,C9324,C9300,C9276,C9252)/POBLA!$B$11*100000</f>
        <v>330.33133572153963</v>
      </c>
      <c r="H9564" s="378">
        <f t="shared" si="815"/>
        <v>0.9502407704654896</v>
      </c>
    </row>
    <row r="9565" spans="1:8" x14ac:dyDescent="0.25">
      <c r="A9565" s="42" t="s">
        <v>22</v>
      </c>
      <c r="B9565" s="19">
        <v>44291</v>
      </c>
      <c r="C9565" s="5">
        <v>43</v>
      </c>
      <c r="D9565" s="21">
        <f t="shared" si="812"/>
        <v>11404</v>
      </c>
      <c r="F9565" s="57">
        <f t="shared" si="813"/>
        <v>449</v>
      </c>
      <c r="G9565" s="238">
        <f>SUM(C9565,C9541,C9517,C9493,C9469,C9445,C9421,C9397,C9373,C9349,C9325,C9301,C9277,C9253)/POBLA!$B$12*100000</f>
        <v>176.35205358662978</v>
      </c>
      <c r="H9565" s="378">
        <f t="shared" si="815"/>
        <v>2.103030303030303</v>
      </c>
    </row>
    <row r="9566" spans="1:8" x14ac:dyDescent="0.25">
      <c r="A9566" s="42" t="s">
        <v>18</v>
      </c>
      <c r="B9566" s="19">
        <v>44291</v>
      </c>
      <c r="C9566" s="5">
        <v>597</v>
      </c>
      <c r="D9566" s="21">
        <f t="shared" si="812"/>
        <v>74954</v>
      </c>
      <c r="E9566" s="4">
        <v>6</v>
      </c>
      <c r="F9566" s="57">
        <f t="shared" si="813"/>
        <v>1519</v>
      </c>
      <c r="G9566" s="238">
        <f>SUM(C9566,C9542,C9518,C9494,C9470,C9446,C9422,C9398,C9374,C9350,C9326,C9302,C9278,C9254)/POBLA!$B$13*100000</f>
        <v>220.06312495666566</v>
      </c>
      <c r="H9566" s="378">
        <f t="shared" si="815"/>
        <v>1.9738621000450653</v>
      </c>
    </row>
    <row r="9567" spans="1:8" x14ac:dyDescent="0.25">
      <c r="A9567" s="42" t="s">
        <v>24</v>
      </c>
      <c r="B9567" s="19">
        <v>44291</v>
      </c>
      <c r="C9567" s="5">
        <v>87</v>
      </c>
      <c r="D9567" s="21">
        <f t="shared" si="812"/>
        <v>12396</v>
      </c>
      <c r="E9567" s="4">
        <v>1</v>
      </c>
      <c r="F9567" s="57">
        <f t="shared" si="813"/>
        <v>211</v>
      </c>
      <c r="G9567" s="238">
        <f>SUM(C9567,C9543,C9519,C9495,C9471,C9447,C9423,C9399,C9375,C9351,C9327,C9303,C9279,C9255)/POBLA!$B$14*100000</f>
        <v>118.44978252493075</v>
      </c>
      <c r="H9567" s="378">
        <f t="shared" si="815"/>
        <v>0.89407540394973073</v>
      </c>
    </row>
    <row r="9568" spans="1:8" x14ac:dyDescent="0.25">
      <c r="A9568" s="42" t="s">
        <v>20</v>
      </c>
      <c r="B9568" s="19">
        <v>44291</v>
      </c>
      <c r="C9568" s="5">
        <v>192</v>
      </c>
      <c r="D9568" s="21">
        <f t="shared" si="812"/>
        <v>65690</v>
      </c>
      <c r="F9568" s="57">
        <f t="shared" si="813"/>
        <v>1014</v>
      </c>
      <c r="G9568" s="238">
        <f>SUM(C9568,C9544,C9520,C9496,C9472,C9448,C9424,C9400,C9376,C9352,C9328,C9304,C9280,C9256)/POBLA!$B$15*100000</f>
        <v>225.13127638139497</v>
      </c>
      <c r="H9568" s="378">
        <f t="shared" si="815"/>
        <v>0.8436794582392777</v>
      </c>
    </row>
    <row r="9569" spans="1:8" x14ac:dyDescent="0.25">
      <c r="A9569" s="42" t="s">
        <v>19</v>
      </c>
      <c r="B9569" s="19">
        <v>44291</v>
      </c>
      <c r="C9569" s="5">
        <v>147</v>
      </c>
      <c r="D9569" s="21">
        <f t="shared" si="812"/>
        <v>55878</v>
      </c>
      <c r="E9569" s="4">
        <v>3</v>
      </c>
      <c r="F9569" s="57">
        <f t="shared" si="813"/>
        <v>1287</v>
      </c>
      <c r="G9569" s="238">
        <f>SUM(C9569,C9545,C9521,C9497,C9473,C9449,C9425,C9401,C9377,C9353,C9329,C9305,C9281,C9257)/POBLA!$B$16*100000</f>
        <v>184.18694238974868</v>
      </c>
      <c r="H9569" s="378">
        <f t="shared" si="815"/>
        <v>1.0808477237048666</v>
      </c>
    </row>
    <row r="9570" spans="1:8" x14ac:dyDescent="0.25">
      <c r="A9570" s="42" t="s">
        <v>35</v>
      </c>
      <c r="B9570" s="19">
        <v>44291</v>
      </c>
      <c r="C9570" s="5">
        <v>82</v>
      </c>
      <c r="D9570" s="21">
        <f t="shared" si="812"/>
        <v>29824</v>
      </c>
      <c r="E9570" s="4">
        <v>8</v>
      </c>
      <c r="F9570" s="57">
        <f t="shared" si="813"/>
        <v>1214</v>
      </c>
      <c r="G9570" s="238">
        <f>SUM(C9570,C9546,C9522,C9498,C9474,C9450,C9426,C9402,C9378,C9354,C9330,C9306,C9282,C9258)/POBLA!$B$17*100000</f>
        <v>100.32315428914831</v>
      </c>
      <c r="H9570" s="378">
        <f t="shared" ref="H9570:H9593" si="816">SUM(C9570,C9546,C9522,C9498,C9474,C9450,C9426,C9402,C9378,C9354,C9330,C9306,C9282,C9258)/SUM(C9234,C9210,C9186,C9162,C9138,C9114,C9090,C9066,C9042,C9018,C8994,C8970,C8946,C8922)</f>
        <v>0.95841716968477531</v>
      </c>
    </row>
    <row r="9571" spans="1:8" x14ac:dyDescent="0.25">
      <c r="A9571" s="42" t="s">
        <v>36</v>
      </c>
      <c r="B9571" s="19">
        <v>44291</v>
      </c>
      <c r="C9571" s="5">
        <v>144</v>
      </c>
      <c r="D9571" s="21">
        <f t="shared" si="812"/>
        <v>17621</v>
      </c>
      <c r="F9571" s="57">
        <f t="shared" si="813"/>
        <v>224</v>
      </c>
      <c r="G9571" s="238">
        <f>SUM(C9571,C9547,C9523,C9499,C9475,C9451,C9427,C9403,C9379,C9355,C9331,C9307,C9283,C9259)/POBLA!$B$18*100000</f>
        <v>157.44665054651909</v>
      </c>
      <c r="H9571" s="378">
        <f t="shared" si="816"/>
        <v>1.5789473684210527</v>
      </c>
    </row>
    <row r="9572" spans="1:8" x14ac:dyDescent="0.25">
      <c r="A9572" s="42" t="s">
        <v>37</v>
      </c>
      <c r="B9572" s="19">
        <v>44291</v>
      </c>
      <c r="C9572" s="5">
        <v>270</v>
      </c>
      <c r="D9572" s="21">
        <f t="shared" si="812"/>
        <v>23888</v>
      </c>
      <c r="E9572" s="4">
        <v>8</v>
      </c>
      <c r="F9572" s="57">
        <f t="shared" si="813"/>
        <v>438</v>
      </c>
      <c r="G9572" s="238">
        <f>SUM(C9572,C9548,C9524,C9500,C9476,C9452,C9428,C9404,C9380,C9356,C9332,C9308,C9284,C9260)/POBLA!$B$19*100000</f>
        <v>459.34908169528342</v>
      </c>
      <c r="H9572" s="378">
        <f t="shared" si="816"/>
        <v>3.1216577540106951</v>
      </c>
    </row>
    <row r="9573" spans="1:8" x14ac:dyDescent="0.25">
      <c r="A9573" s="42" t="s">
        <v>38</v>
      </c>
      <c r="B9573" s="19">
        <v>44291</v>
      </c>
      <c r="C9573" s="5">
        <v>187</v>
      </c>
      <c r="D9573" s="21">
        <f t="shared" si="812"/>
        <v>39975</v>
      </c>
      <c r="E9573" s="4">
        <v>3</v>
      </c>
      <c r="F9573" s="57">
        <f t="shared" si="813"/>
        <v>646</v>
      </c>
      <c r="G9573" s="238">
        <f>SUM(C9573,C9549,C9525,C9501,C9477,C9453,C9429,C9405,C9381,C9357,C9333,C9309,C9285,C9261)/POBLA!$B$20*100000</f>
        <v>461.30960519335628</v>
      </c>
      <c r="H9573" s="378">
        <f t="shared" si="816"/>
        <v>1.101894186806009</v>
      </c>
    </row>
    <row r="9574" spans="1:8" x14ac:dyDescent="0.25">
      <c r="A9574" s="42" t="s">
        <v>23</v>
      </c>
      <c r="B9574" s="19">
        <v>44291</v>
      </c>
      <c r="C9574" s="5">
        <v>843</v>
      </c>
      <c r="D9574" s="21">
        <f t="shared" si="812"/>
        <v>234641</v>
      </c>
      <c r="E9574" s="4">
        <v>11</v>
      </c>
      <c r="F9574" s="57">
        <f t="shared" si="813"/>
        <v>4285</v>
      </c>
      <c r="G9574" s="238">
        <f>SUM(C9574,C9550,C9526,C9502,C9478,C9454,C9430,C9406,C9382,C9358,C9334,C9310,C9286,C9262)/POBLA!$B$21*100000</f>
        <v>246.74684949573268</v>
      </c>
      <c r="H9574" s="378">
        <f t="shared" si="816"/>
        <v>1.3713657079993713</v>
      </c>
    </row>
    <row r="9575" spans="1:8" x14ac:dyDescent="0.25">
      <c r="A9575" s="42" t="s">
        <v>39</v>
      </c>
      <c r="B9575" s="19">
        <v>44291</v>
      </c>
      <c r="C9575" s="5">
        <v>122</v>
      </c>
      <c r="D9575" s="21">
        <f t="shared" si="812"/>
        <v>25758</v>
      </c>
      <c r="E9575" s="4">
        <v>5</v>
      </c>
      <c r="F9575" s="57">
        <f t="shared" si="813"/>
        <v>302</v>
      </c>
      <c r="G9575" s="238">
        <f>SUM(C9575,C9551,C9527,C9503,C9479,C9455,C9431,C9407,C9383,C9359,C9335,C9311,C9287,C9263)/POBLA!$B$22*100000</f>
        <v>161.09363772126099</v>
      </c>
      <c r="H9575" s="378">
        <f t="shared" si="816"/>
        <v>1.4340309372156506</v>
      </c>
    </row>
    <row r="9576" spans="1:8" x14ac:dyDescent="0.25">
      <c r="A9576" s="42" t="s">
        <v>40</v>
      </c>
      <c r="B9576" s="19">
        <v>44291</v>
      </c>
      <c r="C9576" s="5">
        <v>59</v>
      </c>
      <c r="D9576" s="21">
        <f t="shared" si="812"/>
        <v>24364</v>
      </c>
      <c r="F9576" s="57">
        <f t="shared" si="813"/>
        <v>367</v>
      </c>
      <c r="G9576" s="238">
        <f>SUM(C9576,C9552,C9528,C9504,C9480,C9456,C9432,C9408,C9384,C9360,C9336,C9312,C9288,C9264)/POBLA!$B$23*100000</f>
        <v>420.74308658033141</v>
      </c>
      <c r="H9576" s="378">
        <f t="shared" si="816"/>
        <v>1.8146341463414635</v>
      </c>
    </row>
    <row r="9577" spans="1:8" ht="15.75" thickBot="1" x14ac:dyDescent="0.3">
      <c r="A9577" s="60" t="s">
        <v>41</v>
      </c>
      <c r="B9577" s="29">
        <v>44291</v>
      </c>
      <c r="C9577" s="28">
        <v>440</v>
      </c>
      <c r="D9577" s="59">
        <f t="shared" si="812"/>
        <v>89604</v>
      </c>
      <c r="E9577" s="30"/>
      <c r="F9577" s="100">
        <f t="shared" si="813"/>
        <v>1502</v>
      </c>
      <c r="G9577" s="365">
        <f>SUM(C9577,C9553,C9529,C9505,C9481,C9457,C9433,C9409,C9385,C9361,C9337,C9313,C9289,C9265)/POBLA!$B$24*100000</f>
        <v>316.70144265266816</v>
      </c>
      <c r="H9577" s="379">
        <f t="shared" si="816"/>
        <v>1.6352833638025595</v>
      </c>
    </row>
    <row r="9578" spans="1:8" x14ac:dyDescent="0.25">
      <c r="A9578" s="45" t="s">
        <v>17</v>
      </c>
      <c r="B9578" s="32">
        <v>44292</v>
      </c>
      <c r="C9578" s="380">
        <v>10402</v>
      </c>
      <c r="D9578" s="97">
        <f t="shared" si="812"/>
        <v>1026895</v>
      </c>
      <c r="E9578" s="33">
        <v>82</v>
      </c>
      <c r="F9578" s="250">
        <f t="shared" si="813"/>
        <v>28672</v>
      </c>
      <c r="G9578" s="251">
        <f>SUM(C9578,C9554,C9530,C9506,C9482,C9458,C9434,C9410,C9386,C9362,C9338,C9314,C9290,C9266)/POBLA!$B$1*100000</f>
        <v>459.82755625760035</v>
      </c>
      <c r="H9578" s="294">
        <f t="shared" si="816"/>
        <v>1.8698333217423557</v>
      </c>
    </row>
    <row r="9579" spans="1:8" x14ac:dyDescent="0.25">
      <c r="A9579" s="105" t="s">
        <v>44</v>
      </c>
      <c r="B9579" s="19">
        <v>44292</v>
      </c>
      <c r="C9579" s="5">
        <v>2281</v>
      </c>
      <c r="D9579" s="21">
        <f t="shared" si="812"/>
        <v>273149</v>
      </c>
      <c r="E9579" s="4">
        <v>12</v>
      </c>
      <c r="F9579" s="57">
        <f t="shared" si="813"/>
        <v>6958</v>
      </c>
      <c r="G9579" s="238">
        <f>SUM(C9579,C9555,C9531,C9507,C9483,C9459,C9435,C9411,C9387,C9363,C9339,C9315,C9291,C9267)/POBLA!$B$2*100000</f>
        <v>743.61613787802628</v>
      </c>
      <c r="H9579" s="295">
        <f t="shared" si="816"/>
        <v>1.8651932800521938</v>
      </c>
    </row>
    <row r="9580" spans="1:8" x14ac:dyDescent="0.25">
      <c r="A9580" s="105" t="s">
        <v>29</v>
      </c>
      <c r="B9580" s="19">
        <v>44292</v>
      </c>
      <c r="C9580" s="5">
        <v>124</v>
      </c>
      <c r="D9580" s="21">
        <f t="shared" si="812"/>
        <v>10993</v>
      </c>
      <c r="F9580" s="57">
        <f t="shared" si="813"/>
        <v>18</v>
      </c>
      <c r="G9580" s="238">
        <f>SUM(C9580,C9556,C9532,C9508,C9484,C9460,C9436,C9412,C9388,C9364,C9340,C9316,C9292,C9268)/POBLA!$B$3*100000</f>
        <v>276.5755660291066</v>
      </c>
      <c r="H9580" s="295">
        <f t="shared" si="816"/>
        <v>0.93795918367346942</v>
      </c>
    </row>
    <row r="9581" spans="1:8" x14ac:dyDescent="0.25">
      <c r="A9581" s="105" t="s">
        <v>16</v>
      </c>
      <c r="B9581" s="19">
        <v>44292</v>
      </c>
      <c r="C9581" s="5">
        <v>229</v>
      </c>
      <c r="D9581" s="21">
        <f t="shared" si="812"/>
        <v>39339</v>
      </c>
      <c r="E9581" s="4">
        <v>4</v>
      </c>
      <c r="F9581" s="57">
        <f t="shared" si="813"/>
        <v>947</v>
      </c>
      <c r="G9581" s="238">
        <f>SUM(C9581,C9557,C9533,C9509,C9485,C9461,C9437,C9413,C9389,C9365,C9341,C9317,C9293,C9269)/POBLA!$B$4*100000</f>
        <v>177.99311106886358</v>
      </c>
      <c r="H9581" s="295">
        <f t="shared" si="816"/>
        <v>1.1195822454308093</v>
      </c>
    </row>
    <row r="9582" spans="1:8" x14ac:dyDescent="0.25">
      <c r="A9582" s="105" t="s">
        <v>30</v>
      </c>
      <c r="B9582" s="19">
        <v>44292</v>
      </c>
      <c r="C9582" s="5">
        <v>154</v>
      </c>
      <c r="D9582" s="21">
        <f t="shared" si="812"/>
        <v>50643</v>
      </c>
      <c r="F9582" s="57">
        <f t="shared" si="813"/>
        <v>870</v>
      </c>
      <c r="G9582" s="238">
        <f>SUM(C9582,C9558,C9534,C9510,C9486,C9462,C9438,C9414,C9390,C9366,C9342,C9318,C9294,C9270)/POBLA!$B$5*100000</f>
        <v>262.52273850796615</v>
      </c>
      <c r="H9582" s="295">
        <f t="shared" si="816"/>
        <v>1.2442572741194486</v>
      </c>
    </row>
    <row r="9583" spans="1:8" x14ac:dyDescent="0.25">
      <c r="A9583" s="105" t="s">
        <v>31</v>
      </c>
      <c r="B9583" s="19">
        <v>44292</v>
      </c>
      <c r="C9583" s="5">
        <v>467</v>
      </c>
      <c r="D9583" s="21">
        <f t="shared" si="812"/>
        <v>31399</v>
      </c>
      <c r="E9583" s="4">
        <v>4</v>
      </c>
      <c r="F9583" s="57">
        <f t="shared" si="813"/>
        <v>335</v>
      </c>
      <c r="G9583" s="238">
        <f>SUM(C9583,C9559,C9535,C9511,C9487,C9463,C9439,C9415,C9391,C9367,C9343,C9319,C9295,C9271)/POBLA!$B$6*100000</f>
        <v>414.79263491021152</v>
      </c>
      <c r="H9583" s="295">
        <f t="shared" si="816"/>
        <v>1.4872040946896994</v>
      </c>
    </row>
    <row r="9584" spans="1:8" x14ac:dyDescent="0.25">
      <c r="A9584" s="105" t="s">
        <v>21</v>
      </c>
      <c r="B9584" s="19">
        <v>44292</v>
      </c>
      <c r="C9584" s="5">
        <v>1843</v>
      </c>
      <c r="D9584" s="21">
        <f t="shared" si="812"/>
        <v>186755</v>
      </c>
      <c r="E9584" s="4">
        <v>13</v>
      </c>
      <c r="F9584" s="57">
        <f t="shared" si="813"/>
        <v>3073</v>
      </c>
      <c r="G9584" s="238">
        <f>SUM(C9584,C9560,C9536,C9512,C9488,C9464,C9440,C9416,C9392,C9368,C9344,C9320,C9296,C9272)/POBLA!$B$7*100000</f>
        <v>349.08056216676198</v>
      </c>
      <c r="H9584" s="295">
        <f t="shared" si="816"/>
        <v>1.5269279981388857</v>
      </c>
    </row>
    <row r="9585" spans="1:8" x14ac:dyDescent="0.25">
      <c r="A9585" s="105" t="s">
        <v>32</v>
      </c>
      <c r="B9585" s="19">
        <v>44292</v>
      </c>
      <c r="C9585" s="5">
        <v>415</v>
      </c>
      <c r="D9585" s="21">
        <f t="shared" si="812"/>
        <v>51122</v>
      </c>
      <c r="E9585" s="4">
        <v>3</v>
      </c>
      <c r="F9585" s="57">
        <f t="shared" si="813"/>
        <v>953</v>
      </c>
      <c r="G9585" s="238">
        <f>SUM(C9585,C9561,C9537,C9513,C9489,C9465,C9441,C9417,C9393,C9369,C9345,C9321,C9297,C9273)/POBLA!$B$8*100000</f>
        <v>190.84231085867498</v>
      </c>
      <c r="H9585" s="295">
        <f t="shared" si="816"/>
        <v>1.1808035714285714</v>
      </c>
    </row>
    <row r="9586" spans="1:8" x14ac:dyDescent="0.25">
      <c r="A9586" s="105" t="s">
        <v>42</v>
      </c>
      <c r="B9586" s="19">
        <v>44292</v>
      </c>
      <c r="C9586" s="5">
        <v>89</v>
      </c>
      <c r="D9586" s="21">
        <f t="shared" ref="D9586:D9650" si="817">C9586+D9562</f>
        <v>2438</v>
      </c>
      <c r="F9586" s="57">
        <f t="shared" ref="F9586:F9649" si="818">E9586+F9562</f>
        <v>41</v>
      </c>
      <c r="G9586" s="238">
        <f>SUM(C9586,C9562,C9538,C9514,C9490,C9466,C9442,C9418,C9394,C9370,C9346,C9322,C9298,C9274)/POBLA!$B$9*100000</f>
        <v>113.84797907444401</v>
      </c>
      <c r="H9586" s="295">
        <f t="shared" si="816"/>
        <v>2.094224924012158</v>
      </c>
    </row>
    <row r="9587" spans="1:8" x14ac:dyDescent="0.25">
      <c r="A9587" s="105" t="s">
        <v>33</v>
      </c>
      <c r="B9587" s="19">
        <v>44292</v>
      </c>
      <c r="C9587" s="5">
        <v>81</v>
      </c>
      <c r="D9587" s="21">
        <f t="shared" si="817"/>
        <v>22774</v>
      </c>
      <c r="F9587" s="57">
        <f t="shared" si="818"/>
        <v>977</v>
      </c>
      <c r="G9587" s="238">
        <f>SUM(C9587,C9563,C9539,C9515,C9491,C9467,C9443,C9419,C9395,C9371,C9347,C9323,C9299,C9275)/POBLA!$B$10*100000</f>
        <v>88.599926577513259</v>
      </c>
      <c r="H9587" s="295">
        <f t="shared" si="816"/>
        <v>0.93947730398899587</v>
      </c>
    </row>
    <row r="9588" spans="1:8" x14ac:dyDescent="0.25">
      <c r="A9588" s="105" t="s">
        <v>34</v>
      </c>
      <c r="B9588" s="19">
        <v>44292</v>
      </c>
      <c r="C9588" s="5">
        <v>165</v>
      </c>
      <c r="D9588" s="21">
        <f t="shared" si="817"/>
        <v>21905</v>
      </c>
      <c r="E9588" s="4">
        <v>5</v>
      </c>
      <c r="F9588" s="57">
        <f t="shared" si="818"/>
        <v>327</v>
      </c>
      <c r="G9588" s="238">
        <f>SUM(C9588,C9564,C9540,C9516,C9492,C9468,C9444,C9420,C9396,C9372,C9348,C9324,C9300,C9276)/POBLA!$B$11*100000</f>
        <v>350.140056022409</v>
      </c>
      <c r="H9588" s="295">
        <f t="shared" si="816"/>
        <v>1.0203252032520325</v>
      </c>
    </row>
    <row r="9589" spans="1:8" x14ac:dyDescent="0.25">
      <c r="A9589" s="105" t="s">
        <v>22</v>
      </c>
      <c r="B9589" s="19">
        <v>44292</v>
      </c>
      <c r="C9589" s="5">
        <v>75</v>
      </c>
      <c r="D9589" s="21">
        <f t="shared" si="817"/>
        <v>11479</v>
      </c>
      <c r="F9589" s="57">
        <f t="shared" si="818"/>
        <v>449</v>
      </c>
      <c r="G9589" s="238">
        <f>SUM(C9589,C9565,C9541,C9517,C9493,C9469,C9445,C9421,C9397,C9373,C9349,C9325,C9301,C9277)/POBLA!$B$12*100000</f>
        <v>189.05753295166073</v>
      </c>
      <c r="H9589" s="295">
        <f t="shared" si="816"/>
        <v>2.1818181818181817</v>
      </c>
    </row>
    <row r="9590" spans="1:8" x14ac:dyDescent="0.25">
      <c r="A9590" s="105" t="s">
        <v>18</v>
      </c>
      <c r="B9590" s="19">
        <v>44292</v>
      </c>
      <c r="C9590" s="5">
        <v>785</v>
      </c>
      <c r="D9590" s="21">
        <f t="shared" si="817"/>
        <v>75739</v>
      </c>
      <c r="E9590" s="4">
        <v>4</v>
      </c>
      <c r="F9590" s="57">
        <f t="shared" si="818"/>
        <v>1523</v>
      </c>
      <c r="G9590" s="238">
        <f>SUM(C9590,C9566,C9542,C9518,C9494,C9470,C9446,C9422,C9398,C9374,C9350,C9326,C9302,C9278)/POBLA!$B$13*100000</f>
        <v>246.84249609865259</v>
      </c>
      <c r="H9590" s="295">
        <f t="shared" si="816"/>
        <v>2.1671812968681077</v>
      </c>
    </row>
    <row r="9591" spans="1:8" x14ac:dyDescent="0.25">
      <c r="A9591" s="105" t="s">
        <v>24</v>
      </c>
      <c r="B9591" s="19">
        <v>44292</v>
      </c>
      <c r="C9591" s="5">
        <v>218</v>
      </c>
      <c r="D9591" s="21">
        <f t="shared" si="817"/>
        <v>12614</v>
      </c>
      <c r="E9591" s="4">
        <v>3</v>
      </c>
      <c r="F9591" s="57">
        <f t="shared" si="818"/>
        <v>214</v>
      </c>
      <c r="G9591" s="238">
        <f>SUM(C9591,C9567,C9543,C9519,C9495,C9471,C9447,C9423,C9399,C9375,C9351,C9327,C9303,C9279)/POBLA!$B$14*100000</f>
        <v>125.90244621793175</v>
      </c>
      <c r="H9591" s="295">
        <f t="shared" si="816"/>
        <v>0.94976076555023925</v>
      </c>
    </row>
    <row r="9592" spans="1:8" x14ac:dyDescent="0.25">
      <c r="A9592" s="105" t="s">
        <v>20</v>
      </c>
      <c r="B9592" s="19">
        <v>44292</v>
      </c>
      <c r="C9592" s="5">
        <v>169</v>
      </c>
      <c r="D9592" s="21">
        <f t="shared" si="817"/>
        <v>65859</v>
      </c>
      <c r="F9592" s="57">
        <f t="shared" si="818"/>
        <v>1014</v>
      </c>
      <c r="G9592" s="238">
        <f>SUM(C9592,C9568,C9544,C9520,C9496,C9472,C9448,C9424,C9400,C9376,C9352,C9328,C9304,C9280)/POBLA!$B$15*100000</f>
        <v>229.04660292715835</v>
      </c>
      <c r="H9592" s="295">
        <f t="shared" si="816"/>
        <v>0.86469584991472426</v>
      </c>
    </row>
    <row r="9593" spans="1:8" x14ac:dyDescent="0.25">
      <c r="A9593" s="105" t="s">
        <v>19</v>
      </c>
      <c r="B9593" s="19">
        <v>44292</v>
      </c>
      <c r="C9593" s="5">
        <v>214</v>
      </c>
      <c r="D9593" s="21">
        <f t="shared" si="817"/>
        <v>56092</v>
      </c>
      <c r="E9593" s="4">
        <v>5</v>
      </c>
      <c r="F9593" s="57">
        <f t="shared" si="818"/>
        <v>1292</v>
      </c>
      <c r="G9593" s="238">
        <f>SUM(C9593,C9569,C9545,C9521,C9497,C9473,C9449,C9425,C9401,C9377,C9353,C9329,C9305,C9281)/POBLA!$B$16*100000</f>
        <v>197.29538128168429</v>
      </c>
      <c r="H9593" s="295">
        <f t="shared" si="816"/>
        <v>1.18</v>
      </c>
    </row>
    <row r="9594" spans="1:8" x14ac:dyDescent="0.25">
      <c r="A9594" s="105" t="s">
        <v>35</v>
      </c>
      <c r="B9594" s="19">
        <v>44292</v>
      </c>
      <c r="C9594" s="5">
        <v>246</v>
      </c>
      <c r="D9594" s="21">
        <f t="shared" si="817"/>
        <v>30070</v>
      </c>
      <c r="E9594" s="4">
        <v>6</v>
      </c>
      <c r="F9594" s="57">
        <f t="shared" si="818"/>
        <v>1220</v>
      </c>
      <c r="G9594" s="238">
        <f>SUM(C9594,C9570,C9546,C9522,C9498,C9474,C9450,C9426,C9402,C9378,C9354,C9330,C9306,C9282)/POBLA!$B$17*100000</f>
        <v>108.32654098541347</v>
      </c>
      <c r="H9594" s="295">
        <f t="shared" ref="H9594:H9617" si="819">SUM(C9594,C9570,C9546,C9522,C9498,C9474,C9450,C9426,C9402,C9378,C9354,C9330,C9306,C9282)/SUM(C9258,C9234,C9210,C9186,C9162,C9138,C9114,C9090,C9066,C9042,C9018,C8994,C8970,C8946)</f>
        <v>1.0341823056300268</v>
      </c>
    </row>
    <row r="9595" spans="1:8" x14ac:dyDescent="0.25">
      <c r="A9595" s="105" t="s">
        <v>36</v>
      </c>
      <c r="B9595" s="19">
        <v>44292</v>
      </c>
      <c r="C9595" s="5">
        <v>251</v>
      </c>
      <c r="D9595" s="21">
        <f t="shared" si="817"/>
        <v>17872</v>
      </c>
      <c r="E9595" s="4">
        <v>3</v>
      </c>
      <c r="F9595" s="57">
        <f t="shared" si="818"/>
        <v>227</v>
      </c>
      <c r="G9595" s="238">
        <f>SUM(C9595,C9571,C9547,C9523,C9499,C9475,C9451,C9427,C9403,C9379,C9355,C9331,C9307,C9283)/POBLA!$B$18*100000</f>
        <v>177.79951025131302</v>
      </c>
      <c r="H9595" s="295">
        <f t="shared" si="819"/>
        <v>1.721189591078067</v>
      </c>
    </row>
    <row r="9596" spans="1:8" x14ac:dyDescent="0.25">
      <c r="A9596" s="105" t="s">
        <v>37</v>
      </c>
      <c r="B9596" s="19">
        <v>44292</v>
      </c>
      <c r="C9596" s="5">
        <v>402</v>
      </c>
      <c r="D9596" s="21">
        <f t="shared" si="817"/>
        <v>24290</v>
      </c>
      <c r="E9596" s="4">
        <v>2</v>
      </c>
      <c r="F9596" s="57">
        <f t="shared" si="818"/>
        <v>440</v>
      </c>
      <c r="G9596" s="238">
        <f>SUM(C9596,C9572,C9548,C9524,C9500,C9476,C9452,C9428,C9404,C9380,C9356,C9332,C9308,C9284)/POBLA!$B$19*100000</f>
        <v>538.23515525408789</v>
      </c>
      <c r="H9596" s="295">
        <f t="shared" si="819"/>
        <v>3.6823687752355316</v>
      </c>
    </row>
    <row r="9597" spans="1:8" x14ac:dyDescent="0.25">
      <c r="A9597" s="105" t="s">
        <v>38</v>
      </c>
      <c r="B9597" s="19">
        <v>44292</v>
      </c>
      <c r="C9597" s="5">
        <v>162</v>
      </c>
      <c r="D9597" s="21">
        <f t="shared" si="817"/>
        <v>40137</v>
      </c>
      <c r="E9597" s="4">
        <v>7</v>
      </c>
      <c r="F9597" s="57">
        <f t="shared" si="818"/>
        <v>653</v>
      </c>
      <c r="G9597" s="238">
        <f>SUM(C9597,C9573,C9549,C9525,C9501,C9477,C9453,C9429,C9405,C9381,C9357,C9333,C9309,C9285)/POBLA!$B$20*100000</f>
        <v>472.79449162970542</v>
      </c>
      <c r="H9597" s="295">
        <f t="shared" si="819"/>
        <v>1.0922299431459255</v>
      </c>
    </row>
    <row r="9598" spans="1:8" x14ac:dyDescent="0.25">
      <c r="A9598" s="105" t="s">
        <v>23</v>
      </c>
      <c r="B9598" s="19">
        <v>44292</v>
      </c>
      <c r="C9598" s="5">
        <v>1296</v>
      </c>
      <c r="D9598" s="21">
        <f t="shared" si="817"/>
        <v>235937</v>
      </c>
      <c r="E9598" s="4">
        <v>10</v>
      </c>
      <c r="F9598" s="57">
        <f t="shared" si="818"/>
        <v>4295</v>
      </c>
      <c r="G9598" s="238">
        <f>SUM(C9598,C9574,C9550,C9526,C9502,C9478,C9454,C9430,C9406,C9382,C9358,C9334,C9310,C9286)/POBLA!$B$21*100000</f>
        <v>264.84425766411101</v>
      </c>
      <c r="H9598" s="295">
        <f t="shared" si="819"/>
        <v>1.439815526518063</v>
      </c>
    </row>
    <row r="9599" spans="1:8" x14ac:dyDescent="0.25">
      <c r="A9599" s="105" t="s">
        <v>39</v>
      </c>
      <c r="B9599" s="19">
        <v>44292</v>
      </c>
      <c r="C9599" s="5">
        <v>104</v>
      </c>
      <c r="D9599" s="21">
        <f t="shared" si="817"/>
        <v>25862</v>
      </c>
      <c r="F9599" s="57">
        <f t="shared" si="818"/>
        <v>302</v>
      </c>
      <c r="G9599" s="238">
        <f>SUM(C9599,C9575,C9551,C9527,C9503,C9479,C9455,C9431,C9407,C9383,C9359,C9335,C9311,C9287)/POBLA!$B$22*100000</f>
        <v>166.20447648145327</v>
      </c>
      <c r="H9599" s="295">
        <f t="shared" si="819"/>
        <v>1.4635463546354635</v>
      </c>
    </row>
    <row r="9600" spans="1:8" x14ac:dyDescent="0.25">
      <c r="A9600" s="105" t="s">
        <v>40</v>
      </c>
      <c r="B9600" s="19">
        <v>44292</v>
      </c>
      <c r="C9600" s="5">
        <v>75</v>
      </c>
      <c r="D9600" s="21">
        <f t="shared" si="817"/>
        <v>24439</v>
      </c>
      <c r="F9600" s="57">
        <f t="shared" si="818"/>
        <v>367</v>
      </c>
      <c r="G9600" s="238">
        <f>SUM(C9600,C9576,C9552,C9528,C9504,C9480,C9456,C9432,C9408,C9384,C9360,C9336,C9312,C9288)/POBLA!$B$23*100000</f>
        <v>439.40507832381383</v>
      </c>
      <c r="H9600" s="295">
        <f t="shared" si="819"/>
        <v>1.845605700712589</v>
      </c>
    </row>
    <row r="9601" spans="1:12" ht="15.75" thickBot="1" x14ac:dyDescent="0.3">
      <c r="A9601" s="106" t="s">
        <v>41</v>
      </c>
      <c r="B9601" s="36">
        <v>44292</v>
      </c>
      <c r="C9601" s="381">
        <v>623</v>
      </c>
      <c r="D9601" s="98">
        <f t="shared" si="817"/>
        <v>90227</v>
      </c>
      <c r="E9601" s="37"/>
      <c r="F9601" s="255">
        <f t="shared" si="818"/>
        <v>1502</v>
      </c>
      <c r="G9601" s="256">
        <f>SUM(C9601,C9577,C9553,C9529,C9505,C9481,C9457,C9433,C9409,C9385,C9361,C9337,C9313,C9289)/POBLA!$B$24*100000</f>
        <v>327.44108538842102</v>
      </c>
      <c r="H9601" s="296">
        <f t="shared" si="819"/>
        <v>1.5715094873973379</v>
      </c>
    </row>
    <row r="9602" spans="1:12" ht="15.75" thickBot="1" x14ac:dyDescent="0.3">
      <c r="A9602" s="45" t="s">
        <v>17</v>
      </c>
      <c r="B9602" s="36">
        <v>44293</v>
      </c>
      <c r="C9602" s="31">
        <v>11059</v>
      </c>
      <c r="D9602" s="97">
        <f t="shared" si="817"/>
        <v>1037954</v>
      </c>
      <c r="E9602" s="31">
        <v>116</v>
      </c>
      <c r="F9602" s="250">
        <f t="shared" si="818"/>
        <v>28788</v>
      </c>
      <c r="G9602" s="251">
        <f>SUM(C9602,C9578,C9554,C9530,C9506,C9482,C9458,C9434,C9410,C9386,C9362,C9338,C9314,C9290)/POBLA!$B$1*100000</f>
        <v>500.62877893747054</v>
      </c>
      <c r="H9602" s="294">
        <f t="shared" si="819"/>
        <v>2.0060307017543861</v>
      </c>
      <c r="J9602" s="382"/>
      <c r="K9602" s="268"/>
      <c r="L9602" s="269"/>
    </row>
    <row r="9603" spans="1:12" ht="15.75" thickBot="1" x14ac:dyDescent="0.3">
      <c r="A9603" s="105" t="s">
        <v>44</v>
      </c>
      <c r="B9603" s="36">
        <v>44293</v>
      </c>
      <c r="C9603" s="4">
        <v>2480</v>
      </c>
      <c r="D9603" s="21">
        <f t="shared" si="817"/>
        <v>275629</v>
      </c>
      <c r="E9603" s="4">
        <v>38</v>
      </c>
      <c r="F9603" s="57">
        <f t="shared" si="818"/>
        <v>6996</v>
      </c>
      <c r="G9603" s="238">
        <f>SUM(C9603,C9579,C9555,C9531,C9507,C9483,C9459,C9435,C9411,C9387,C9363,C9339,C9315,C9291)/POBLA!$B$2*100000</f>
        <v>794.85740556618032</v>
      </c>
      <c r="H9603" s="295">
        <f t="shared" si="819"/>
        <v>1.9986102027468935</v>
      </c>
      <c r="J9603" s="382"/>
      <c r="K9603" s="268"/>
      <c r="L9603" s="269"/>
    </row>
    <row r="9604" spans="1:12" ht="15.75" thickBot="1" x14ac:dyDescent="0.3">
      <c r="A9604" s="105" t="s">
        <v>29</v>
      </c>
      <c r="B9604" s="36">
        <v>44293</v>
      </c>
      <c r="C9604" s="4">
        <v>123</v>
      </c>
      <c r="D9604" s="21">
        <f t="shared" si="817"/>
        <v>11116</v>
      </c>
      <c r="F9604" s="57">
        <f t="shared" si="818"/>
        <v>18</v>
      </c>
      <c r="G9604" s="238">
        <f>SUM(C9604,C9580,C9556,C9532,C9508,C9484,C9460,C9436,C9412,C9388,C9364,C9340,C9316,C9292)/POBLA!$B$3*100000</f>
        <v>289.33318569798621</v>
      </c>
      <c r="H9604" s="295">
        <f t="shared" si="819"/>
        <v>0.98202614379084963</v>
      </c>
      <c r="J9604" s="382"/>
      <c r="K9604" s="268"/>
      <c r="L9604" s="272"/>
    </row>
    <row r="9605" spans="1:12" ht="15.75" thickBot="1" x14ac:dyDescent="0.3">
      <c r="A9605" s="105" t="s">
        <v>16</v>
      </c>
      <c r="B9605" s="36">
        <v>44293</v>
      </c>
      <c r="C9605" s="4">
        <v>185</v>
      </c>
      <c r="D9605" s="21">
        <f t="shared" si="817"/>
        <v>39524</v>
      </c>
      <c r="E9605" s="4">
        <v>3</v>
      </c>
      <c r="F9605" s="57">
        <f t="shared" si="818"/>
        <v>950</v>
      </c>
      <c r="G9605" s="238">
        <f>SUM(C9605,C9581,C9557,C9533,C9509,C9485,C9461,C9437,C9413,C9389,C9365,C9341,C9317,C9293)/POBLA!$B$4*100000</f>
        <v>178.40820694355776</v>
      </c>
      <c r="H9605" s="295">
        <f t="shared" si="819"/>
        <v>1.0986707566462168</v>
      </c>
      <c r="J9605" s="382"/>
      <c r="K9605" s="268"/>
      <c r="L9605" s="272"/>
    </row>
    <row r="9606" spans="1:12" ht="15.75" thickBot="1" x14ac:dyDescent="0.3">
      <c r="A9606" s="105" t="s">
        <v>30</v>
      </c>
      <c r="B9606" s="36">
        <v>44293</v>
      </c>
      <c r="C9606" s="4">
        <v>193</v>
      </c>
      <c r="D9606" s="21">
        <f t="shared" si="817"/>
        <v>50836</v>
      </c>
      <c r="F9606" s="57">
        <f t="shared" si="818"/>
        <v>870</v>
      </c>
      <c r="G9606" s="238">
        <f>SUM(C9606,C9582,C9558,C9534,C9510,C9486,C9462,C9438,C9414,C9390,C9366,C9342,C9318,C9294)/POBLA!$B$5*100000</f>
        <v>277.38556431887872</v>
      </c>
      <c r="H9606" s="295">
        <f t="shared" si="819"/>
        <v>1.3086890243902438</v>
      </c>
      <c r="J9606" s="382"/>
      <c r="K9606" s="268"/>
      <c r="L9606" s="269"/>
    </row>
    <row r="9607" spans="1:12" ht="15.75" thickBot="1" x14ac:dyDescent="0.3">
      <c r="A9607" s="105" t="s">
        <v>31</v>
      </c>
      <c r="B9607" s="36">
        <v>44293</v>
      </c>
      <c r="C9607" s="4">
        <v>433</v>
      </c>
      <c r="D9607" s="21">
        <f t="shared" si="817"/>
        <v>31832</v>
      </c>
      <c r="E9607" s="4">
        <v>2</v>
      </c>
      <c r="F9607" s="57">
        <f t="shared" si="818"/>
        <v>337</v>
      </c>
      <c r="G9607" s="238">
        <f>SUM(C9607,C9583,C9559,C9535,C9511,C9487,C9463,C9439,C9415,C9391,C9367,C9343,C9319,C9295)/POBLA!$B$6*100000</f>
        <v>422.73338442774411</v>
      </c>
      <c r="H9607" s="295">
        <f t="shared" si="819"/>
        <v>1.5108418367346939</v>
      </c>
      <c r="J9607" s="382"/>
      <c r="K9607" s="268"/>
      <c r="L9607" s="272"/>
    </row>
    <row r="9608" spans="1:12" ht="15.75" thickBot="1" x14ac:dyDescent="0.3">
      <c r="A9608" s="105" t="s">
        <v>21</v>
      </c>
      <c r="B9608" s="36">
        <v>44293</v>
      </c>
      <c r="C9608" s="4">
        <v>2109</v>
      </c>
      <c r="D9608" s="21">
        <f t="shared" si="817"/>
        <v>188864</v>
      </c>
      <c r="E9608" s="4">
        <v>9</v>
      </c>
      <c r="F9608" s="57">
        <f t="shared" si="818"/>
        <v>3082</v>
      </c>
      <c r="G9608" s="238">
        <f>SUM(C9608,C9584,C9560,C9536,C9512,C9488,C9464,C9440,C9416,C9392,C9368,C9344,C9320,C9296)/POBLA!$B$7*100000</f>
        <v>384.71459532768688</v>
      </c>
      <c r="H9608" s="295">
        <f t="shared" si="819"/>
        <v>1.6596306068601583</v>
      </c>
      <c r="J9608" s="382"/>
      <c r="K9608" s="268"/>
      <c r="L9608" s="269"/>
    </row>
    <row r="9609" spans="1:12" ht="15.75" thickBot="1" x14ac:dyDescent="0.3">
      <c r="A9609" s="105" t="s">
        <v>32</v>
      </c>
      <c r="B9609" s="36">
        <v>44293</v>
      </c>
      <c r="C9609" s="4">
        <v>411</v>
      </c>
      <c r="D9609" s="21">
        <f t="shared" si="817"/>
        <v>51533</v>
      </c>
      <c r="E9609" s="4">
        <v>1</v>
      </c>
      <c r="F9609" s="57">
        <f t="shared" si="818"/>
        <v>954</v>
      </c>
      <c r="G9609" s="238">
        <f>SUM(C9609,C9585,C9561,C9537,C9513,C9489,C9465,C9441,C9417,C9393,C9369,C9345,C9321,C9297)/POBLA!$B$8*100000</f>
        <v>211.33350794142115</v>
      </c>
      <c r="H9609" s="295">
        <f t="shared" si="819"/>
        <v>1.3350045578851413</v>
      </c>
      <c r="J9609" s="382"/>
      <c r="K9609" s="268"/>
      <c r="L9609" s="269"/>
    </row>
    <row r="9610" spans="1:12" ht="15.75" thickBot="1" x14ac:dyDescent="0.3">
      <c r="A9610" s="105" t="s">
        <v>42</v>
      </c>
      <c r="B9610" s="36">
        <v>44293</v>
      </c>
      <c r="C9610" s="4">
        <v>91</v>
      </c>
      <c r="D9610" s="21">
        <f t="shared" si="817"/>
        <v>2529</v>
      </c>
      <c r="F9610" s="57">
        <f t="shared" si="818"/>
        <v>41</v>
      </c>
      <c r="G9610" s="238">
        <f>SUM(C9610,C9586,C9562,C9538,C9514,C9490,C9466,C9442,C9418,C9394,C9370,C9346,C9322,C9298)/POBLA!$B$9*100000</f>
        <v>125.57977372507614</v>
      </c>
      <c r="H9610" s="295">
        <f t="shared" si="819"/>
        <v>2.2287390029325511</v>
      </c>
      <c r="J9610" s="382"/>
      <c r="K9610" s="270"/>
      <c r="L9610" s="271"/>
    </row>
    <row r="9611" spans="1:12" ht="15.75" thickBot="1" x14ac:dyDescent="0.3">
      <c r="A9611" s="105" t="s">
        <v>33</v>
      </c>
      <c r="B9611" s="36">
        <v>44293</v>
      </c>
      <c r="C9611" s="4">
        <v>48</v>
      </c>
      <c r="D9611" s="21">
        <f t="shared" si="817"/>
        <v>22822</v>
      </c>
      <c r="E9611" s="4">
        <v>2</v>
      </c>
      <c r="F9611" s="57">
        <f t="shared" si="818"/>
        <v>979</v>
      </c>
      <c r="G9611" s="238">
        <f>SUM(C9611,C9587,C9563,C9539,C9515,C9491,C9467,C9443,C9419,C9395,C9371,C9347,C9323,C9299)/POBLA!$B$10*100000</f>
        <v>91.842969278007885</v>
      </c>
      <c r="H9611" s="295">
        <f t="shared" si="819"/>
        <v>1.0582959641255605</v>
      </c>
      <c r="J9611" s="382"/>
      <c r="K9611" s="273"/>
      <c r="L9611" s="272"/>
    </row>
    <row r="9612" spans="1:12" ht="15.75" thickBot="1" x14ac:dyDescent="0.3">
      <c r="A9612" s="105" t="s">
        <v>34</v>
      </c>
      <c r="B9612" s="36">
        <v>44293</v>
      </c>
      <c r="C9612" s="4">
        <v>173</v>
      </c>
      <c r="D9612" s="21">
        <f t="shared" si="817"/>
        <v>22078</v>
      </c>
      <c r="F9612" s="57">
        <f t="shared" si="818"/>
        <v>327</v>
      </c>
      <c r="G9612" s="238">
        <f>SUM(C9612,C9588,C9564,C9540,C9516,C9492,C9468,C9444,C9420,C9396,C9372,C9348,C9324,C9300)/POBLA!$B$11*100000</f>
        <v>379.71363844342517</v>
      </c>
      <c r="H9612" s="295">
        <f t="shared" si="819"/>
        <v>1.1247933884297521</v>
      </c>
      <c r="J9612" s="382"/>
      <c r="K9612" s="268"/>
      <c r="L9612" s="272"/>
    </row>
    <row r="9613" spans="1:12" ht="15.75" thickBot="1" x14ac:dyDescent="0.3">
      <c r="A9613" s="105" t="s">
        <v>22</v>
      </c>
      <c r="B9613" s="36">
        <v>44293</v>
      </c>
      <c r="C9613" s="4">
        <v>126</v>
      </c>
      <c r="D9613" s="21">
        <f t="shared" si="817"/>
        <v>11605</v>
      </c>
      <c r="E9613" s="4">
        <v>2</v>
      </c>
      <c r="F9613" s="57">
        <f t="shared" si="818"/>
        <v>451</v>
      </c>
      <c r="G9613" s="238">
        <f>SUM(C9613,C9589,C9565,C9541,C9517,C9493,C9469,C9445,C9421,C9397,C9373,C9349,C9325,C9301)/POBLA!$B$12*100000</f>
        <v>214.7226012690233</v>
      </c>
      <c r="H9613" s="295">
        <f t="shared" si="819"/>
        <v>2.4926253687315634</v>
      </c>
      <c r="J9613" s="382"/>
      <c r="K9613" s="268"/>
      <c r="L9613" s="272"/>
    </row>
    <row r="9614" spans="1:12" ht="15.75" thickBot="1" x14ac:dyDescent="0.3">
      <c r="A9614" s="105" t="s">
        <v>18</v>
      </c>
      <c r="B9614" s="36">
        <v>44293</v>
      </c>
      <c r="C9614" s="4">
        <v>1005</v>
      </c>
      <c r="D9614" s="21">
        <f t="shared" si="817"/>
        <v>76744</v>
      </c>
      <c r="E9614" s="4">
        <v>3</v>
      </c>
      <c r="F9614" s="57">
        <f t="shared" si="818"/>
        <v>1526</v>
      </c>
      <c r="G9614" s="238">
        <f>SUM(C9614,C9590,C9566,C9542,C9518,C9494,C9470,C9446,C9422,C9398,C9374,C9350,C9326,C9302)/POBLA!$B$13*100000</f>
        <v>288.84541218627186</v>
      </c>
      <c r="H9614" s="295">
        <f t="shared" si="819"/>
        <v>2.6275137111517366</v>
      </c>
      <c r="J9614" s="382"/>
      <c r="K9614" s="268"/>
      <c r="L9614" s="269"/>
    </row>
    <row r="9615" spans="1:12" ht="15.75" thickBot="1" x14ac:dyDescent="0.3">
      <c r="A9615" s="105" t="s">
        <v>24</v>
      </c>
      <c r="B9615" s="36">
        <v>44293</v>
      </c>
      <c r="C9615" s="4">
        <v>101</v>
      </c>
      <c r="D9615" s="21">
        <f t="shared" si="817"/>
        <v>12715</v>
      </c>
      <c r="E9615" s="4">
        <v>2</v>
      </c>
      <c r="F9615" s="57">
        <f t="shared" si="818"/>
        <v>216</v>
      </c>
      <c r="G9615" s="238">
        <f>SUM(C9615,C9591,C9567,C9543,C9519,C9495,C9471,C9447,C9423,C9399,C9375,C9351,C9327,C9303)/POBLA!$B$14*100000</f>
        <v>122.96895093451646</v>
      </c>
      <c r="H9615" s="295">
        <f t="shared" si="819"/>
        <v>0.91396582203889221</v>
      </c>
      <c r="J9615" s="382"/>
      <c r="K9615" s="268"/>
      <c r="L9615" s="272"/>
    </row>
    <row r="9616" spans="1:12" ht="15.75" thickBot="1" x14ac:dyDescent="0.3">
      <c r="A9616" s="105" t="s">
        <v>20</v>
      </c>
      <c r="B9616" s="36">
        <v>44293</v>
      </c>
      <c r="C9616" s="4">
        <v>183</v>
      </c>
      <c r="D9616" s="21">
        <f t="shared" si="817"/>
        <v>66042</v>
      </c>
      <c r="E9616" s="4">
        <v>2</v>
      </c>
      <c r="F9616" s="57">
        <f t="shared" si="818"/>
        <v>1016</v>
      </c>
      <c r="G9616" s="238">
        <f>SUM(C9616,C9592,C9568,C9544,C9520,C9496,C9472,C9448,C9424,C9400,C9376,C9352,C9328,C9304)/POBLA!$B$15*100000</f>
        <v>236.72666653615579</v>
      </c>
      <c r="H9616" s="295">
        <f t="shared" si="819"/>
        <v>0.90657439446366783</v>
      </c>
      <c r="J9616" s="382"/>
      <c r="K9616" s="268"/>
      <c r="L9616" s="269"/>
    </row>
    <row r="9617" spans="1:12" ht="15.75" thickBot="1" x14ac:dyDescent="0.3">
      <c r="A9617" s="105" t="s">
        <v>19</v>
      </c>
      <c r="B9617" s="36">
        <v>44293</v>
      </c>
      <c r="C9617" s="4">
        <v>131</v>
      </c>
      <c r="D9617" s="21">
        <f t="shared" si="817"/>
        <v>56223</v>
      </c>
      <c r="E9617" s="4">
        <v>2</v>
      </c>
      <c r="F9617" s="57">
        <f t="shared" si="818"/>
        <v>1294</v>
      </c>
      <c r="G9617" s="238">
        <f>SUM(C9617,C9593,C9569,C9545,C9521,C9497,C9473,C9449,C9425,C9401,C9377,C9353,C9329,C9305)/POBLA!$B$16*100000</f>
        <v>203.44832198606224</v>
      </c>
      <c r="H9617" s="295">
        <f t="shared" si="819"/>
        <v>1.2792262405382675</v>
      </c>
      <c r="J9617" s="382"/>
      <c r="K9617" s="268"/>
      <c r="L9617" s="269"/>
    </row>
    <row r="9618" spans="1:12" ht="15.75" thickBot="1" x14ac:dyDescent="0.3">
      <c r="A9618" s="105" t="s">
        <v>35</v>
      </c>
      <c r="B9618" s="36">
        <v>44293</v>
      </c>
      <c r="C9618" s="4">
        <v>193</v>
      </c>
      <c r="D9618" s="21">
        <f t="shared" si="817"/>
        <v>30263</v>
      </c>
      <c r="E9618" s="4">
        <v>2</v>
      </c>
      <c r="F9618" s="57">
        <f t="shared" si="818"/>
        <v>1222</v>
      </c>
      <c r="G9618" s="238">
        <f>SUM(C9618,C9594,C9570,C9546,C9522,C9498,C9474,C9450,C9426,C9402,C9378,C9354,C9330,C9306)/POBLA!$B$17*100000</f>
        <v>115.62787621709398</v>
      </c>
      <c r="H9618" s="295">
        <f t="shared" ref="H9618:H9641" si="820">SUM(C9618,C9594,C9570,C9546,C9522,C9498,C9474,C9450,C9426,C9402,C9378,C9354,C9330,C9306)/SUM(C9282,C9258,C9234,C9210,C9186,C9162,C9138,C9114,C9090,C9066,C9042,C9018,C8994,C8970)</f>
        <v>1.1722419928825623</v>
      </c>
      <c r="J9618" s="382"/>
      <c r="K9618" s="268"/>
      <c r="L9618" s="272"/>
    </row>
    <row r="9619" spans="1:12" ht="15.75" thickBot="1" x14ac:dyDescent="0.3">
      <c r="A9619" s="105" t="s">
        <v>36</v>
      </c>
      <c r="B9619" s="36">
        <v>44293</v>
      </c>
      <c r="C9619" s="4">
        <v>258</v>
      </c>
      <c r="D9619" s="21">
        <f t="shared" si="817"/>
        <v>18130</v>
      </c>
      <c r="F9619" s="57">
        <f t="shared" si="818"/>
        <v>227</v>
      </c>
      <c r="G9619" s="238">
        <f>SUM(C9619,C9595,C9571,C9547,C9523,C9499,C9475,C9451,C9427,C9403,C9379,C9355,C9331,C9307)/POBLA!$B$18*100000</f>
        <v>205.83269437301033</v>
      </c>
      <c r="H9619" s="295">
        <f t="shared" si="820"/>
        <v>2.0775193798449614</v>
      </c>
      <c r="J9619" s="382"/>
      <c r="K9619" s="268"/>
      <c r="L9619" s="272"/>
    </row>
    <row r="9620" spans="1:12" ht="15.75" thickBot="1" x14ac:dyDescent="0.3">
      <c r="A9620" s="105" t="s">
        <v>37</v>
      </c>
      <c r="B9620" s="36">
        <v>44293</v>
      </c>
      <c r="C9620" s="4">
        <v>346</v>
      </c>
      <c r="D9620" s="21">
        <f t="shared" si="817"/>
        <v>24636</v>
      </c>
      <c r="E9620" s="4">
        <v>1</v>
      </c>
      <c r="F9620" s="57">
        <f t="shared" si="818"/>
        <v>441</v>
      </c>
      <c r="G9620" s="238">
        <f>SUM(C9620,C9596,C9572,C9548,C9524,C9500,C9476,C9452,C9428,C9404,C9380,C9356,C9332,C9308)/POBLA!$B$19*100000</f>
        <v>606.10471978722398</v>
      </c>
      <c r="H9620" s="295">
        <f t="shared" si="820"/>
        <v>4.1522911051212938</v>
      </c>
      <c r="J9620" s="382"/>
      <c r="K9620" s="268"/>
      <c r="L9620" s="272"/>
    </row>
    <row r="9621" spans="1:12" ht="15.75" thickBot="1" x14ac:dyDescent="0.3">
      <c r="A9621" s="105" t="s">
        <v>38</v>
      </c>
      <c r="B9621" s="36">
        <v>44293</v>
      </c>
      <c r="C9621" s="4">
        <v>188</v>
      </c>
      <c r="D9621" s="21">
        <f t="shared" si="817"/>
        <v>40325</v>
      </c>
      <c r="E9621" s="4">
        <v>1</v>
      </c>
      <c r="F9621" s="57">
        <f t="shared" si="818"/>
        <v>654</v>
      </c>
      <c r="G9621" s="238">
        <f>SUM(C9621,C9597,C9573,C9549,C9525,C9501,C9477,C9453,C9429,C9405,C9381,C9357,C9333,C9309)/POBLA!$B$20*100000</f>
        <v>492.20941870067651</v>
      </c>
      <c r="H9621" s="295">
        <f t="shared" si="820"/>
        <v>1.1523687580025608</v>
      </c>
      <c r="J9621" s="382"/>
      <c r="K9621" s="268"/>
      <c r="L9621" s="272"/>
    </row>
    <row r="9622" spans="1:12" ht="15.75" thickBot="1" x14ac:dyDescent="0.3">
      <c r="A9622" s="105" t="s">
        <v>23</v>
      </c>
      <c r="B9622" s="36">
        <v>44293</v>
      </c>
      <c r="C9622" s="4">
        <v>1296</v>
      </c>
      <c r="D9622" s="21">
        <f t="shared" si="817"/>
        <v>237233</v>
      </c>
      <c r="E9622" s="4">
        <v>10</v>
      </c>
      <c r="F9622" s="57">
        <f t="shared" si="818"/>
        <v>4305</v>
      </c>
      <c r="G9622" s="238">
        <f>SUM(C9622,C9598,C9574,C9550,C9526,C9502,C9478,C9454,C9430,C9406,C9382,C9358,C9334,C9310)/POBLA!$B$21*100000</f>
        <v>285.37350505511512</v>
      </c>
      <c r="H9622" s="295">
        <f t="shared" si="820"/>
        <v>1.5370088333840999</v>
      </c>
      <c r="J9622" s="382"/>
      <c r="K9622" s="268"/>
      <c r="L9622" s="269"/>
    </row>
    <row r="9623" spans="1:12" ht="15.75" thickBot="1" x14ac:dyDescent="0.3">
      <c r="A9623" s="105" t="s">
        <v>39</v>
      </c>
      <c r="B9623" s="36">
        <v>44293</v>
      </c>
      <c r="C9623" s="4">
        <v>176</v>
      </c>
      <c r="D9623" s="21">
        <f t="shared" si="817"/>
        <v>26038</v>
      </c>
      <c r="F9623" s="57">
        <f t="shared" si="818"/>
        <v>302</v>
      </c>
      <c r="G9623" s="238">
        <f>SUM(C9623,C9599,C9575,C9551,C9527,C9503,C9479,C9455,C9431,C9407,C9383,C9359,C9335,C9311)/POBLA!$B$22*100000</f>
        <v>174.17738494735326</v>
      </c>
      <c r="H9623" s="295">
        <f t="shared" si="820"/>
        <v>1.471502590673575</v>
      </c>
      <c r="J9623" s="382"/>
      <c r="K9623" s="268"/>
      <c r="L9623" s="272"/>
    </row>
    <row r="9624" spans="1:12" ht="15.75" thickBot="1" x14ac:dyDescent="0.3">
      <c r="A9624" s="105" t="s">
        <v>40</v>
      </c>
      <c r="B9624" s="36">
        <v>44293</v>
      </c>
      <c r="C9624" s="4">
        <v>46</v>
      </c>
      <c r="D9624" s="21">
        <f t="shared" si="817"/>
        <v>24485</v>
      </c>
      <c r="E9624" s="4">
        <v>3</v>
      </c>
      <c r="F9624" s="57">
        <f t="shared" si="818"/>
        <v>370</v>
      </c>
      <c r="G9624" s="238">
        <f>SUM(C9624,C9600,C9576,C9552,C9528,C9504,C9480,C9456,C9432,C9408,C9384,C9360,C9336,C9312)/POBLA!$B$23*100000</f>
        <v>430.35683990273145</v>
      </c>
      <c r="H9624" s="295">
        <f t="shared" si="820"/>
        <v>1.6260683760683761</v>
      </c>
      <c r="J9624" s="382"/>
      <c r="K9624" s="273"/>
      <c r="L9624" s="272"/>
    </row>
    <row r="9625" spans="1:12" ht="15.75" thickBot="1" x14ac:dyDescent="0.3">
      <c r="A9625" s="106" t="s">
        <v>41</v>
      </c>
      <c r="B9625" s="36">
        <v>44293</v>
      </c>
      <c r="C9625" s="4">
        <v>685</v>
      </c>
      <c r="D9625" s="98">
        <f t="shared" si="817"/>
        <v>90912</v>
      </c>
      <c r="F9625" s="255">
        <f t="shared" si="818"/>
        <v>1502</v>
      </c>
      <c r="G9625" s="256">
        <f>SUM(C9625,C9601,C9577,C9553,C9529,C9505,C9481,C9457,C9433,C9409,C9385,C9361,C9337,C9313)/POBLA!$B$24*100000</f>
        <v>352.04784923901957</v>
      </c>
      <c r="H9625" s="296">
        <f t="shared" si="820"/>
        <v>1.6599888703394547</v>
      </c>
      <c r="J9625" s="382"/>
      <c r="K9625" s="268"/>
      <c r="L9625" s="269"/>
    </row>
    <row r="9626" spans="1:12" ht="15.75" thickBot="1" x14ac:dyDescent="0.3">
      <c r="A9626" s="45" t="s">
        <v>17</v>
      </c>
      <c r="B9626" s="36">
        <v>44294</v>
      </c>
      <c r="C9626" s="4">
        <v>12026</v>
      </c>
      <c r="D9626" s="97">
        <f t="shared" si="817"/>
        <v>1049980</v>
      </c>
      <c r="E9626" s="4">
        <v>189</v>
      </c>
      <c r="F9626" s="250">
        <f t="shared" si="818"/>
        <v>28977</v>
      </c>
      <c r="G9626" s="251">
        <f>SUM(C9626,C9602,C9578,C9554,C9530,C9506,C9482,C9458,C9434,C9410,C9386,C9362,C9338,C9314)/POBLA!$B$1*100000</f>
        <v>548.08293257548075</v>
      </c>
      <c r="H9626" s="294">
        <f t="shared" si="820"/>
        <v>2.1836104297265377</v>
      </c>
    </row>
    <row r="9627" spans="1:12" ht="15.75" thickBot="1" x14ac:dyDescent="0.3">
      <c r="A9627" s="105" t="s">
        <v>44</v>
      </c>
      <c r="B9627" s="36">
        <v>44294</v>
      </c>
      <c r="C9627" s="4">
        <v>2364</v>
      </c>
      <c r="D9627" s="21">
        <f t="shared" si="817"/>
        <v>277993</v>
      </c>
      <c r="E9627" s="4">
        <v>23</v>
      </c>
      <c r="F9627" s="57">
        <f t="shared" si="818"/>
        <v>7019</v>
      </c>
      <c r="G9627" s="238">
        <f>SUM(C9627,C9603,C9579,C9555,C9531,C9507,C9483,C9459,C9435,C9411,C9387,C9363,C9339,C9315)/POBLA!$B$2*100000</f>
        <v>826.26544147148275</v>
      </c>
      <c r="H9627" s="295">
        <f t="shared" si="820"/>
        <v>1.9846153846153847</v>
      </c>
    </row>
    <row r="9628" spans="1:12" ht="15.75" thickBot="1" x14ac:dyDescent="0.3">
      <c r="A9628" s="105" t="s">
        <v>29</v>
      </c>
      <c r="B9628" s="36">
        <v>44294</v>
      </c>
      <c r="C9628" s="4">
        <v>171</v>
      </c>
      <c r="D9628" s="21">
        <f t="shared" si="817"/>
        <v>11287</v>
      </c>
      <c r="F9628" s="57">
        <f t="shared" si="818"/>
        <v>18</v>
      </c>
      <c r="G9628" s="238">
        <f>SUM(C9628,C9604,C9580,C9556,C9532,C9508,C9484,C9460,C9436,C9412,C9388,C9364,C9340,C9316)/POBLA!$B$3*100000</f>
        <v>310.51564854442779</v>
      </c>
      <c r="H9628" s="295">
        <f t="shared" si="820"/>
        <v>1.0513447432762837</v>
      </c>
    </row>
    <row r="9629" spans="1:12" ht="15.75" thickBot="1" x14ac:dyDescent="0.3">
      <c r="A9629" s="105" t="s">
        <v>16</v>
      </c>
      <c r="B9629" s="36">
        <v>44294</v>
      </c>
      <c r="C9629" s="4">
        <v>260</v>
      </c>
      <c r="D9629" s="21">
        <f t="shared" si="817"/>
        <v>39784</v>
      </c>
      <c r="E9629" s="4">
        <v>7</v>
      </c>
      <c r="F9629" s="57">
        <f t="shared" si="818"/>
        <v>957</v>
      </c>
      <c r="G9629" s="238">
        <f>SUM(C9629,C9605,C9581,C9557,C9533,C9509,C9485,C9461,C9437,C9413,C9389,C9365,C9341,C9317)/POBLA!$B$4*100000</f>
        <v>189.61579556030057</v>
      </c>
      <c r="H9629" s="295">
        <f t="shared" si="820"/>
        <v>1.1767130345182895</v>
      </c>
    </row>
    <row r="9630" spans="1:12" ht="15.75" thickBot="1" x14ac:dyDescent="0.3">
      <c r="A9630" s="105" t="s">
        <v>30</v>
      </c>
      <c r="B9630" s="36">
        <v>44294</v>
      </c>
      <c r="C9630" s="4">
        <v>177</v>
      </c>
      <c r="D9630" s="21">
        <f t="shared" si="817"/>
        <v>51013</v>
      </c>
      <c r="F9630" s="57">
        <f t="shared" si="818"/>
        <v>870</v>
      </c>
      <c r="G9630" s="238">
        <f>SUM(C9630,C9606,C9582,C9558,C9534,C9510,C9486,C9462,C9438,C9414,C9390,C9366,C9342,C9318)/POBLA!$B$5*100000</f>
        <v>285.14008213326787</v>
      </c>
      <c r="H9630" s="295">
        <f t="shared" si="820"/>
        <v>1.3211077844311376</v>
      </c>
    </row>
    <row r="9631" spans="1:12" ht="15.75" thickBot="1" x14ac:dyDescent="0.3">
      <c r="A9631" s="105" t="s">
        <v>31</v>
      </c>
      <c r="B9631" s="36">
        <v>44294</v>
      </c>
      <c r="C9631" s="4">
        <v>509</v>
      </c>
      <c r="D9631" s="21">
        <f t="shared" si="817"/>
        <v>32341</v>
      </c>
      <c r="E9631" s="4">
        <v>1</v>
      </c>
      <c r="F9631" s="57">
        <f t="shared" si="818"/>
        <v>338</v>
      </c>
      <c r="G9631" s="238">
        <f>SUM(C9631,C9607,C9583,C9559,C9535,C9511,C9487,C9463,C9439,C9415,C9391,C9367,C9343,C9319)/POBLA!$B$6*100000</f>
        <v>465.64912058429638</v>
      </c>
      <c r="H9631" s="295">
        <f t="shared" si="820"/>
        <v>1.6873585515680569</v>
      </c>
    </row>
    <row r="9632" spans="1:12" ht="15.75" thickBot="1" x14ac:dyDescent="0.3">
      <c r="A9632" s="105" t="s">
        <v>21</v>
      </c>
      <c r="B9632" s="36">
        <v>44294</v>
      </c>
      <c r="C9632" s="4">
        <v>2189</v>
      </c>
      <c r="D9632" s="21">
        <f t="shared" si="817"/>
        <v>191053</v>
      </c>
      <c r="E9632" s="4">
        <v>7</v>
      </c>
      <c r="F9632" s="57">
        <f t="shared" si="818"/>
        <v>3089</v>
      </c>
      <c r="G9632" s="238">
        <f>SUM(C9632,C9608,C9584,C9560,C9536,C9512,C9488,C9464,C9440,C9416,C9392,C9368,C9344,C9320)/POBLA!$B$7*100000</f>
        <v>423.69929130822106</v>
      </c>
      <c r="H9632" s="295">
        <f t="shared" si="820"/>
        <v>1.8225806451612903</v>
      </c>
    </row>
    <row r="9633" spans="1:8" ht="15.75" thickBot="1" x14ac:dyDescent="0.3">
      <c r="A9633" s="105" t="s">
        <v>32</v>
      </c>
      <c r="B9633" s="36">
        <v>44294</v>
      </c>
      <c r="C9633" s="4">
        <v>437</v>
      </c>
      <c r="D9633" s="21">
        <f t="shared" si="817"/>
        <v>51970</v>
      </c>
      <c r="E9633" s="4">
        <v>6</v>
      </c>
      <c r="F9633" s="57">
        <f t="shared" si="818"/>
        <v>960</v>
      </c>
      <c r="G9633" s="238">
        <f>SUM(C9633,C9609,C9585,C9561,C9537,C9513,C9489,C9465,C9441,C9417,C9393,C9369,C9345,C9321)/POBLA!$B$8*100000</f>
        <v>233.05129076503596</v>
      </c>
      <c r="H9633" s="295">
        <f t="shared" si="820"/>
        <v>1.4755596162631339</v>
      </c>
    </row>
    <row r="9634" spans="1:8" ht="15.75" thickBot="1" x14ac:dyDescent="0.3">
      <c r="A9634" s="105" t="s">
        <v>42</v>
      </c>
      <c r="B9634" s="36">
        <v>44294</v>
      </c>
      <c r="C9634" s="4">
        <v>12</v>
      </c>
      <c r="D9634" s="21">
        <f t="shared" si="817"/>
        <v>2541</v>
      </c>
      <c r="E9634" s="4">
        <v>7</v>
      </c>
      <c r="F9634" s="57">
        <f t="shared" si="818"/>
        <v>48</v>
      </c>
      <c r="G9634" s="238">
        <f>SUM(C9634,C9610,C9586,C9562,C9538,C9514,C9490,C9466,C9442,C9418,C9394,C9370,C9346,C9322)/POBLA!$B$9*100000</f>
        <v>118.14412922819663</v>
      </c>
      <c r="H9634" s="295">
        <f t="shared" si="820"/>
        <v>2.0487106017191978</v>
      </c>
    </row>
    <row r="9635" spans="1:8" ht="15.75" thickBot="1" x14ac:dyDescent="0.3">
      <c r="A9635" s="105" t="s">
        <v>33</v>
      </c>
      <c r="B9635" s="36">
        <v>44294</v>
      </c>
      <c r="C9635" s="4">
        <v>68</v>
      </c>
      <c r="D9635" s="21">
        <f t="shared" si="817"/>
        <v>22890</v>
      </c>
      <c r="F9635" s="57">
        <f t="shared" si="818"/>
        <v>979</v>
      </c>
      <c r="G9635" s="238">
        <f>SUM(C9635,C9611,C9587,C9563,C9539,C9515,C9491,C9467,C9443,C9419,C9395,C9371,C9347,C9323)/POBLA!$B$10*100000</f>
        <v>95.734620518601446</v>
      </c>
      <c r="H9635" s="295">
        <f t="shared" si="820"/>
        <v>1.153125</v>
      </c>
    </row>
    <row r="9636" spans="1:8" ht="15.75" thickBot="1" x14ac:dyDescent="0.3">
      <c r="A9636" s="105" t="s">
        <v>34</v>
      </c>
      <c r="B9636" s="36">
        <v>44294</v>
      </c>
      <c r="C9636" s="4">
        <v>178</v>
      </c>
      <c r="D9636" s="21">
        <f t="shared" si="817"/>
        <v>22256</v>
      </c>
      <c r="E9636" s="4">
        <v>1</v>
      </c>
      <c r="F9636" s="57">
        <f t="shared" si="818"/>
        <v>328</v>
      </c>
      <c r="G9636" s="238">
        <f>SUM(C9636,C9612,C9588,C9564,C9540,C9516,C9492,C9468,C9444,C9420,C9396,C9372,C9348,C9324)/POBLA!$B$11*100000</f>
        <v>405.10227995580703</v>
      </c>
      <c r="H9636" s="295">
        <f t="shared" si="820"/>
        <v>1.214046822742475</v>
      </c>
    </row>
    <row r="9637" spans="1:8" ht="15.75" thickBot="1" x14ac:dyDescent="0.3">
      <c r="A9637" s="105" t="s">
        <v>22</v>
      </c>
      <c r="B9637" s="36">
        <v>44294</v>
      </c>
      <c r="C9637" s="4">
        <v>109</v>
      </c>
      <c r="D9637" s="21">
        <f t="shared" si="817"/>
        <v>11714</v>
      </c>
      <c r="F9637" s="57">
        <f t="shared" si="818"/>
        <v>451</v>
      </c>
      <c r="G9637" s="238">
        <f>SUM(C9637,C9613,C9589,C9565,C9541,C9517,C9493,C9469,C9445,C9421,C9397,C9373,C9349,C9325)/POBLA!$B$12*100000</f>
        <v>232.76438196736726</v>
      </c>
      <c r="H9637" s="295">
        <f t="shared" si="820"/>
        <v>2.647398843930636</v>
      </c>
    </row>
    <row r="9638" spans="1:8" ht="15.75" thickBot="1" x14ac:dyDescent="0.3">
      <c r="A9638" s="105" t="s">
        <v>18</v>
      </c>
      <c r="B9638" s="36">
        <v>44294</v>
      </c>
      <c r="C9638" s="4">
        <v>1046</v>
      </c>
      <c r="D9638" s="21">
        <f t="shared" si="817"/>
        <v>77790</v>
      </c>
      <c r="E9638" s="4">
        <v>3</v>
      </c>
      <c r="F9638" s="57">
        <f t="shared" si="818"/>
        <v>1529</v>
      </c>
      <c r="G9638" s="238">
        <f>SUM(C9638,C9614,C9590,C9566,C9542,C9518,C9494,C9470,C9446,C9422,C9398,C9374,C9350,C9326)/POBLA!$B$13*100000</f>
        <v>332.00391089352661</v>
      </c>
      <c r="H9638" s="295">
        <f t="shared" si="820"/>
        <v>3.035369774919614</v>
      </c>
    </row>
    <row r="9639" spans="1:8" ht="15.75" thickBot="1" x14ac:dyDescent="0.3">
      <c r="A9639" s="105" t="s">
        <v>24</v>
      </c>
      <c r="B9639" s="36">
        <v>44294</v>
      </c>
      <c r="C9639" s="4">
        <v>153</v>
      </c>
      <c r="D9639" s="21">
        <f t="shared" si="817"/>
        <v>12868</v>
      </c>
      <c r="E9639" s="4">
        <v>1</v>
      </c>
      <c r="F9639" s="57">
        <f t="shared" si="818"/>
        <v>217</v>
      </c>
      <c r="G9639" s="238">
        <f>SUM(C9639,C9615,C9591,C9567,C9543,C9519,C9495,C9471,C9447,C9423,C9399,C9375,C9351,C9327)/POBLA!$B$14*100000</f>
        <v>125.34746062377209</v>
      </c>
      <c r="H9639" s="295">
        <f t="shared" si="820"/>
        <v>0.93384524512699352</v>
      </c>
    </row>
    <row r="9640" spans="1:8" ht="15.75" thickBot="1" x14ac:dyDescent="0.3">
      <c r="A9640" s="105" t="s">
        <v>20</v>
      </c>
      <c r="B9640" s="36">
        <v>44294</v>
      </c>
      <c r="C9640" s="4">
        <v>131</v>
      </c>
      <c r="D9640" s="21">
        <f t="shared" si="817"/>
        <v>66173</v>
      </c>
      <c r="E9640" s="4">
        <v>1</v>
      </c>
      <c r="F9640" s="57">
        <f t="shared" si="818"/>
        <v>1017</v>
      </c>
      <c r="G9640" s="238">
        <f>SUM(C9640,C9616,C9592,C9568,C9544,C9520,C9496,C9472,C9448,C9424,C9400,C9376,C9352,C9328)/POBLA!$B$15*100000</f>
        <v>244.4067301451532</v>
      </c>
      <c r="H9640" s="295">
        <f t="shared" si="820"/>
        <v>0.98483009708737868</v>
      </c>
    </row>
    <row r="9641" spans="1:8" ht="15.75" thickBot="1" x14ac:dyDescent="0.3">
      <c r="A9641" s="105" t="s">
        <v>19</v>
      </c>
      <c r="B9641" s="36">
        <v>44294</v>
      </c>
      <c r="C9641" s="4">
        <v>163</v>
      </c>
      <c r="D9641" s="21">
        <f t="shared" si="817"/>
        <v>56386</v>
      </c>
      <c r="E9641" s="4">
        <v>4</v>
      </c>
      <c r="F9641" s="57">
        <f t="shared" si="818"/>
        <v>1298</v>
      </c>
      <c r="G9641" s="238">
        <f>SUM(C9641,C9617,C9593,C9569,C9545,C9521,C9497,C9473,C9449,C9425,C9401,C9377,C9353,C9329)/POBLA!$B$16*100000</f>
        <v>214.01532884792874</v>
      </c>
      <c r="H9641" s="295">
        <f t="shared" si="820"/>
        <v>1.3513513513513513</v>
      </c>
    </row>
    <row r="9642" spans="1:8" ht="15.75" thickBot="1" x14ac:dyDescent="0.3">
      <c r="A9642" s="105" t="s">
        <v>35</v>
      </c>
      <c r="B9642" s="36">
        <v>44294</v>
      </c>
      <c r="C9642" s="4">
        <v>224</v>
      </c>
      <c r="D9642" s="21">
        <f t="shared" si="817"/>
        <v>30487</v>
      </c>
      <c r="E9642" s="4">
        <v>4</v>
      </c>
      <c r="F9642" s="57">
        <f t="shared" si="818"/>
        <v>1226</v>
      </c>
      <c r="G9642" s="238">
        <f>SUM(C9642,C9618,C9594,C9570,C9546,C9522,C9498,C9474,C9450,C9426,C9402,C9378,C9354,C9330)/POBLA!$B$17*100000</f>
        <v>126.43946877169779</v>
      </c>
      <c r="H9642" s="295">
        <f t="shared" ref="H9642:H9665" si="821">SUM(C9642,C9618,C9594,C9570,C9546,C9522,C9498,C9474,C9450,C9426,C9402,C9378,C9354,C9330)/SUM(C9306,C9282,C9258,C9234,C9210,C9186,C9162,C9138,C9114,C9090,C9066,C9042,C9018,C8994)</f>
        <v>1.3500749625187407</v>
      </c>
    </row>
    <row r="9643" spans="1:8" ht="15.75" thickBot="1" x14ac:dyDescent="0.3">
      <c r="A9643" s="105" t="s">
        <v>36</v>
      </c>
      <c r="B9643" s="36">
        <v>44294</v>
      </c>
      <c r="C9643" s="4">
        <v>331</v>
      </c>
      <c r="D9643" s="21">
        <f t="shared" si="817"/>
        <v>18461</v>
      </c>
      <c r="E9643" s="4">
        <v>2</v>
      </c>
      <c r="F9643" s="57">
        <f t="shared" si="818"/>
        <v>229</v>
      </c>
      <c r="G9643" s="238">
        <f>SUM(C9643,C9619,C9595,C9571,C9547,C9523,C9499,C9475,C9451,C9427,C9403,C9379,C9355,C9331)/POBLA!$B$18*100000</f>
        <v>236.42598663367542</v>
      </c>
      <c r="H9643" s="295">
        <f t="shared" si="821"/>
        <v>2.291563275434243</v>
      </c>
    </row>
    <row r="9644" spans="1:8" ht="15.75" thickBot="1" x14ac:dyDescent="0.3">
      <c r="A9644" s="105" t="s">
        <v>37</v>
      </c>
      <c r="B9644" s="36">
        <v>44294</v>
      </c>
      <c r="C9644" s="4">
        <v>523</v>
      </c>
      <c r="D9644" s="21">
        <f t="shared" si="817"/>
        <v>25159</v>
      </c>
      <c r="F9644" s="57">
        <f t="shared" si="818"/>
        <v>441</v>
      </c>
      <c r="G9644" s="238">
        <f>SUM(C9644,C9620,C9596,C9572,C9548,C9524,C9500,C9476,C9452,C9428,C9404,C9380,C9356,C9332)/POBLA!$B$19*100000</f>
        <v>691.28594136069626</v>
      </c>
      <c r="H9644" s="295">
        <f t="shared" si="821"/>
        <v>13.063197026022305</v>
      </c>
    </row>
    <row r="9645" spans="1:8" ht="15.75" thickBot="1" x14ac:dyDescent="0.3">
      <c r="A9645" s="105" t="s">
        <v>38</v>
      </c>
      <c r="B9645" s="36">
        <v>44294</v>
      </c>
      <c r="C9645" s="4">
        <v>180</v>
      </c>
      <c r="D9645" s="21">
        <f t="shared" si="817"/>
        <v>40505</v>
      </c>
      <c r="E9645" s="4">
        <v>3</v>
      </c>
      <c r="F9645" s="57">
        <f t="shared" si="818"/>
        <v>657</v>
      </c>
      <c r="G9645" s="238">
        <f>SUM(C9645,C9621,C9597,C9573,C9549,C9525,C9501,C9477,C9453,C9429,C9405,C9381,C9357,C9333)/POBLA!$B$20*100000</f>
        <v>519.28093672921375</v>
      </c>
      <c r="H9645" s="295">
        <f t="shared" si="821"/>
        <v>1.2428010471204189</v>
      </c>
    </row>
    <row r="9646" spans="1:8" ht="15.75" thickBot="1" x14ac:dyDescent="0.3">
      <c r="A9646" s="105" t="s">
        <v>23</v>
      </c>
      <c r="B9646" s="36">
        <v>44294</v>
      </c>
      <c r="C9646" s="4">
        <v>1365</v>
      </c>
      <c r="D9646" s="21">
        <f t="shared" si="817"/>
        <v>238598</v>
      </c>
      <c r="E9646" s="4">
        <v>14</v>
      </c>
      <c r="F9646" s="57">
        <f t="shared" si="818"/>
        <v>4319</v>
      </c>
      <c r="G9646" s="238">
        <f>SUM(C9646,C9622,C9598,C9574,C9550,C9526,C9502,C9478,C9454,C9430,C9406,C9382,C9358,C9334)/POBLA!$B$21*100000</f>
        <v>311.41680649742199</v>
      </c>
      <c r="H9646" s="295">
        <f t="shared" si="821"/>
        <v>1.7218574108818012</v>
      </c>
    </row>
    <row r="9647" spans="1:8" ht="15.75" thickBot="1" x14ac:dyDescent="0.3">
      <c r="A9647" s="105" t="s">
        <v>39</v>
      </c>
      <c r="B9647" s="36">
        <v>44294</v>
      </c>
      <c r="C9647" s="4">
        <v>169</v>
      </c>
      <c r="D9647" s="21">
        <f t="shared" si="817"/>
        <v>26207</v>
      </c>
      <c r="F9647" s="57">
        <f t="shared" si="818"/>
        <v>302</v>
      </c>
      <c r="G9647" s="238">
        <f>SUM(C9647,C9623,C9599,C9575,C9551,C9527,C9503,C9479,C9455,C9431,C9407,C9383,C9359,C9335)/POBLA!$B$22*100000</f>
        <v>177.75497207948786</v>
      </c>
      <c r="H9647" s="295">
        <f t="shared" si="821"/>
        <v>1.4195918367346938</v>
      </c>
    </row>
    <row r="9648" spans="1:8" ht="15.75" thickBot="1" x14ac:dyDescent="0.3">
      <c r="A9648" s="105" t="s">
        <v>40</v>
      </c>
      <c r="B9648" s="36">
        <v>44294</v>
      </c>
      <c r="C9648" s="4">
        <v>69</v>
      </c>
      <c r="D9648" s="21">
        <f t="shared" si="817"/>
        <v>24554</v>
      </c>
      <c r="F9648" s="57">
        <f t="shared" si="818"/>
        <v>370</v>
      </c>
      <c r="G9648" s="238">
        <f>SUM(C9648,C9624,C9600,C9576,C9552,C9528,C9504,C9480,C9456,C9432,C9408,C9384,C9360,C9336)/POBLA!$B$23*100000</f>
        <v>443.92919753435507</v>
      </c>
      <c r="H9648" s="295">
        <f t="shared" si="821"/>
        <v>1.6457023060796645</v>
      </c>
    </row>
    <row r="9649" spans="1:8" ht="15.75" thickBot="1" x14ac:dyDescent="0.3">
      <c r="A9649" s="107" t="s">
        <v>41</v>
      </c>
      <c r="B9649" s="29">
        <v>44294</v>
      </c>
      <c r="C9649" s="30">
        <v>829</v>
      </c>
      <c r="D9649" s="59">
        <f t="shared" si="817"/>
        <v>91741</v>
      </c>
      <c r="E9649" s="30">
        <v>17</v>
      </c>
      <c r="F9649" s="100">
        <f t="shared" si="818"/>
        <v>1519</v>
      </c>
      <c r="G9649" s="365">
        <f>SUM(C9649,C9625,C9601,C9577,C9553,C9529,C9505,C9481,C9457,C9433,C9409,C9385,C9361,C9337)/POBLA!$B$24*100000</f>
        <v>385.38794894066996</v>
      </c>
      <c r="H9649" s="366">
        <f t="shared" si="821"/>
        <v>1.8202341137123745</v>
      </c>
    </row>
    <row r="9650" spans="1:8" x14ac:dyDescent="0.25">
      <c r="A9650" s="45" t="s">
        <v>17</v>
      </c>
      <c r="B9650" s="32">
        <v>44295</v>
      </c>
      <c r="C9650" s="33">
        <v>12452</v>
      </c>
      <c r="D9650" s="97">
        <f t="shared" si="817"/>
        <v>1062432</v>
      </c>
      <c r="E9650" s="33">
        <v>125</v>
      </c>
      <c r="F9650" s="250">
        <f t="shared" ref="F9650:F9673" si="822">E9650+F9626</f>
        <v>29102</v>
      </c>
      <c r="G9650" s="251">
        <f>SUM(C9650,C9626,C9602,C9578,C9554,C9530,C9506,C9482,C9458,C9434,C9410,C9386,C9362,C9338)/POBLA!$B$1*100000</f>
        <v>586.65510983578554</v>
      </c>
      <c r="H9650" s="294">
        <f t="shared" si="821"/>
        <v>2.2150806121790043</v>
      </c>
    </row>
    <row r="9651" spans="1:8" x14ac:dyDescent="0.25">
      <c r="A9651" s="105" t="s">
        <v>44</v>
      </c>
      <c r="B9651" s="19">
        <v>44295</v>
      </c>
      <c r="C9651" s="4">
        <v>2601</v>
      </c>
      <c r="D9651" s="21">
        <f t="shared" ref="D9651:D9697" si="823">C9651+D9627</f>
        <v>280594</v>
      </c>
      <c r="E9651" s="4">
        <v>14</v>
      </c>
      <c r="F9651" s="57">
        <f t="shared" si="822"/>
        <v>7033</v>
      </c>
      <c r="G9651" s="238">
        <f>SUM(C9651,C9627,C9603,C9579,C9555,C9531,C9507,C9483,C9459,C9435,C9411,C9387,C9363,C9339)/POBLA!$B$2*100000</f>
        <v>865.15158116376199</v>
      </c>
      <c r="H9651" s="295">
        <f t="shared" si="821"/>
        <v>1.9885658769897616</v>
      </c>
    </row>
    <row r="9652" spans="1:8" x14ac:dyDescent="0.25">
      <c r="A9652" s="105" t="s">
        <v>29</v>
      </c>
      <c r="B9652" s="19">
        <v>44295</v>
      </c>
      <c r="C9652" s="4">
        <v>128</v>
      </c>
      <c r="D9652" s="21">
        <f t="shared" si="823"/>
        <v>11415</v>
      </c>
      <c r="F9652" s="57">
        <f t="shared" si="822"/>
        <v>18</v>
      </c>
      <c r="G9652" s="238">
        <f>SUM(C9652,C9628,C9604,C9580,C9556,C9532,C9508,C9484,C9460,C9436,C9412,C9388,C9364,C9340)/POBLA!$B$3*100000</f>
        <v>317.73694269662383</v>
      </c>
      <c r="H9652" s="295">
        <f t="shared" si="821"/>
        <v>1.0784313725490196</v>
      </c>
    </row>
    <row r="9653" spans="1:8" x14ac:dyDescent="0.25">
      <c r="A9653" s="105" t="s">
        <v>16</v>
      </c>
      <c r="B9653" s="19">
        <v>44295</v>
      </c>
      <c r="C9653" s="4">
        <v>224</v>
      </c>
      <c r="D9653" s="21">
        <f t="shared" si="823"/>
        <v>40008</v>
      </c>
      <c r="E9653" s="4">
        <v>6</v>
      </c>
      <c r="F9653" s="57">
        <f t="shared" si="822"/>
        <v>963</v>
      </c>
      <c r="G9653" s="238">
        <f>SUM(C9653,C9629,C9605,C9581,C9557,C9533,C9509,C9485,C9461,C9437,C9413,C9389,C9365,C9341)/POBLA!$B$4*100000</f>
        <v>195.01204193132486</v>
      </c>
      <c r="H9653" s="295">
        <f t="shared" si="821"/>
        <v>1.2083333333333333</v>
      </c>
    </row>
    <row r="9654" spans="1:8" x14ac:dyDescent="0.25">
      <c r="A9654" s="105" t="s">
        <v>30</v>
      </c>
      <c r="B9654" s="19">
        <v>44295</v>
      </c>
      <c r="C9654" s="4">
        <v>193</v>
      </c>
      <c r="D9654" s="21">
        <f t="shared" si="823"/>
        <v>51206</v>
      </c>
      <c r="E9654" s="4">
        <v>6</v>
      </c>
      <c r="F9654" s="57">
        <f t="shared" si="822"/>
        <v>876</v>
      </c>
      <c r="G9654" s="238">
        <f>SUM(C9654,C9630,C9606,C9582,C9558,C9534,C9510,C9486,C9462,C9438,C9414,C9390,C9366,C9342)/POBLA!$B$5*100000</f>
        <v>291.27907540299259</v>
      </c>
      <c r="H9654" s="295">
        <f t="shared" si="821"/>
        <v>1.3036876355748372</v>
      </c>
    </row>
    <row r="9655" spans="1:8" x14ac:dyDescent="0.25">
      <c r="A9655" s="105" t="s">
        <v>31</v>
      </c>
      <c r="B9655" s="19">
        <v>44295</v>
      </c>
      <c r="C9655" s="4">
        <v>433</v>
      </c>
      <c r="D9655" s="21">
        <f t="shared" si="823"/>
        <v>32774</v>
      </c>
      <c r="E9655" s="4">
        <v>3</v>
      </c>
      <c r="F9655" s="57">
        <f t="shared" si="822"/>
        <v>341</v>
      </c>
      <c r="G9655" s="238">
        <f>SUM(C9655,C9631,C9607,C9583,C9559,C9535,C9511,C9487,C9463,C9439,C9415,C9391,C9367,C9343)/POBLA!$B$6*100000</f>
        <v>435.49211679861099</v>
      </c>
      <c r="H9655" s="295">
        <f t="shared" si="821"/>
        <v>1.4561455847255369</v>
      </c>
    </row>
    <row r="9656" spans="1:8" x14ac:dyDescent="0.25">
      <c r="A9656" s="105" t="s">
        <v>21</v>
      </c>
      <c r="B9656" s="19">
        <v>44295</v>
      </c>
      <c r="C9656" s="4">
        <v>1867</v>
      </c>
      <c r="D9656" s="21">
        <f t="shared" si="823"/>
        <v>192920</v>
      </c>
      <c r="E9656" s="4">
        <v>15</v>
      </c>
      <c r="F9656" s="57">
        <f t="shared" si="822"/>
        <v>3104</v>
      </c>
      <c r="G9656" s="238">
        <f>SUM(C9656,C9632,C9608,C9584,C9560,C9536,C9512,C9488,C9464,C9440,C9416,C9392,C9368,C9344)/POBLA!$B$7*100000</f>
        <v>443.96282359823959</v>
      </c>
      <c r="H9656" s="295">
        <f t="shared" si="821"/>
        <v>1.8107375271149675</v>
      </c>
    </row>
    <row r="9657" spans="1:8" x14ac:dyDescent="0.25">
      <c r="A9657" s="105" t="s">
        <v>32</v>
      </c>
      <c r="B9657" s="19">
        <v>44295</v>
      </c>
      <c r="C9657" s="4">
        <v>452</v>
      </c>
      <c r="D9657" s="21">
        <f t="shared" si="823"/>
        <v>52422</v>
      </c>
      <c r="E9657" s="4">
        <v>1</v>
      </c>
      <c r="F9657" s="57">
        <f t="shared" si="822"/>
        <v>961</v>
      </c>
      <c r="G9657" s="238">
        <f>SUM(C9657,C9633,C9609,C9585,C9561,C9537,C9513,C9489,C9465,C9441,C9417,C9393,C9369,C9345)/POBLA!$B$8*100000</f>
        <v>249.21336170353999</v>
      </c>
      <c r="H9657" s="295">
        <f t="shared" si="821"/>
        <v>1.5242718446601942</v>
      </c>
    </row>
    <row r="9658" spans="1:8" x14ac:dyDescent="0.25">
      <c r="A9658" s="105" t="s">
        <v>42</v>
      </c>
      <c r="B9658" s="19">
        <v>44295</v>
      </c>
      <c r="C9658" s="4">
        <v>100</v>
      </c>
      <c r="D9658" s="21">
        <f t="shared" si="823"/>
        <v>2641</v>
      </c>
      <c r="E9658" s="4">
        <v>1</v>
      </c>
      <c r="F9658" s="57">
        <f t="shared" si="822"/>
        <v>49</v>
      </c>
      <c r="G9658" s="238">
        <f>SUM(C9658,C9634,C9610,C9586,C9562,C9538,C9514,C9490,C9466,C9442,C9418,C9394,C9370,C9346)/POBLA!$B$9*100000</f>
        <v>119.96173121632272</v>
      </c>
      <c r="H9658" s="295">
        <f t="shared" si="821"/>
        <v>1.7621359223300972</v>
      </c>
    </row>
    <row r="9659" spans="1:8" x14ac:dyDescent="0.25">
      <c r="A9659" s="105" t="s">
        <v>33</v>
      </c>
      <c r="B9659" s="19">
        <v>44295</v>
      </c>
      <c r="C9659" s="4">
        <v>54</v>
      </c>
      <c r="D9659" s="21">
        <f t="shared" si="823"/>
        <v>22944</v>
      </c>
      <c r="E9659" s="4">
        <v>4</v>
      </c>
      <c r="F9659" s="57">
        <f t="shared" si="822"/>
        <v>983</v>
      </c>
      <c r="G9659" s="238">
        <f>SUM(C9659,C9635,C9611,C9587,C9563,C9539,C9515,C9491,C9467,C9443,C9419,C9395,C9371,C9347)/POBLA!$B$10*100000</f>
        <v>95.475177102561872</v>
      </c>
      <c r="H9659" s="295">
        <f t="shared" si="821"/>
        <v>1.1813804173354736</v>
      </c>
    </row>
    <row r="9660" spans="1:8" x14ac:dyDescent="0.25">
      <c r="A9660" s="105" t="s">
        <v>34</v>
      </c>
      <c r="B9660" s="19">
        <v>44295</v>
      </c>
      <c r="C9660" s="4">
        <v>214</v>
      </c>
      <c r="D9660" s="21">
        <f t="shared" si="823"/>
        <v>22470</v>
      </c>
      <c r="E9660" s="4">
        <v>2</v>
      </c>
      <c r="F9660" s="57">
        <f t="shared" si="822"/>
        <v>330</v>
      </c>
      <c r="G9660" s="238">
        <f>SUM(C9660,C9636,C9612,C9588,C9564,C9540,C9516,C9492,C9468,C9444,C9420,C9396,C9372,C9348)/POBLA!$B$11*100000</f>
        <v>436.90783086142829</v>
      </c>
      <c r="H9660" s="295">
        <f t="shared" si="821"/>
        <v>1.3204047217537942</v>
      </c>
    </row>
    <row r="9661" spans="1:8" x14ac:dyDescent="0.25">
      <c r="A9661" s="105" t="s">
        <v>22</v>
      </c>
      <c r="B9661" s="19">
        <v>44295</v>
      </c>
      <c r="C9661" s="4">
        <v>60</v>
      </c>
      <c r="D9661" s="21">
        <f t="shared" si="823"/>
        <v>11774</v>
      </c>
      <c r="F9661" s="57">
        <f t="shared" si="822"/>
        <v>451</v>
      </c>
      <c r="G9661" s="238">
        <f>SUM(C9661,C9637,C9613,C9589,C9565,C9541,C9517,C9493,C9469,C9445,C9421,C9397,C9373,C9349)/POBLA!$B$12*100000</f>
        <v>241.14999834828768</v>
      </c>
      <c r="H9661" s="295">
        <f t="shared" si="821"/>
        <v>2.7994100294985249</v>
      </c>
    </row>
    <row r="9662" spans="1:8" x14ac:dyDescent="0.25">
      <c r="A9662" s="105" t="s">
        <v>18</v>
      </c>
      <c r="B9662" s="19">
        <v>44295</v>
      </c>
      <c r="C9662" s="4">
        <v>1056</v>
      </c>
      <c r="D9662" s="21">
        <f t="shared" si="823"/>
        <v>78846</v>
      </c>
      <c r="E9662" s="4">
        <v>9</v>
      </c>
      <c r="F9662" s="57">
        <f t="shared" si="822"/>
        <v>1538</v>
      </c>
      <c r="G9662" s="238">
        <f>SUM(C9662,C9638,C9614,C9590,C9566,C9542,C9518,C9494,C9470,C9446,C9422,C9398,C9374,C9350)/POBLA!$B$13*100000</f>
        <v>368.17867116037581</v>
      </c>
      <c r="H9662" s="295">
        <f t="shared" si="821"/>
        <v>3.1249466950959488</v>
      </c>
    </row>
    <row r="9663" spans="1:8" x14ac:dyDescent="0.25">
      <c r="A9663" s="105" t="s">
        <v>24</v>
      </c>
      <c r="B9663" s="19">
        <v>44295</v>
      </c>
      <c r="C9663" s="4">
        <v>170</v>
      </c>
      <c r="D9663" s="21">
        <f t="shared" si="823"/>
        <v>13038</v>
      </c>
      <c r="E9663" s="4">
        <v>2</v>
      </c>
      <c r="F9663" s="57">
        <f t="shared" si="822"/>
        <v>219</v>
      </c>
      <c r="G9663" s="238">
        <f>SUM(C9663,C9639,C9615,C9591,C9567,C9543,C9519,C9495,C9471,C9447,C9423,C9399,C9375,C9351)/POBLA!$B$14*100000</f>
        <v>126.93313374994251</v>
      </c>
      <c r="H9663" s="295">
        <f t="shared" si="821"/>
        <v>0.93735362997658078</v>
      </c>
    </row>
    <row r="9664" spans="1:8" x14ac:dyDescent="0.25">
      <c r="A9664" s="105" t="s">
        <v>20</v>
      </c>
      <c r="B9664" s="19">
        <v>44295</v>
      </c>
      <c r="C9664" s="4">
        <v>175</v>
      </c>
      <c r="D9664" s="21">
        <f t="shared" si="823"/>
        <v>66348</v>
      </c>
      <c r="E9664" s="4">
        <v>1</v>
      </c>
      <c r="F9664" s="57">
        <f t="shared" si="822"/>
        <v>1018</v>
      </c>
      <c r="G9664" s="238">
        <f>SUM(C9664,C9640,C9616,C9592,C9568,C9544,C9520,C9496,C9472,C9448,C9424,C9400,C9376,C9352)/POBLA!$B$15*100000</f>
        <v>248.47264617344598</v>
      </c>
      <c r="H9664" s="295">
        <f t="shared" si="821"/>
        <v>1.0054844606946984</v>
      </c>
    </row>
    <row r="9665" spans="1:8" x14ac:dyDescent="0.25">
      <c r="A9665" s="105" t="s">
        <v>19</v>
      </c>
      <c r="B9665" s="19">
        <v>44295</v>
      </c>
      <c r="C9665" s="4">
        <v>208</v>
      </c>
      <c r="D9665" s="21">
        <f t="shared" si="823"/>
        <v>56594</v>
      </c>
      <c r="E9665" s="4">
        <v>3</v>
      </c>
      <c r="F9665" s="57">
        <f t="shared" si="822"/>
        <v>1301</v>
      </c>
      <c r="G9665" s="238">
        <f>SUM(C9665,C9641,C9617,C9593,C9569,C9545,C9521,C9497,C9473,C9449,C9425,C9401,C9377,C9353)/POBLA!$B$16*100000</f>
        <v>225.38489319297497</v>
      </c>
      <c r="H9665" s="295">
        <f t="shared" si="821"/>
        <v>1.4100418410041842</v>
      </c>
    </row>
    <row r="9666" spans="1:8" x14ac:dyDescent="0.25">
      <c r="A9666" s="105" t="s">
        <v>35</v>
      </c>
      <c r="B9666" s="19">
        <v>44295</v>
      </c>
      <c r="C9666" s="4">
        <v>247</v>
      </c>
      <c r="D9666" s="21">
        <f t="shared" si="823"/>
        <v>30734</v>
      </c>
      <c r="E9666" s="4">
        <v>6</v>
      </c>
      <c r="F9666" s="57">
        <f t="shared" si="822"/>
        <v>1232</v>
      </c>
      <c r="G9666" s="238">
        <f>SUM(C9666,C9642,C9618,C9594,C9570,C9546,C9522,C9498,C9474,C9450,C9426,C9402,C9378,C9354)/POBLA!$B$17*100000</f>
        <v>134.23224002858754</v>
      </c>
      <c r="H9666" s="295">
        <f t="shared" ref="H9666:H9689" si="824">SUM(C9666,C9642,C9618,C9594,C9570,C9546,C9522,C9498,C9474,C9450,C9426,C9402,C9378,C9354)/SUM(C9330,C9306,C9282,C9258,C9234,C9210,C9186,C9162,C9138,C9114,C9090,C9066,C9042,C9018)</f>
        <v>1.3956204379562043</v>
      </c>
    </row>
    <row r="9667" spans="1:8" x14ac:dyDescent="0.25">
      <c r="A9667" s="105" t="s">
        <v>36</v>
      </c>
      <c r="B9667" s="19">
        <v>44295</v>
      </c>
      <c r="C9667" s="4">
        <v>226</v>
      </c>
      <c r="D9667" s="21">
        <f t="shared" si="823"/>
        <v>18687</v>
      </c>
      <c r="F9667" s="57">
        <f t="shared" si="822"/>
        <v>229</v>
      </c>
      <c r="G9667" s="238">
        <f>SUM(C9667,C9643,C9619,C9595,C9571,C9547,C9523,C9499,C9475,C9451,C9427,C9403,C9379,C9355)/POBLA!$B$18*100000</f>
        <v>245.13035430616588</v>
      </c>
      <c r="H9667" s="295">
        <f t="shared" si="824"/>
        <v>2.0974808324205916</v>
      </c>
    </row>
    <row r="9668" spans="1:8" x14ac:dyDescent="0.25">
      <c r="A9668" s="105" t="s">
        <v>37</v>
      </c>
      <c r="B9668" s="19">
        <v>44295</v>
      </c>
      <c r="C9668" s="4">
        <v>443</v>
      </c>
      <c r="D9668" s="21">
        <f t="shared" si="823"/>
        <v>25602</v>
      </c>
      <c r="F9668" s="57">
        <f t="shared" si="822"/>
        <v>441</v>
      </c>
      <c r="G9668" s="238">
        <f>SUM(C9668,C9644,C9620,C9596,C9572,C9548,C9524,C9500,C9476,C9452,C9428,C9404,C9380,C9356)/POBLA!$B$19*100000</f>
        <v>696.40074912261377</v>
      </c>
      <c r="H9668" s="295">
        <f t="shared" si="824"/>
        <v>6.4716636197440582</v>
      </c>
    </row>
    <row r="9669" spans="1:8" x14ac:dyDescent="0.25">
      <c r="A9669" s="105" t="s">
        <v>38</v>
      </c>
      <c r="B9669" s="19">
        <v>44295</v>
      </c>
      <c r="C9669" s="4">
        <v>176</v>
      </c>
      <c r="D9669" s="21">
        <f t="shared" si="823"/>
        <v>40681</v>
      </c>
      <c r="E9669" s="4">
        <v>3</v>
      </c>
      <c r="F9669" s="57">
        <f t="shared" si="822"/>
        <v>660</v>
      </c>
      <c r="G9669" s="238">
        <f>SUM(C9669,C9645,C9621,C9597,C9573,C9549,C9525,C9501,C9477,C9453,C9429,C9405,C9381,C9357)/POBLA!$B$20*100000</f>
        <v>538.9693134772408</v>
      </c>
      <c r="H9669" s="295">
        <f t="shared" si="824"/>
        <v>1.3272727272727274</v>
      </c>
    </row>
    <row r="9670" spans="1:8" x14ac:dyDescent="0.25">
      <c r="A9670" s="105" t="s">
        <v>23</v>
      </c>
      <c r="B9670" s="19">
        <v>44295</v>
      </c>
      <c r="C9670" s="4">
        <v>1427</v>
      </c>
      <c r="D9670" s="21">
        <f t="shared" si="823"/>
        <v>240025</v>
      </c>
      <c r="E9670" s="4">
        <v>20</v>
      </c>
      <c r="F9670" s="57">
        <f t="shared" si="822"/>
        <v>4339</v>
      </c>
      <c r="G9670" s="238">
        <f>SUM(C9670,C9646,C9622,C9598,C9574,C9550,C9526,C9502,C9478,C9454,C9430,C9406,C9382,C9358)/POBLA!$B$21*100000</f>
        <v>333.33163670131751</v>
      </c>
      <c r="H9670" s="295">
        <f t="shared" si="824"/>
        <v>1.790400972053463</v>
      </c>
    </row>
    <row r="9671" spans="1:8" x14ac:dyDescent="0.25">
      <c r="A9671" s="105" t="s">
        <v>39</v>
      </c>
      <c r="B9671" s="19">
        <v>44295</v>
      </c>
      <c r="C9671" s="4">
        <v>223</v>
      </c>
      <c r="D9671" s="21">
        <f t="shared" si="823"/>
        <v>26430</v>
      </c>
      <c r="E9671" s="4">
        <v>1</v>
      </c>
      <c r="F9671" s="57">
        <f t="shared" si="822"/>
        <v>303</v>
      </c>
      <c r="G9671" s="238">
        <f>SUM(C9671,C9647,C9623,C9599,C9575,C9551,C9527,C9503,C9479,C9455,C9431,C9407,C9383,C9359)/POBLA!$B$22*100000</f>
        <v>189.9187683287455</v>
      </c>
      <c r="H9671" s="295">
        <f t="shared" si="824"/>
        <v>1.4734337827121333</v>
      </c>
    </row>
    <row r="9672" spans="1:8" x14ac:dyDescent="0.25">
      <c r="A9672" s="105" t="s">
        <v>40</v>
      </c>
      <c r="B9672" s="19">
        <v>44295</v>
      </c>
      <c r="C9672" s="4">
        <v>151</v>
      </c>
      <c r="D9672" s="21">
        <f t="shared" si="823"/>
        <v>24705</v>
      </c>
      <c r="F9672" s="57">
        <f t="shared" si="822"/>
        <v>370</v>
      </c>
      <c r="G9672" s="238">
        <f>SUM(C9672,C9648,C9624,C9600,C9576,C9552,C9528,C9504,C9480,C9456,C9432,C9408,C9384,C9360)/POBLA!$B$23*100000</f>
        <v>501.61171746875533</v>
      </c>
      <c r="H9672" s="295">
        <f t="shared" si="824"/>
        <v>1.7704590818363273</v>
      </c>
    </row>
    <row r="9673" spans="1:8" ht="15.75" thickBot="1" x14ac:dyDescent="0.3">
      <c r="A9673" s="106" t="s">
        <v>41</v>
      </c>
      <c r="B9673" s="36">
        <v>44295</v>
      </c>
      <c r="C9673" s="37">
        <v>850</v>
      </c>
      <c r="D9673" s="98">
        <f t="shared" si="823"/>
        <v>92591</v>
      </c>
      <c r="E9673" s="37">
        <v>6</v>
      </c>
      <c r="F9673" s="255">
        <f t="shared" si="822"/>
        <v>1525</v>
      </c>
      <c r="G9673" s="256">
        <f>SUM(C9673,C9649,C9625,C9601,C9577,C9553,C9529,C9505,C9481,C9457,C9433,C9409,C9385,C9361)/POBLA!$B$24*100000</f>
        <v>395.41948336417539</v>
      </c>
      <c r="H9673" s="296">
        <f t="shared" si="824"/>
        <v>1.6891857827073355</v>
      </c>
    </row>
    <row r="9674" spans="1:8" x14ac:dyDescent="0.25">
      <c r="A9674" s="45" t="s">
        <v>17</v>
      </c>
      <c r="B9674" s="32">
        <v>44296</v>
      </c>
      <c r="C9674" s="33">
        <v>10349</v>
      </c>
      <c r="D9674" s="97">
        <f t="shared" si="823"/>
        <v>1072781</v>
      </c>
      <c r="E9674" s="33">
        <v>214</v>
      </c>
      <c r="F9674" s="250">
        <f t="shared" ref="F9674:F9697" si="825">E9674+F9650</f>
        <v>29316</v>
      </c>
      <c r="G9674" s="251">
        <f>SUM(C9674,C9650,C9626,C9602,C9578,C9554,C9530,C9506,C9482,C9458,C9434,C9410,C9386,C9362)/POBLA!$B$1*100000</f>
        <v>615.29634816800115</v>
      </c>
      <c r="H9674" s="294">
        <f t="shared" si="824"/>
        <v>2.1986147891627623</v>
      </c>
    </row>
    <row r="9675" spans="1:8" x14ac:dyDescent="0.25">
      <c r="A9675" s="105" t="s">
        <v>44</v>
      </c>
      <c r="B9675" s="19">
        <v>44296</v>
      </c>
      <c r="C9675" s="4">
        <v>2491</v>
      </c>
      <c r="D9675" s="21">
        <f t="shared" si="823"/>
        <v>283085</v>
      </c>
      <c r="E9675" s="4">
        <v>17</v>
      </c>
      <c r="F9675" s="57">
        <f t="shared" si="825"/>
        <v>7050</v>
      </c>
      <c r="G9675" s="238">
        <f>SUM(C9675,C9651,C9627,C9603,C9579,C9555,C9531,C9507,C9483,C9459,C9435,C9411,C9387,C9363)/POBLA!$B$2*100000</f>
        <v>898.15277831063781</v>
      </c>
      <c r="H9675" s="295">
        <f t="shared" si="824"/>
        <v>1.9645828888414765</v>
      </c>
    </row>
    <row r="9676" spans="1:8" x14ac:dyDescent="0.25">
      <c r="A9676" s="105" t="s">
        <v>29</v>
      </c>
      <c r="B9676" s="19">
        <v>44296</v>
      </c>
      <c r="C9676" s="4">
        <v>159</v>
      </c>
      <c r="D9676" s="21">
        <f t="shared" si="823"/>
        <v>11574</v>
      </c>
      <c r="F9676" s="57">
        <f t="shared" si="825"/>
        <v>18</v>
      </c>
      <c r="G9676" s="238">
        <f>SUM(C9676,C9652,C9628,C9604,C9580,C9556,C9532,C9508,C9484,C9460,C9436,C9412,C9388,C9364)/POBLA!$B$3*100000</f>
        <v>343.73360164452941</v>
      </c>
      <c r="H9676" s="295">
        <f t="shared" si="824"/>
        <v>1.2194705380017079</v>
      </c>
    </row>
    <row r="9677" spans="1:8" x14ac:dyDescent="0.25">
      <c r="A9677" s="105" t="s">
        <v>16</v>
      </c>
      <c r="B9677" s="19">
        <v>44296</v>
      </c>
      <c r="C9677" s="4">
        <v>196</v>
      </c>
      <c r="D9677" s="21">
        <f t="shared" si="823"/>
        <v>40204</v>
      </c>
      <c r="E9677" s="4">
        <v>1</v>
      </c>
      <c r="F9677" s="57">
        <f t="shared" si="825"/>
        <v>964</v>
      </c>
      <c r="G9677" s="238">
        <f>SUM(C9677,C9653,C9629,C9605,C9581,C9557,C9533,C9509,C9485,C9461,C9437,C9413,C9389,C9365)/POBLA!$B$4*100000</f>
        <v>192.27240915834332</v>
      </c>
      <c r="H9677" s="295">
        <f t="shared" si="824"/>
        <v>1.1392031480570586</v>
      </c>
    </row>
    <row r="9678" spans="1:8" x14ac:dyDescent="0.25">
      <c r="A9678" s="105" t="s">
        <v>30</v>
      </c>
      <c r="B9678" s="19">
        <v>44296</v>
      </c>
      <c r="C9678" s="4">
        <v>88</v>
      </c>
      <c r="D9678" s="21">
        <f t="shared" si="823"/>
        <v>51294</v>
      </c>
      <c r="E9678" s="4">
        <v>1</v>
      </c>
      <c r="F9678" s="57">
        <f t="shared" si="825"/>
        <v>877</v>
      </c>
      <c r="G9678" s="238">
        <f>SUM(C9678,C9654,C9630,C9606,C9582,C9558,C9534,C9510,C9486,C9462,C9438,C9414,C9390,C9366)/POBLA!$B$5*100000</f>
        <v>291.11752294852619</v>
      </c>
      <c r="H9678" s="295">
        <f t="shared" si="824"/>
        <v>1.2992069214131219</v>
      </c>
    </row>
    <row r="9679" spans="1:8" x14ac:dyDescent="0.25">
      <c r="A9679" s="105" t="s">
        <v>31</v>
      </c>
      <c r="B9679" s="19">
        <v>44296</v>
      </c>
      <c r="C9679" s="4">
        <v>238</v>
      </c>
      <c r="D9679" s="21">
        <f t="shared" si="823"/>
        <v>33012</v>
      </c>
      <c r="E9679" s="4">
        <v>2</v>
      </c>
      <c r="F9679" s="57">
        <f t="shared" si="825"/>
        <v>343</v>
      </c>
      <c r="G9679" s="238">
        <f>SUM(C9679,C9655,C9631,C9607,C9583,C9559,C9535,C9511,C9487,C9463,C9439,C9415,C9391,C9367)/POBLA!$B$6*100000</f>
        <v>455.12093583071396</v>
      </c>
      <c r="H9679" s="295">
        <f t="shared" si="824"/>
        <v>1.6604817708333333</v>
      </c>
    </row>
    <row r="9680" spans="1:8" x14ac:dyDescent="0.25">
      <c r="A9680" s="105" t="s">
        <v>21</v>
      </c>
      <c r="B9680" s="19">
        <v>44296</v>
      </c>
      <c r="C9680" s="4">
        <v>1212</v>
      </c>
      <c r="D9680" s="21">
        <f t="shared" si="823"/>
        <v>194132</v>
      </c>
      <c r="E9680" s="4">
        <v>1</v>
      </c>
      <c r="F9680" s="57">
        <f t="shared" si="825"/>
        <v>3105</v>
      </c>
      <c r="G9680" s="238">
        <f>SUM(C9680,C9656,C9632,C9608,C9584,C9560,C9536,C9512,C9488,C9464,C9440,C9416,C9392,C9368)/POBLA!$B$7*100000</f>
        <v>454.83918148093977</v>
      </c>
      <c r="H9680" s="295">
        <f t="shared" si="824"/>
        <v>1.8137857900318133</v>
      </c>
    </row>
    <row r="9681" spans="1:8" x14ac:dyDescent="0.25">
      <c r="A9681" s="105" t="s">
        <v>32</v>
      </c>
      <c r="B9681" s="19">
        <v>44296</v>
      </c>
      <c r="C9681" s="4">
        <v>442</v>
      </c>
      <c r="D9681" s="21">
        <f t="shared" si="823"/>
        <v>52864</v>
      </c>
      <c r="E9681" s="4">
        <v>1</v>
      </c>
      <c r="F9681" s="57">
        <f t="shared" si="825"/>
        <v>962</v>
      </c>
      <c r="G9681" s="238">
        <f>SUM(C9681,C9657,C9633,C9609,C9585,C9561,C9537,C9513,C9489,C9465,C9441,C9417,C9393,C9369)/POBLA!$B$8*100000</f>
        <v>268.91088565984182</v>
      </c>
      <c r="H9681" s="295">
        <f t="shared" si="824"/>
        <v>1.6016330038676407</v>
      </c>
    </row>
    <row r="9682" spans="1:8" x14ac:dyDescent="0.25">
      <c r="A9682" s="105" t="s">
        <v>42</v>
      </c>
      <c r="B9682" s="19">
        <v>44296</v>
      </c>
      <c r="C9682" s="4">
        <v>7</v>
      </c>
      <c r="D9682" s="21">
        <f t="shared" si="823"/>
        <v>2648</v>
      </c>
      <c r="F9682" s="57">
        <f t="shared" si="825"/>
        <v>49</v>
      </c>
      <c r="G9682" s="238">
        <f>SUM(C9682,C9658,C9634,C9610,C9586,C9562,C9538,C9514,C9490,C9466,C9442,C9418,C9394,C9370)/POBLA!$B$9*100000</f>
        <v>115.83081760694522</v>
      </c>
      <c r="H9682" s="295">
        <f t="shared" si="824"/>
        <v>1.6494117647058824</v>
      </c>
    </row>
    <row r="9683" spans="1:8" x14ac:dyDescent="0.25">
      <c r="A9683" s="105" t="s">
        <v>33</v>
      </c>
      <c r="B9683" s="19">
        <v>44296</v>
      </c>
      <c r="C9683" s="4">
        <v>36</v>
      </c>
      <c r="D9683" s="21">
        <f t="shared" si="823"/>
        <v>22980</v>
      </c>
      <c r="E9683" s="4">
        <v>2</v>
      </c>
      <c r="F9683" s="57">
        <f t="shared" si="825"/>
        <v>985</v>
      </c>
      <c r="G9683" s="238">
        <f>SUM(C9683,C9659,C9635,C9611,C9587,C9563,C9539,C9515,C9491,C9467,C9443,C9419,C9395,C9371)/POBLA!$B$10*100000</f>
        <v>94.826568562462938</v>
      </c>
      <c r="H9683" s="295">
        <f t="shared" si="824"/>
        <v>1.1475667189952905</v>
      </c>
    </row>
    <row r="9684" spans="1:8" x14ac:dyDescent="0.25">
      <c r="A9684" s="105" t="s">
        <v>34</v>
      </c>
      <c r="B9684" s="19">
        <v>44296</v>
      </c>
      <c r="C9684" s="4">
        <v>141</v>
      </c>
      <c r="D9684" s="21">
        <f t="shared" si="823"/>
        <v>22611</v>
      </c>
      <c r="E9684" s="4">
        <v>1</v>
      </c>
      <c r="F9684" s="57">
        <f t="shared" si="825"/>
        <v>331</v>
      </c>
      <c r="G9684" s="238">
        <f>SUM(C9684,C9660,C9636,C9612,C9588,C9564,C9540,C9516,C9492,C9468,C9444,C9420,C9396,C9372)/POBLA!$B$11*100000</f>
        <v>446.6726929815751</v>
      </c>
      <c r="H9684" s="295">
        <f t="shared" si="824"/>
        <v>1.3375104427736006</v>
      </c>
    </row>
    <row r="9685" spans="1:8" x14ac:dyDescent="0.25">
      <c r="A9685" s="105" t="s">
        <v>22</v>
      </c>
      <c r="B9685" s="19">
        <v>44296</v>
      </c>
      <c r="C9685" s="4">
        <v>127</v>
      </c>
      <c r="D9685" s="21">
        <f t="shared" si="823"/>
        <v>11901</v>
      </c>
      <c r="F9685" s="57">
        <f t="shared" si="825"/>
        <v>451</v>
      </c>
      <c r="G9685" s="238">
        <f>SUM(C9685,C9661,C9637,C9613,C9589,C9565,C9541,C9517,C9493,C9469,C9445,C9421,C9397,C9373)/POBLA!$B$12*100000</f>
        <v>265.79862831644772</v>
      </c>
      <c r="H9685" s="295">
        <f t="shared" si="824"/>
        <v>2.9885714285714284</v>
      </c>
    </row>
    <row r="9686" spans="1:8" x14ac:dyDescent="0.25">
      <c r="A9686" s="105" t="s">
        <v>18</v>
      </c>
      <c r="B9686" s="19">
        <v>44296</v>
      </c>
      <c r="C9686" s="4">
        <v>759</v>
      </c>
      <c r="D9686" s="21">
        <f t="shared" si="823"/>
        <v>79605</v>
      </c>
      <c r="E9686" s="4">
        <v>50</v>
      </c>
      <c r="F9686" s="57">
        <f t="shared" si="825"/>
        <v>1588</v>
      </c>
      <c r="G9686" s="238">
        <f>SUM(C9686,C9662,C9638,C9614,C9590,C9566,C9542,C9518,C9494,C9470,C9446,C9422,C9398,C9374)/POBLA!$B$13*100000</f>
        <v>395.86241130903392</v>
      </c>
      <c r="H9686" s="295">
        <f t="shared" si="824"/>
        <v>3.2584780810587262</v>
      </c>
    </row>
    <row r="9687" spans="1:8" x14ac:dyDescent="0.25">
      <c r="A9687" s="105" t="s">
        <v>24</v>
      </c>
      <c r="B9687" s="19">
        <v>44296</v>
      </c>
      <c r="C9687" s="4">
        <v>187</v>
      </c>
      <c r="D9687" s="21">
        <f t="shared" si="823"/>
        <v>13225</v>
      </c>
      <c r="E9687" s="4">
        <v>2</v>
      </c>
      <c r="F9687" s="57">
        <f t="shared" si="825"/>
        <v>221</v>
      </c>
      <c r="G9687" s="238">
        <f>SUM(C9687,C9663,C9639,C9615,C9591,C9567,C9543,C9519,C9495,C9471,C9447,C9423,C9399,C9375)/POBLA!$B$14*100000</f>
        <v>132.32442237892198</v>
      </c>
      <c r="H9687" s="295">
        <f t="shared" si="824"/>
        <v>0.97716627634660425</v>
      </c>
    </row>
    <row r="9688" spans="1:8" x14ac:dyDescent="0.25">
      <c r="A9688" s="105" t="s">
        <v>20</v>
      </c>
      <c r="B9688" s="19">
        <v>44296</v>
      </c>
      <c r="C9688" s="4">
        <v>145</v>
      </c>
      <c r="D9688" s="21">
        <f t="shared" si="823"/>
        <v>66493</v>
      </c>
      <c r="F9688" s="57">
        <f t="shared" si="825"/>
        <v>1018</v>
      </c>
      <c r="G9688" s="238">
        <f>SUM(C9688,C9664,C9640,C9616,C9592,C9568,C9544,C9520,C9496,C9472,C9448,C9424,C9400,C9376)/POBLA!$B$15*100000</f>
        <v>255.09858340473784</v>
      </c>
      <c r="H9688" s="295">
        <f t="shared" si="824"/>
        <v>1.0210970464135021</v>
      </c>
    </row>
    <row r="9689" spans="1:8" x14ac:dyDescent="0.25">
      <c r="A9689" s="105" t="s">
        <v>19</v>
      </c>
      <c r="B9689" s="19">
        <v>44296</v>
      </c>
      <c r="C9689" s="4">
        <v>110</v>
      </c>
      <c r="D9689" s="21">
        <f t="shared" si="823"/>
        <v>56704</v>
      </c>
      <c r="E9689" s="4">
        <v>2</v>
      </c>
      <c r="F9689" s="57">
        <f t="shared" si="825"/>
        <v>1303</v>
      </c>
      <c r="G9689" s="238">
        <f>SUM(C9689,C9665,C9641,C9617,C9593,C9569,C9545,C9521,C9497,C9473,C9449,C9425,C9401,C9377)/POBLA!$B$16*100000</f>
        <v>229.93271893099345</v>
      </c>
      <c r="H9689" s="295">
        <f t="shared" si="824"/>
        <v>1.3919028340080972</v>
      </c>
    </row>
    <row r="9690" spans="1:8" x14ac:dyDescent="0.25">
      <c r="A9690" s="105" t="s">
        <v>35</v>
      </c>
      <c r="B9690" s="19">
        <v>44296</v>
      </c>
      <c r="C9690" s="4">
        <v>222</v>
      </c>
      <c r="D9690" s="21">
        <f t="shared" si="823"/>
        <v>30956</v>
      </c>
      <c r="F9690" s="57">
        <f t="shared" si="825"/>
        <v>1232</v>
      </c>
      <c r="G9690" s="238">
        <f>SUM(C9690,C9666,C9642,C9618,C9594,C9570,C9546,C9522,C9498,C9474,C9450,C9426,C9402,C9378)/POBLA!$B$17*100000</f>
        <v>142.6568576036035</v>
      </c>
      <c r="H9690" s="295">
        <f t="shared" ref="H9690:H9697" si="826">SUM(C9690,C9666,C9642,C9618,C9594,C9570,C9546,C9522,C9498,C9474,C9450,C9426,C9402,C9378)/SUM(C9354,C9330,C9306,C9282,C9258,C9234,C9210,C9186,C9162,C9138,C9114,C9090,C9066,C9042)</f>
        <v>1.5255255255255256</v>
      </c>
    </row>
    <row r="9691" spans="1:8" x14ac:dyDescent="0.25">
      <c r="A9691" s="105" t="s">
        <v>36</v>
      </c>
      <c r="B9691" s="19">
        <v>44296</v>
      </c>
      <c r="C9691" s="4">
        <v>50</v>
      </c>
      <c r="D9691" s="21">
        <f t="shared" si="823"/>
        <v>18737</v>
      </c>
      <c r="F9691" s="57">
        <f t="shared" si="825"/>
        <v>229</v>
      </c>
      <c r="G9691" s="238">
        <f>SUM(C9691,C9667,C9643,C9619,C9595,C9571,C9547,C9523,C9499,C9475,C9451,C9427,C9403,C9379)/POBLA!$B$18*100000</f>
        <v>247.4344516312369</v>
      </c>
      <c r="H9691" s="295">
        <f t="shared" si="826"/>
        <v>2.0695931477516059</v>
      </c>
    </row>
    <row r="9692" spans="1:8" x14ac:dyDescent="0.25">
      <c r="A9692" s="105" t="s">
        <v>37</v>
      </c>
      <c r="B9692" s="19">
        <v>44296</v>
      </c>
      <c r="C9692" s="4">
        <v>392</v>
      </c>
      <c r="D9692" s="21">
        <f t="shared" si="823"/>
        <v>25994</v>
      </c>
      <c r="E9692" s="4">
        <v>1</v>
      </c>
      <c r="F9692" s="57">
        <f t="shared" si="825"/>
        <v>442</v>
      </c>
      <c r="G9692" s="238">
        <f>SUM(C9692,C9668,C9644,C9620,C9596,C9572,C9548,C9524,C9500,C9476,C9452,C9428,C9404,C9380)/POBLA!$B$19*100000</f>
        <v>756.99154876379032</v>
      </c>
      <c r="H9692" s="295">
        <f t="shared" si="826"/>
        <v>6.1079365079365076</v>
      </c>
    </row>
    <row r="9693" spans="1:8" x14ac:dyDescent="0.25">
      <c r="A9693" s="105" t="s">
        <v>38</v>
      </c>
      <c r="B9693" s="19">
        <v>44296</v>
      </c>
      <c r="C9693" s="4">
        <v>193</v>
      </c>
      <c r="D9693" s="21">
        <f t="shared" si="823"/>
        <v>40874</v>
      </c>
      <c r="F9693" s="57">
        <f t="shared" si="825"/>
        <v>660</v>
      </c>
      <c r="G9693" s="238">
        <f>SUM(C9693,C9669,C9645,C9621,C9597,C9573,C9549,C9525,C9501,C9477,C9453,C9429,C9405,C9381)/POBLA!$B$20*100000</f>
        <v>552.36834765298147</v>
      </c>
      <c r="H9693" s="295">
        <f t="shared" si="826"/>
        <v>1.3202614379084967</v>
      </c>
    </row>
    <row r="9694" spans="1:8" x14ac:dyDescent="0.25">
      <c r="A9694" s="105" t="s">
        <v>23</v>
      </c>
      <c r="B9694" s="19">
        <v>44296</v>
      </c>
      <c r="C9694" s="4">
        <v>1185</v>
      </c>
      <c r="D9694" s="21">
        <f t="shared" si="823"/>
        <v>241210</v>
      </c>
      <c r="E9694" s="4">
        <v>1</v>
      </c>
      <c r="F9694" s="57">
        <f t="shared" si="825"/>
        <v>4340</v>
      </c>
      <c r="G9694" s="238">
        <f>SUM(C9694,C9670,C9646,C9622,C9598,C9574,C9550,C9526,C9502,C9478,C9454,C9430,C9406,C9382)/POBLA!$B$21*100000</f>
        <v>347.44195963259995</v>
      </c>
      <c r="H9694" s="295">
        <f t="shared" si="826"/>
        <v>1.8071775261067804</v>
      </c>
    </row>
    <row r="9695" spans="1:8" x14ac:dyDescent="0.25">
      <c r="A9695" s="105" t="s">
        <v>39</v>
      </c>
      <c r="B9695" s="19">
        <v>44296</v>
      </c>
      <c r="C9695" s="4">
        <v>207</v>
      </c>
      <c r="D9695" s="21">
        <f t="shared" si="823"/>
        <v>26637</v>
      </c>
      <c r="E9695" s="4">
        <v>1</v>
      </c>
      <c r="F9695" s="57">
        <f t="shared" si="825"/>
        <v>304</v>
      </c>
      <c r="G9695" s="238">
        <f>SUM(C9695,C9671,C9647,C9623,C9599,C9575,C9551,C9527,C9503,C9479,C9455,C9431,C9407,C9383)/POBLA!$B$22*100000</f>
        <v>197.78946001944163</v>
      </c>
      <c r="H9695" s="295">
        <f t="shared" si="826"/>
        <v>1.4659090909090908</v>
      </c>
    </row>
    <row r="9696" spans="1:8" x14ac:dyDescent="0.25">
      <c r="A9696" s="105" t="s">
        <v>40</v>
      </c>
      <c r="B9696" s="19">
        <v>44296</v>
      </c>
      <c r="C9696" s="4">
        <v>69</v>
      </c>
      <c r="D9696" s="21">
        <f t="shared" si="823"/>
        <v>24774</v>
      </c>
      <c r="F9696" s="57">
        <f t="shared" si="825"/>
        <v>370</v>
      </c>
      <c r="G9696" s="238">
        <f>SUM(C9696,C9672,C9648,C9624,C9600,C9576,C9552,C9528,C9504,C9480,C9456,C9432,C9408,C9384)/POBLA!$B$23*100000</f>
        <v>516.8806198043319</v>
      </c>
      <c r="H9696" s="295">
        <f t="shared" si="826"/>
        <v>1.7212806026365348</v>
      </c>
    </row>
    <row r="9697" spans="1:8" ht="15.75" thickBot="1" x14ac:dyDescent="0.3">
      <c r="A9697" s="106" t="s">
        <v>41</v>
      </c>
      <c r="B9697" s="36">
        <v>44296</v>
      </c>
      <c r="C9697" s="37">
        <v>414</v>
      </c>
      <c r="D9697" s="98">
        <f t="shared" si="823"/>
        <v>93005</v>
      </c>
      <c r="E9697" s="37"/>
      <c r="F9697" s="255">
        <f t="shared" si="825"/>
        <v>1525</v>
      </c>
      <c r="G9697" s="256">
        <f>SUM(C9697,C9673,C9649,C9625,C9601,C9577,C9553,C9529,C9505,C9481,C9457,C9433,C9409,C9385)/POBLA!$B$24*100000</f>
        <v>405.39200876166024</v>
      </c>
      <c r="H9697" s="296">
        <f t="shared" si="826"/>
        <v>1.6805283757338552</v>
      </c>
    </row>
    <row r="9698" spans="1:8" x14ac:dyDescent="0.25">
      <c r="A9698" s="385"/>
      <c r="B9698" s="31"/>
      <c r="C9698" s="31"/>
      <c r="D9698" s="108"/>
      <c r="E9698" s="31"/>
    </row>
  </sheetData>
  <autoFilter ref="A1:H9577" xr:uid="{5FE24857-404C-485B-9226-DFEF87E52CC6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1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1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1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1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1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50">
    <cfRule type="cellIs" dxfId="603" priority="931" operator="lessThan">
      <formula>1.2</formula>
    </cfRule>
    <cfRule type="cellIs" dxfId="602" priority="932" operator="greaterThanOrEqual">
      <formula>1.2</formula>
    </cfRule>
  </conditionalFormatting>
  <conditionalFormatting sqref="H7851:H7873">
    <cfRule type="cellIs" dxfId="601" priority="929" operator="lessThan">
      <formula>1.2</formula>
    </cfRule>
    <cfRule type="cellIs" dxfId="600" priority="930" operator="greaterThanOrEqual">
      <formula>1.2</formula>
    </cfRule>
  </conditionalFormatting>
  <conditionalFormatting sqref="D7874:D7897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599" priority="923" operator="lessThan">
      <formula>1.2</formula>
    </cfRule>
    <cfRule type="cellIs" dxfId="598" priority="924" operator="greaterThanOrEqual">
      <formula>1.2</formula>
    </cfRule>
  </conditionalFormatting>
  <conditionalFormatting sqref="H7875:H7897">
    <cfRule type="cellIs" dxfId="597" priority="921" operator="lessThan">
      <formula>1.2</formula>
    </cfRule>
    <cfRule type="cellIs" dxfId="596" priority="922" operator="greaterThanOrEqual">
      <formula>1.2</formula>
    </cfRule>
  </conditionalFormatting>
  <conditionalFormatting sqref="D7898:D7921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26">
    <cfRule type="cellIs" dxfId="595" priority="867" operator="lessThan">
      <formula>1.2</formula>
    </cfRule>
    <cfRule type="cellIs" dxfId="594" priority="868" operator="greaterThanOrEqual">
      <formula>1.2</formula>
    </cfRule>
  </conditionalFormatting>
  <conditionalFormatting sqref="H7827:H7849">
    <cfRule type="cellIs" dxfId="593" priority="865" operator="lessThan">
      <formula>1.2</formula>
    </cfRule>
    <cfRule type="cellIs" dxfId="592" priority="866" operator="greaterThanOrEqual">
      <formula>1.2</formula>
    </cfRule>
  </conditionalFormatting>
  <conditionalFormatting sqref="H7802">
    <cfRule type="cellIs" dxfId="591" priority="861" operator="lessThan">
      <formula>1.2</formula>
    </cfRule>
    <cfRule type="cellIs" dxfId="590" priority="862" operator="greaterThanOrEqual">
      <formula>1.2</formula>
    </cfRule>
  </conditionalFormatting>
  <conditionalFormatting sqref="H7803:H7825">
    <cfRule type="cellIs" dxfId="589" priority="859" operator="lessThan">
      <formula>1.2</formula>
    </cfRule>
    <cfRule type="cellIs" dxfId="588" priority="860" operator="greaterThanOrEqual">
      <formula>1.2</formula>
    </cfRule>
  </conditionalFormatting>
  <conditionalFormatting sqref="D8042:D8065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14:F8137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9:H7921">
    <cfRule type="cellIs" dxfId="587" priority="773" operator="lessThan">
      <formula>1.2</formula>
    </cfRule>
    <cfRule type="cellIs" dxfId="586" priority="774" operator="greaterThanOrEqual">
      <formula>1.2</formula>
    </cfRule>
  </conditionalFormatting>
  <conditionalFormatting sqref="H7898">
    <cfRule type="cellIs" dxfId="585" priority="775" operator="lessThan">
      <formula>1.2</formula>
    </cfRule>
    <cfRule type="cellIs" dxfId="584" priority="776" operator="greaterThanOrEqual">
      <formula>1.2</formula>
    </cfRule>
  </conditionalFormatting>
  <conditionalFormatting sqref="D8138:D8161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38:F8161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2:D8185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2:F8185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86:D8209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86:F8209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10:D8233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10:F823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34:D8257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34:F8257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58:D8281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58:F8281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82:D8305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82:F8305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06:D8329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06:F8329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30:D8353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30:F8353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54:D8377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54:F8377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78:D8401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02:D8425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78:F8401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3:H8425">
    <cfRule type="cellIs" dxfId="583" priority="677" operator="lessThan">
      <formula>1.2</formula>
    </cfRule>
    <cfRule type="cellIs" dxfId="582" priority="678" operator="greaterThanOrEqual">
      <formula>1.2</formula>
    </cfRule>
  </conditionalFormatting>
  <conditionalFormatting sqref="F8402:F8425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2">
    <cfRule type="cellIs" dxfId="581" priority="679" operator="lessThan">
      <formula>1.2</formula>
    </cfRule>
    <cfRule type="cellIs" dxfId="580" priority="680" operator="greaterThanOrEqual">
      <formula>1.2</formula>
    </cfRule>
  </conditionalFormatting>
  <conditionalFormatting sqref="H8379:H8401">
    <cfRule type="cellIs" dxfId="579" priority="671" operator="lessThan">
      <formula>1.2</formula>
    </cfRule>
    <cfRule type="cellIs" dxfId="578" priority="672" operator="greaterThanOrEqual">
      <formula>1.2</formula>
    </cfRule>
  </conditionalFormatting>
  <conditionalFormatting sqref="H8378">
    <cfRule type="cellIs" dxfId="577" priority="673" operator="lessThan">
      <formula>1.2</formula>
    </cfRule>
    <cfRule type="cellIs" dxfId="576" priority="674" operator="greaterThanOrEqual">
      <formula>1.2</formula>
    </cfRule>
  </conditionalFormatting>
  <conditionalFormatting sqref="H8355:H8377">
    <cfRule type="cellIs" dxfId="575" priority="665" operator="lessThan">
      <formula>1.2</formula>
    </cfRule>
    <cfRule type="cellIs" dxfId="574" priority="666" operator="greaterThanOrEqual">
      <formula>1.2</formula>
    </cfRule>
  </conditionalFormatting>
  <conditionalFormatting sqref="H8354">
    <cfRule type="cellIs" dxfId="573" priority="667" operator="lessThan">
      <formula>1.2</formula>
    </cfRule>
    <cfRule type="cellIs" dxfId="572" priority="668" operator="greaterThanOrEqual">
      <formula>1.2</formula>
    </cfRule>
  </conditionalFormatting>
  <conditionalFormatting sqref="H8331:H8353">
    <cfRule type="cellIs" dxfId="571" priority="659" operator="lessThan">
      <formula>1.2</formula>
    </cfRule>
    <cfRule type="cellIs" dxfId="570" priority="660" operator="greaterThanOrEqual">
      <formula>1.2</formula>
    </cfRule>
  </conditionalFormatting>
  <conditionalFormatting sqref="H8330">
    <cfRule type="cellIs" dxfId="569" priority="661" operator="lessThan">
      <formula>1.2</formula>
    </cfRule>
    <cfRule type="cellIs" dxfId="568" priority="662" operator="greaterThanOrEqual">
      <formula>1.2</formula>
    </cfRule>
  </conditionalFormatting>
  <conditionalFormatting sqref="H8307:H8329">
    <cfRule type="cellIs" dxfId="567" priority="653" operator="lessThan">
      <formula>1.2</formula>
    </cfRule>
    <cfRule type="cellIs" dxfId="566" priority="654" operator="greaterThanOrEqual">
      <formula>1.2</formula>
    </cfRule>
  </conditionalFormatting>
  <conditionalFormatting sqref="H8306">
    <cfRule type="cellIs" dxfId="565" priority="655" operator="lessThan">
      <formula>1.2</formula>
    </cfRule>
    <cfRule type="cellIs" dxfId="564" priority="656" operator="greaterThanOrEqual">
      <formula>1.2</formula>
    </cfRule>
  </conditionalFormatting>
  <conditionalFormatting sqref="H8283:H8305">
    <cfRule type="cellIs" dxfId="563" priority="647" operator="lessThan">
      <formula>1.2</formula>
    </cfRule>
    <cfRule type="cellIs" dxfId="562" priority="648" operator="greaterThanOrEqual">
      <formula>1.2</formula>
    </cfRule>
  </conditionalFormatting>
  <conditionalFormatting sqref="H8282">
    <cfRule type="cellIs" dxfId="561" priority="649" operator="lessThan">
      <formula>1.2</formula>
    </cfRule>
    <cfRule type="cellIs" dxfId="560" priority="650" operator="greaterThanOrEqual">
      <formula>1.2</formula>
    </cfRule>
  </conditionalFormatting>
  <conditionalFormatting sqref="H8259:H8281">
    <cfRule type="cellIs" dxfId="559" priority="641" operator="lessThan">
      <formula>1.2</formula>
    </cfRule>
    <cfRule type="cellIs" dxfId="558" priority="642" operator="greaterThanOrEqual">
      <formula>1.2</formula>
    </cfRule>
  </conditionalFormatting>
  <conditionalFormatting sqref="H8258">
    <cfRule type="cellIs" dxfId="557" priority="643" operator="lessThan">
      <formula>1.2</formula>
    </cfRule>
    <cfRule type="cellIs" dxfId="556" priority="644" operator="greaterThanOrEqual">
      <formula>1.2</formula>
    </cfRule>
  </conditionalFormatting>
  <conditionalFormatting sqref="H8235:H8257">
    <cfRule type="cellIs" dxfId="555" priority="635" operator="lessThan">
      <formula>1.2</formula>
    </cfRule>
    <cfRule type="cellIs" dxfId="554" priority="636" operator="greaterThanOrEqual">
      <formula>1.2</formula>
    </cfRule>
  </conditionalFormatting>
  <conditionalFormatting sqref="H8234">
    <cfRule type="cellIs" dxfId="553" priority="637" operator="lessThan">
      <formula>1.2</formula>
    </cfRule>
    <cfRule type="cellIs" dxfId="552" priority="638" operator="greaterThanOrEqual">
      <formula>1.2</formula>
    </cfRule>
  </conditionalFormatting>
  <conditionalFormatting sqref="H8211:H8233">
    <cfRule type="cellIs" dxfId="551" priority="629" operator="lessThan">
      <formula>1.2</formula>
    </cfRule>
    <cfRule type="cellIs" dxfId="550" priority="630" operator="greaterThanOrEqual">
      <formula>1.2</formula>
    </cfRule>
  </conditionalFormatting>
  <conditionalFormatting sqref="H8210">
    <cfRule type="cellIs" dxfId="549" priority="631" operator="lessThan">
      <formula>1.2</formula>
    </cfRule>
    <cfRule type="cellIs" dxfId="548" priority="632" operator="greaterThanOrEqual">
      <formula>1.2</formula>
    </cfRule>
  </conditionalFormatting>
  <conditionalFormatting sqref="H8187:H8209">
    <cfRule type="cellIs" dxfId="547" priority="623" operator="lessThan">
      <formula>1.2</formula>
    </cfRule>
    <cfRule type="cellIs" dxfId="546" priority="624" operator="greaterThanOrEqual">
      <formula>1.2</formula>
    </cfRule>
  </conditionalFormatting>
  <conditionalFormatting sqref="H8186">
    <cfRule type="cellIs" dxfId="545" priority="625" operator="lessThan">
      <formula>1.2</formula>
    </cfRule>
    <cfRule type="cellIs" dxfId="544" priority="626" operator="greaterThanOrEqual">
      <formula>1.2</formula>
    </cfRule>
  </conditionalFormatting>
  <conditionalFormatting sqref="H8163:H8185">
    <cfRule type="cellIs" dxfId="543" priority="617" operator="lessThan">
      <formula>1.2</formula>
    </cfRule>
    <cfRule type="cellIs" dxfId="542" priority="618" operator="greaterThanOrEqual">
      <formula>1.2</formula>
    </cfRule>
  </conditionalFormatting>
  <conditionalFormatting sqref="H8162">
    <cfRule type="cellIs" dxfId="541" priority="619" operator="lessThan">
      <formula>1.2</formula>
    </cfRule>
    <cfRule type="cellIs" dxfId="540" priority="620" operator="greaterThanOrEqual">
      <formula>1.2</formula>
    </cfRule>
  </conditionalFormatting>
  <conditionalFormatting sqref="H8139:H8161">
    <cfRule type="cellIs" dxfId="539" priority="611" operator="lessThan">
      <formula>1.2</formula>
    </cfRule>
    <cfRule type="cellIs" dxfId="538" priority="612" operator="greaterThanOrEqual">
      <formula>1.2</formula>
    </cfRule>
  </conditionalFormatting>
  <conditionalFormatting sqref="H8138">
    <cfRule type="cellIs" dxfId="537" priority="613" operator="lessThan">
      <formula>1.2</formula>
    </cfRule>
    <cfRule type="cellIs" dxfId="536" priority="614" operator="greaterThanOrEqual">
      <formula>1.2</formula>
    </cfRule>
  </conditionalFormatting>
  <conditionalFormatting sqref="H8115:H8137">
    <cfRule type="cellIs" dxfId="535" priority="605" operator="lessThan">
      <formula>1.2</formula>
    </cfRule>
    <cfRule type="cellIs" dxfId="534" priority="606" operator="greaterThanOrEqual">
      <formula>1.2</formula>
    </cfRule>
  </conditionalFormatting>
  <conditionalFormatting sqref="H8114">
    <cfRule type="cellIs" dxfId="533" priority="607" operator="lessThan">
      <formula>1.2</formula>
    </cfRule>
    <cfRule type="cellIs" dxfId="532" priority="608" operator="greaterThanOrEqual">
      <formula>1.2</formula>
    </cfRule>
  </conditionalFormatting>
  <conditionalFormatting sqref="H8091:H8113">
    <cfRule type="cellIs" dxfId="531" priority="599" operator="lessThan">
      <formula>1.2</formula>
    </cfRule>
    <cfRule type="cellIs" dxfId="530" priority="600" operator="greaterThanOrEqual">
      <formula>1.2</formula>
    </cfRule>
  </conditionalFormatting>
  <conditionalFormatting sqref="H8090">
    <cfRule type="cellIs" dxfId="529" priority="601" operator="lessThan">
      <formula>1.2</formula>
    </cfRule>
    <cfRule type="cellIs" dxfId="528" priority="602" operator="greaterThanOrEqual">
      <formula>1.2</formula>
    </cfRule>
  </conditionalFormatting>
  <conditionalFormatting sqref="H8067:H8089">
    <cfRule type="cellIs" dxfId="527" priority="593" operator="lessThan">
      <formula>1.2</formula>
    </cfRule>
    <cfRule type="cellIs" dxfId="526" priority="594" operator="greaterThanOrEqual">
      <formula>1.2</formula>
    </cfRule>
  </conditionalFormatting>
  <conditionalFormatting sqref="H8066">
    <cfRule type="cellIs" dxfId="525" priority="595" operator="lessThan">
      <formula>1.2</formula>
    </cfRule>
    <cfRule type="cellIs" dxfId="524" priority="596" operator="greaterThanOrEqual">
      <formula>1.2</formula>
    </cfRule>
  </conditionalFormatting>
  <conditionalFormatting sqref="H8043:H8065">
    <cfRule type="cellIs" dxfId="523" priority="587" operator="lessThan">
      <formula>1.2</formula>
    </cfRule>
    <cfRule type="cellIs" dxfId="522" priority="588" operator="greaterThanOrEqual">
      <formula>1.2</formula>
    </cfRule>
  </conditionalFormatting>
  <conditionalFormatting sqref="H8042">
    <cfRule type="cellIs" dxfId="521" priority="589" operator="lessThan">
      <formula>1.2</formula>
    </cfRule>
    <cfRule type="cellIs" dxfId="520" priority="590" operator="greaterThanOrEqual">
      <formula>1.2</formula>
    </cfRule>
  </conditionalFormatting>
  <conditionalFormatting sqref="H8019:H8041">
    <cfRule type="cellIs" dxfId="519" priority="581" operator="lessThan">
      <formula>1.2</formula>
    </cfRule>
    <cfRule type="cellIs" dxfId="518" priority="582" operator="greaterThanOrEqual">
      <formula>1.2</formula>
    </cfRule>
  </conditionalFormatting>
  <conditionalFormatting sqref="H8018">
    <cfRule type="cellIs" dxfId="517" priority="583" operator="lessThan">
      <formula>1.2</formula>
    </cfRule>
    <cfRule type="cellIs" dxfId="516" priority="584" operator="greaterThanOrEqual">
      <formula>1.2</formula>
    </cfRule>
  </conditionalFormatting>
  <conditionalFormatting sqref="H7995:H8017">
    <cfRule type="cellIs" dxfId="515" priority="575" operator="lessThan">
      <formula>1.2</formula>
    </cfRule>
    <cfRule type="cellIs" dxfId="514" priority="576" operator="greaterThanOrEqual">
      <formula>1.2</formula>
    </cfRule>
  </conditionalFormatting>
  <conditionalFormatting sqref="H7994">
    <cfRule type="cellIs" dxfId="513" priority="577" operator="lessThan">
      <formula>1.2</formula>
    </cfRule>
    <cfRule type="cellIs" dxfId="512" priority="578" operator="greaterThanOrEqual">
      <formula>1.2</formula>
    </cfRule>
  </conditionalFormatting>
  <conditionalFormatting sqref="H7971:H7993">
    <cfRule type="cellIs" dxfId="511" priority="569" operator="lessThan">
      <formula>1.2</formula>
    </cfRule>
    <cfRule type="cellIs" dxfId="510" priority="570" operator="greaterThanOrEqual">
      <formula>1.2</formula>
    </cfRule>
  </conditionalFormatting>
  <conditionalFormatting sqref="H7970">
    <cfRule type="cellIs" dxfId="509" priority="571" operator="lessThan">
      <formula>1.2</formula>
    </cfRule>
    <cfRule type="cellIs" dxfId="508" priority="572" operator="greaterThanOrEqual">
      <formula>1.2</formula>
    </cfRule>
  </conditionalFormatting>
  <conditionalFormatting sqref="H7947:H7969">
    <cfRule type="cellIs" dxfId="507" priority="563" operator="lessThan">
      <formula>1.2</formula>
    </cfRule>
    <cfRule type="cellIs" dxfId="506" priority="564" operator="greaterThanOrEqual">
      <formula>1.2</formula>
    </cfRule>
  </conditionalFormatting>
  <conditionalFormatting sqref="H7946">
    <cfRule type="cellIs" dxfId="505" priority="565" operator="lessThan">
      <formula>1.2</formula>
    </cfRule>
    <cfRule type="cellIs" dxfId="504" priority="566" operator="greaterThanOrEqual">
      <formula>1.2</formula>
    </cfRule>
  </conditionalFormatting>
  <conditionalFormatting sqref="H7923:H7945">
    <cfRule type="cellIs" dxfId="503" priority="557" operator="lessThan">
      <formula>1.2</formula>
    </cfRule>
    <cfRule type="cellIs" dxfId="502" priority="558" operator="greaterThanOrEqual">
      <formula>1.2</formula>
    </cfRule>
  </conditionalFormatting>
  <conditionalFormatting sqref="H7922">
    <cfRule type="cellIs" dxfId="501" priority="559" operator="lessThan">
      <formula>1.2</formula>
    </cfRule>
    <cfRule type="cellIs" dxfId="500" priority="560" operator="greaterThanOrEqual">
      <formula>1.2</formula>
    </cfRule>
  </conditionalFormatting>
  <conditionalFormatting sqref="D8426:D8449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7:H8449">
    <cfRule type="cellIs" dxfId="499" priority="497" operator="lessThan">
      <formula>1.2</formula>
    </cfRule>
    <cfRule type="cellIs" dxfId="498" priority="498" operator="greaterThanOrEqual">
      <formula>1.2</formula>
    </cfRule>
  </conditionalFormatting>
  <conditionalFormatting sqref="F8426:F8449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6">
    <cfRule type="cellIs" dxfId="497" priority="499" operator="lessThan">
      <formula>1.2</formula>
    </cfRule>
    <cfRule type="cellIs" dxfId="496" priority="500" operator="greaterThanOrEqual">
      <formula>1.2</formula>
    </cfRule>
  </conditionalFormatting>
  <conditionalFormatting sqref="D8450:D8473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1:H8473">
    <cfRule type="cellIs" dxfId="495" priority="489" operator="lessThan">
      <formula>1.2</formula>
    </cfRule>
    <cfRule type="cellIs" dxfId="494" priority="490" operator="greaterThanOrEqual">
      <formula>1.2</formula>
    </cfRule>
  </conditionalFormatting>
  <conditionalFormatting sqref="F8450:F8473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0">
    <cfRule type="cellIs" dxfId="493" priority="491" operator="lessThan">
      <formula>1.2</formula>
    </cfRule>
    <cfRule type="cellIs" dxfId="492" priority="492" operator="greaterThanOrEqual">
      <formula>1.2</formula>
    </cfRule>
  </conditionalFormatting>
  <conditionalFormatting sqref="H8547:H8569">
    <cfRule type="cellIs" dxfId="491" priority="457" operator="lessThan">
      <formula>1.2</formula>
    </cfRule>
    <cfRule type="cellIs" dxfId="490" priority="458" operator="greaterThanOrEqual">
      <formula>1.2</formula>
    </cfRule>
  </conditionalFormatting>
  <conditionalFormatting sqref="D8474:D8497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5:H8497">
    <cfRule type="cellIs" dxfId="489" priority="481" operator="lessThan">
      <formula>1.2</formula>
    </cfRule>
    <cfRule type="cellIs" dxfId="488" priority="482" operator="greaterThanOrEqual">
      <formula>1.2</formula>
    </cfRule>
  </conditionalFormatting>
  <conditionalFormatting sqref="F8474:F8497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4">
    <cfRule type="cellIs" dxfId="487" priority="483" operator="lessThan">
      <formula>1.2</formula>
    </cfRule>
    <cfRule type="cellIs" dxfId="486" priority="484" operator="greaterThanOrEqual">
      <formula>1.2</formula>
    </cfRule>
  </conditionalFormatting>
  <conditionalFormatting sqref="D8498:D8521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9:H8521">
    <cfRule type="cellIs" dxfId="485" priority="473" operator="lessThan">
      <formula>1.2</formula>
    </cfRule>
    <cfRule type="cellIs" dxfId="484" priority="474" operator="greaterThanOrEqual">
      <formula>1.2</formula>
    </cfRule>
  </conditionalFormatting>
  <conditionalFormatting sqref="F8498:F8521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8">
    <cfRule type="cellIs" dxfId="483" priority="475" operator="lessThan">
      <formula>1.2</formula>
    </cfRule>
    <cfRule type="cellIs" dxfId="482" priority="476" operator="greaterThanOrEqual">
      <formula>1.2</formula>
    </cfRule>
  </conditionalFormatting>
  <conditionalFormatting sqref="D8522:D8545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3:H8545">
    <cfRule type="cellIs" dxfId="481" priority="465" operator="lessThan">
      <formula>1.2</formula>
    </cfRule>
    <cfRule type="cellIs" dxfId="480" priority="466" operator="greaterThanOrEqual">
      <formula>1.2</formula>
    </cfRule>
  </conditionalFormatting>
  <conditionalFormatting sqref="F8522:F8545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2">
    <cfRule type="cellIs" dxfId="479" priority="467" operator="lessThan">
      <formula>1.2</formula>
    </cfRule>
    <cfRule type="cellIs" dxfId="478" priority="468" operator="greaterThanOrEqual">
      <formula>1.2</formula>
    </cfRule>
  </conditionalFormatting>
  <conditionalFormatting sqref="D8546:D856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94:G8617">
    <cfRule type="cellIs" dxfId="477" priority="382" operator="lessThan">
      <formula>150</formula>
    </cfRule>
    <cfRule type="cellIs" dxfId="476" priority="383" operator="greaterThanOrEqual">
      <formula>150</formula>
    </cfRule>
  </conditionalFormatting>
  <conditionalFormatting sqref="F8546:F8569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46">
    <cfRule type="cellIs" dxfId="475" priority="459" operator="lessThan">
      <formula>1.2</formula>
    </cfRule>
    <cfRule type="cellIs" dxfId="474" priority="460" operator="greaterThanOrEqual">
      <formula>1.2</formula>
    </cfRule>
  </conditionalFormatting>
  <conditionalFormatting sqref="D8570:D8593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1:H8593">
    <cfRule type="cellIs" dxfId="473" priority="449" operator="lessThan">
      <formula>1.2</formula>
    </cfRule>
    <cfRule type="cellIs" dxfId="472" priority="450" operator="greaterThanOrEqual">
      <formula>1.2</formula>
    </cfRule>
  </conditionalFormatting>
  <conditionalFormatting sqref="G8570:G8593">
    <cfRule type="cellIs" dxfId="471" priority="454" operator="lessThan">
      <formula>150</formula>
    </cfRule>
    <cfRule type="cellIs" dxfId="470" priority="455" operator="greaterThanOrEqual">
      <formula>150</formula>
    </cfRule>
  </conditionalFormatting>
  <conditionalFormatting sqref="F8570:F8593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0">
    <cfRule type="cellIs" dxfId="469" priority="451" operator="lessThan">
      <formula>1.2</formula>
    </cfRule>
    <cfRule type="cellIs" dxfId="468" priority="452" operator="greaterThanOrEqual">
      <formula>1.2</formula>
    </cfRule>
  </conditionalFormatting>
  <conditionalFormatting sqref="G8546:G8569">
    <cfRule type="cellIs" dxfId="467" priority="447" operator="lessThan">
      <formula>150</formula>
    </cfRule>
    <cfRule type="cellIs" dxfId="466" priority="448" operator="greaterThanOrEqual">
      <formula>150</formula>
    </cfRule>
  </conditionalFormatting>
  <conditionalFormatting sqref="G8522:G8545">
    <cfRule type="cellIs" dxfId="465" priority="445" operator="lessThan">
      <formula>150</formula>
    </cfRule>
    <cfRule type="cellIs" dxfId="464" priority="446" operator="greaterThanOrEqual">
      <formula>150</formula>
    </cfRule>
  </conditionalFormatting>
  <conditionalFormatting sqref="G8498:G8521">
    <cfRule type="cellIs" dxfId="463" priority="443" operator="lessThan">
      <formula>150</formula>
    </cfRule>
    <cfRule type="cellIs" dxfId="462" priority="444" operator="greaterThanOrEqual">
      <formula>150</formula>
    </cfRule>
  </conditionalFormatting>
  <conditionalFormatting sqref="G8474:G8497">
    <cfRule type="cellIs" dxfId="461" priority="441" operator="lessThan">
      <formula>150</formula>
    </cfRule>
    <cfRule type="cellIs" dxfId="460" priority="442" operator="greaterThanOrEqual">
      <formula>150</formula>
    </cfRule>
  </conditionalFormatting>
  <conditionalFormatting sqref="G8450:G8473">
    <cfRule type="cellIs" dxfId="459" priority="439" operator="lessThan">
      <formula>150</formula>
    </cfRule>
    <cfRule type="cellIs" dxfId="458" priority="440" operator="greaterThanOrEqual">
      <formula>150</formula>
    </cfRule>
  </conditionalFormatting>
  <conditionalFormatting sqref="G8426:G8449">
    <cfRule type="cellIs" dxfId="457" priority="437" operator="lessThan">
      <formula>150</formula>
    </cfRule>
    <cfRule type="cellIs" dxfId="456" priority="438" operator="greaterThanOrEqual">
      <formula>150</formula>
    </cfRule>
  </conditionalFormatting>
  <conditionalFormatting sqref="G8402:G8425">
    <cfRule type="cellIs" dxfId="455" priority="435" operator="lessThan">
      <formula>150</formula>
    </cfRule>
    <cfRule type="cellIs" dxfId="454" priority="436" operator="greaterThanOrEqual">
      <formula>150</formula>
    </cfRule>
  </conditionalFormatting>
  <conditionalFormatting sqref="G8378:G8401">
    <cfRule type="cellIs" dxfId="453" priority="433" operator="lessThan">
      <formula>150</formula>
    </cfRule>
    <cfRule type="cellIs" dxfId="452" priority="434" operator="greaterThanOrEqual">
      <formula>150</formula>
    </cfRule>
  </conditionalFormatting>
  <conditionalFormatting sqref="G8354:G8377">
    <cfRule type="cellIs" dxfId="451" priority="431" operator="lessThan">
      <formula>150</formula>
    </cfRule>
    <cfRule type="cellIs" dxfId="450" priority="432" operator="greaterThanOrEqual">
      <formula>150</formula>
    </cfRule>
  </conditionalFormatting>
  <conditionalFormatting sqref="G8330:G8353">
    <cfRule type="cellIs" dxfId="449" priority="429" operator="lessThan">
      <formula>150</formula>
    </cfRule>
    <cfRule type="cellIs" dxfId="448" priority="430" operator="greaterThanOrEqual">
      <formula>150</formula>
    </cfRule>
  </conditionalFormatting>
  <conditionalFormatting sqref="G8306:G8329">
    <cfRule type="cellIs" dxfId="447" priority="427" operator="lessThan">
      <formula>150</formula>
    </cfRule>
    <cfRule type="cellIs" dxfId="446" priority="428" operator="greaterThanOrEqual">
      <formula>150</formula>
    </cfRule>
  </conditionalFormatting>
  <conditionalFormatting sqref="G8282:G8305">
    <cfRule type="cellIs" dxfId="445" priority="425" operator="lessThan">
      <formula>150</formula>
    </cfRule>
    <cfRule type="cellIs" dxfId="444" priority="426" operator="greaterThanOrEqual">
      <formula>150</formula>
    </cfRule>
  </conditionalFormatting>
  <conditionalFormatting sqref="G8258:G8281">
    <cfRule type="cellIs" dxfId="443" priority="423" operator="lessThan">
      <formula>150</formula>
    </cfRule>
    <cfRule type="cellIs" dxfId="442" priority="424" operator="greaterThanOrEqual">
      <formula>150</formula>
    </cfRule>
  </conditionalFormatting>
  <conditionalFormatting sqref="G8234:G8257">
    <cfRule type="cellIs" dxfId="441" priority="421" operator="lessThan">
      <formula>150</formula>
    </cfRule>
    <cfRule type="cellIs" dxfId="440" priority="422" operator="greaterThanOrEqual">
      <formula>150</formula>
    </cfRule>
  </conditionalFormatting>
  <conditionalFormatting sqref="G8210:G8233">
    <cfRule type="cellIs" dxfId="439" priority="419" operator="lessThan">
      <formula>150</formula>
    </cfRule>
    <cfRule type="cellIs" dxfId="438" priority="420" operator="greaterThanOrEqual">
      <formula>150</formula>
    </cfRule>
  </conditionalFormatting>
  <conditionalFormatting sqref="G8186:G8209">
    <cfRule type="cellIs" dxfId="437" priority="417" operator="lessThan">
      <formula>150</formula>
    </cfRule>
    <cfRule type="cellIs" dxfId="436" priority="418" operator="greaterThanOrEqual">
      <formula>150</formula>
    </cfRule>
  </conditionalFormatting>
  <conditionalFormatting sqref="G8162:G8185">
    <cfRule type="cellIs" dxfId="435" priority="415" operator="lessThan">
      <formula>150</formula>
    </cfRule>
    <cfRule type="cellIs" dxfId="434" priority="416" operator="greaterThanOrEqual">
      <formula>150</formula>
    </cfRule>
  </conditionalFormatting>
  <conditionalFormatting sqref="G8138:G8161">
    <cfRule type="cellIs" dxfId="433" priority="413" operator="lessThan">
      <formula>150</formula>
    </cfRule>
    <cfRule type="cellIs" dxfId="432" priority="414" operator="greaterThanOrEqual">
      <formula>150</formula>
    </cfRule>
  </conditionalFormatting>
  <conditionalFormatting sqref="G8114:G8137">
    <cfRule type="cellIs" dxfId="431" priority="411" operator="lessThan">
      <formula>150</formula>
    </cfRule>
    <cfRule type="cellIs" dxfId="430" priority="412" operator="greaterThanOrEqual">
      <formula>150</formula>
    </cfRule>
  </conditionalFormatting>
  <conditionalFormatting sqref="G8090:G8113">
    <cfRule type="cellIs" dxfId="429" priority="409" operator="lessThan">
      <formula>150</formula>
    </cfRule>
    <cfRule type="cellIs" dxfId="428" priority="410" operator="greaterThanOrEqual">
      <formula>150</formula>
    </cfRule>
  </conditionalFormatting>
  <conditionalFormatting sqref="G8066:G8089">
    <cfRule type="cellIs" dxfId="427" priority="407" operator="lessThan">
      <formula>150</formula>
    </cfRule>
    <cfRule type="cellIs" dxfId="426" priority="408" operator="greaterThanOrEqual">
      <formula>150</formula>
    </cfRule>
  </conditionalFormatting>
  <conditionalFormatting sqref="G8042:G8065">
    <cfRule type="cellIs" dxfId="425" priority="405" operator="lessThan">
      <formula>150</formula>
    </cfRule>
    <cfRule type="cellIs" dxfId="424" priority="406" operator="greaterThanOrEqual">
      <formula>150</formula>
    </cfRule>
  </conditionalFormatting>
  <conditionalFormatting sqref="G8018:G8041">
    <cfRule type="cellIs" dxfId="423" priority="403" operator="lessThan">
      <formula>150</formula>
    </cfRule>
    <cfRule type="cellIs" dxfId="422" priority="404" operator="greaterThanOrEqual">
      <formula>150</formula>
    </cfRule>
  </conditionalFormatting>
  <conditionalFormatting sqref="G7994:G8017">
    <cfRule type="cellIs" dxfId="421" priority="401" operator="lessThan">
      <formula>150</formula>
    </cfRule>
    <cfRule type="cellIs" dxfId="420" priority="402" operator="greaterThanOrEqual">
      <formula>150</formula>
    </cfRule>
  </conditionalFormatting>
  <conditionalFormatting sqref="G7970:G7993">
    <cfRule type="cellIs" dxfId="419" priority="399" operator="lessThan">
      <formula>150</formula>
    </cfRule>
    <cfRule type="cellIs" dxfId="418" priority="400" operator="greaterThanOrEqual">
      <formula>150</formula>
    </cfRule>
  </conditionalFormatting>
  <conditionalFormatting sqref="G7946:G7969">
    <cfRule type="cellIs" dxfId="417" priority="397" operator="lessThan">
      <formula>150</formula>
    </cfRule>
    <cfRule type="cellIs" dxfId="416" priority="398" operator="greaterThanOrEqual">
      <formula>150</formula>
    </cfRule>
  </conditionalFormatting>
  <conditionalFormatting sqref="G7922:G7945">
    <cfRule type="cellIs" dxfId="415" priority="395" operator="lessThan">
      <formula>150</formula>
    </cfRule>
    <cfRule type="cellIs" dxfId="414" priority="396" operator="greaterThanOrEqual">
      <formula>150</formula>
    </cfRule>
  </conditionalFormatting>
  <conditionalFormatting sqref="G7898:G7921">
    <cfRule type="cellIs" dxfId="413" priority="393" operator="lessThan">
      <formula>150</formula>
    </cfRule>
    <cfRule type="cellIs" dxfId="412" priority="394" operator="greaterThanOrEqual">
      <formula>150</formula>
    </cfRule>
  </conditionalFormatting>
  <conditionalFormatting sqref="G7874:G7897">
    <cfRule type="cellIs" dxfId="411" priority="391" operator="lessThan">
      <formula>150</formula>
    </cfRule>
    <cfRule type="cellIs" dxfId="410" priority="392" operator="greaterThanOrEqual">
      <formula>150</formula>
    </cfRule>
  </conditionalFormatting>
  <conditionalFormatting sqref="G7850:G7873">
    <cfRule type="cellIs" dxfId="409" priority="389" operator="lessThan">
      <formula>150</formula>
    </cfRule>
    <cfRule type="cellIs" dxfId="408" priority="390" operator="greaterThanOrEqual">
      <formula>150</formula>
    </cfRule>
  </conditionalFormatting>
  <conditionalFormatting sqref="G7826:G7849">
    <cfRule type="cellIs" dxfId="407" priority="387" operator="lessThan">
      <formula>150</formula>
    </cfRule>
    <cfRule type="cellIs" dxfId="406" priority="388" operator="greaterThanOrEqual">
      <formula>150</formula>
    </cfRule>
  </conditionalFormatting>
  <conditionalFormatting sqref="G7802:G7825">
    <cfRule type="cellIs" dxfId="405" priority="385" operator="lessThan">
      <formula>150</formula>
    </cfRule>
    <cfRule type="cellIs" dxfId="404" priority="386" operator="greaterThanOrEqual">
      <formula>150</formula>
    </cfRule>
  </conditionalFormatting>
  <conditionalFormatting sqref="D8594:D8617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5:H8617">
    <cfRule type="cellIs" dxfId="403" priority="377" operator="lessThan">
      <formula>1.2</formula>
    </cfRule>
    <cfRule type="cellIs" dxfId="402" priority="378" operator="greaterThanOrEqual">
      <formula>1.2</formula>
    </cfRule>
  </conditionalFormatting>
  <conditionalFormatting sqref="F8594:F861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4">
    <cfRule type="cellIs" dxfId="401" priority="379" operator="lessThan">
      <formula>1.2</formula>
    </cfRule>
    <cfRule type="cellIs" dxfId="400" priority="380" operator="greaterThanOrEqual">
      <formula>1.2</formula>
    </cfRule>
  </conditionalFormatting>
  <conditionalFormatting sqref="D8618:D8641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9:H8641">
    <cfRule type="cellIs" dxfId="399" priority="369" operator="lessThan">
      <formula>1.2</formula>
    </cfRule>
    <cfRule type="cellIs" dxfId="398" priority="370" operator="greaterThanOrEqual">
      <formula>1.2</formula>
    </cfRule>
  </conditionalFormatting>
  <conditionalFormatting sqref="G8618:G8641">
    <cfRule type="cellIs" dxfId="397" priority="374" operator="lessThan">
      <formula>150</formula>
    </cfRule>
    <cfRule type="cellIs" dxfId="396" priority="375" operator="greaterThanOrEqual">
      <formula>150</formula>
    </cfRule>
  </conditionalFormatting>
  <conditionalFormatting sqref="F8618:F864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8">
    <cfRule type="cellIs" dxfId="395" priority="371" operator="lessThan">
      <formula>1.2</formula>
    </cfRule>
    <cfRule type="cellIs" dxfId="394" priority="372" operator="greaterThanOrEqual">
      <formula>1.2</formula>
    </cfRule>
  </conditionalFormatting>
  <conditionalFormatting sqref="D8642:D8665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3:H8665">
    <cfRule type="cellIs" dxfId="393" priority="361" operator="lessThan">
      <formula>1.2</formula>
    </cfRule>
    <cfRule type="cellIs" dxfId="392" priority="362" operator="greaterThanOrEqual">
      <formula>1.2</formula>
    </cfRule>
  </conditionalFormatting>
  <conditionalFormatting sqref="G8642:G8665">
    <cfRule type="cellIs" dxfId="391" priority="366" operator="lessThan">
      <formula>150</formula>
    </cfRule>
    <cfRule type="cellIs" dxfId="390" priority="367" operator="greaterThanOrEqual">
      <formula>150</formula>
    </cfRule>
  </conditionalFormatting>
  <conditionalFormatting sqref="F8642:F8665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2">
    <cfRule type="cellIs" dxfId="389" priority="363" operator="lessThan">
      <formula>1.2</formula>
    </cfRule>
    <cfRule type="cellIs" dxfId="388" priority="364" operator="greaterThanOrEqual">
      <formula>1.2</formula>
    </cfRule>
  </conditionalFormatting>
  <conditionalFormatting sqref="D8666:D8689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7:H8689">
    <cfRule type="cellIs" dxfId="387" priority="353" operator="lessThan">
      <formula>1.2</formula>
    </cfRule>
    <cfRule type="cellIs" dxfId="386" priority="354" operator="greaterThanOrEqual">
      <formula>1.2</formula>
    </cfRule>
  </conditionalFormatting>
  <conditionalFormatting sqref="G8666:G8689">
    <cfRule type="cellIs" dxfId="385" priority="358" operator="lessThan">
      <formula>150</formula>
    </cfRule>
    <cfRule type="cellIs" dxfId="384" priority="359" operator="greaterThanOrEqual">
      <formula>150</formula>
    </cfRule>
  </conditionalFormatting>
  <conditionalFormatting sqref="F8666:F8689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6">
    <cfRule type="cellIs" dxfId="383" priority="355" operator="lessThan">
      <formula>1.2</formula>
    </cfRule>
    <cfRule type="cellIs" dxfId="382" priority="356" operator="greaterThanOrEqual">
      <formula>1.2</formula>
    </cfRule>
  </conditionalFormatting>
  <conditionalFormatting sqref="D8690:D8713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1:H8713">
    <cfRule type="cellIs" dxfId="381" priority="345" operator="lessThan">
      <formula>1.2</formula>
    </cfRule>
    <cfRule type="cellIs" dxfId="380" priority="346" operator="greaterThanOrEqual">
      <formula>1.2</formula>
    </cfRule>
  </conditionalFormatting>
  <conditionalFormatting sqref="G8690:G8713">
    <cfRule type="cellIs" dxfId="379" priority="350" operator="lessThan">
      <formula>150</formula>
    </cfRule>
    <cfRule type="cellIs" dxfId="378" priority="351" operator="greaterThanOrEqual">
      <formula>150</formula>
    </cfRule>
  </conditionalFormatting>
  <conditionalFormatting sqref="F8690:F871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0">
    <cfRule type="cellIs" dxfId="377" priority="347" operator="lessThan">
      <formula>1.2</formula>
    </cfRule>
    <cfRule type="cellIs" dxfId="376" priority="348" operator="greaterThanOrEqual">
      <formula>1.2</formula>
    </cfRule>
  </conditionalFormatting>
  <conditionalFormatting sqref="D8714:D8737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5:H8737">
    <cfRule type="cellIs" dxfId="375" priority="337" operator="lessThan">
      <formula>1.2</formula>
    </cfRule>
    <cfRule type="cellIs" dxfId="374" priority="338" operator="greaterThanOrEqual">
      <formula>1.2</formula>
    </cfRule>
  </conditionalFormatting>
  <conditionalFormatting sqref="G8714:G8737">
    <cfRule type="cellIs" dxfId="373" priority="342" operator="lessThan">
      <formula>150</formula>
    </cfRule>
    <cfRule type="cellIs" dxfId="372" priority="343" operator="greaterThanOrEqual">
      <formula>150</formula>
    </cfRule>
  </conditionalFormatting>
  <conditionalFormatting sqref="F8714:F873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4">
    <cfRule type="cellIs" dxfId="371" priority="339" operator="lessThan">
      <formula>1.2</formula>
    </cfRule>
    <cfRule type="cellIs" dxfId="370" priority="340" operator="greaterThanOrEqual">
      <formula>1.2</formula>
    </cfRule>
  </conditionalFormatting>
  <conditionalFormatting sqref="D8738:D8761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9:H8761">
    <cfRule type="cellIs" dxfId="369" priority="329" operator="lessThan">
      <formula>1.2</formula>
    </cfRule>
    <cfRule type="cellIs" dxfId="368" priority="330" operator="greaterThanOrEqual">
      <formula>1.2</formula>
    </cfRule>
  </conditionalFormatting>
  <conditionalFormatting sqref="G8738:G8761">
    <cfRule type="cellIs" dxfId="367" priority="334" operator="lessThan">
      <formula>150</formula>
    </cfRule>
    <cfRule type="cellIs" dxfId="366" priority="335" operator="greaterThanOrEqual">
      <formula>150</formula>
    </cfRule>
  </conditionalFormatting>
  <conditionalFormatting sqref="F8738:F8761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8">
    <cfRule type="cellIs" dxfId="365" priority="331" operator="lessThan">
      <formula>1.2</formula>
    </cfRule>
    <cfRule type="cellIs" dxfId="364" priority="332" operator="greaterThanOrEqual">
      <formula>1.2</formula>
    </cfRule>
  </conditionalFormatting>
  <conditionalFormatting sqref="D8762:D878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3:H8785">
    <cfRule type="cellIs" dxfId="363" priority="321" operator="lessThan">
      <formula>1.2</formula>
    </cfRule>
    <cfRule type="cellIs" dxfId="362" priority="322" operator="greaterThanOrEqual">
      <formula>1.2</formula>
    </cfRule>
  </conditionalFormatting>
  <conditionalFormatting sqref="G8762:G8785">
    <cfRule type="cellIs" dxfId="361" priority="326" operator="lessThan">
      <formula>150</formula>
    </cfRule>
    <cfRule type="cellIs" dxfId="360" priority="327" operator="greaterThanOrEqual">
      <formula>150</formula>
    </cfRule>
  </conditionalFormatting>
  <conditionalFormatting sqref="F8762:F8785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2">
    <cfRule type="cellIs" dxfId="359" priority="323" operator="lessThan">
      <formula>1.2</formula>
    </cfRule>
    <cfRule type="cellIs" dxfId="358" priority="324" operator="greaterThanOrEqual">
      <formula>1.2</formula>
    </cfRule>
  </conditionalFormatting>
  <conditionalFormatting sqref="D8786:D880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7:H8809">
    <cfRule type="cellIs" dxfId="357" priority="313" operator="lessThan">
      <formula>1.2</formula>
    </cfRule>
    <cfRule type="cellIs" dxfId="356" priority="314" operator="greaterThanOrEqual">
      <formula>1.2</formula>
    </cfRule>
  </conditionalFormatting>
  <conditionalFormatting sqref="G8786:G8809">
    <cfRule type="cellIs" dxfId="355" priority="318" operator="lessThan">
      <formula>150</formula>
    </cfRule>
    <cfRule type="cellIs" dxfId="354" priority="319" operator="greaterThanOrEqual">
      <formula>150</formula>
    </cfRule>
  </conditionalFormatting>
  <conditionalFormatting sqref="F8786:F880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6">
    <cfRule type="cellIs" dxfId="353" priority="315" operator="lessThan">
      <formula>1.2</formula>
    </cfRule>
    <cfRule type="cellIs" dxfId="352" priority="316" operator="greaterThanOrEqual">
      <formula>1.2</formula>
    </cfRule>
  </conditionalFormatting>
  <conditionalFormatting sqref="D8810:D8833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1:H8833">
    <cfRule type="cellIs" dxfId="351" priority="305" operator="lessThan">
      <formula>1.2</formula>
    </cfRule>
    <cfRule type="cellIs" dxfId="350" priority="306" operator="greaterThanOrEqual">
      <formula>1.2</formula>
    </cfRule>
  </conditionalFormatting>
  <conditionalFormatting sqref="G8810:G8833">
    <cfRule type="cellIs" dxfId="349" priority="310" operator="lessThan">
      <formula>150</formula>
    </cfRule>
    <cfRule type="cellIs" dxfId="348" priority="311" operator="greaterThanOrEqual">
      <formula>150</formula>
    </cfRule>
  </conditionalFormatting>
  <conditionalFormatting sqref="F8810:F8833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0">
    <cfRule type="cellIs" dxfId="347" priority="307" operator="lessThan">
      <formula>1.2</formula>
    </cfRule>
    <cfRule type="cellIs" dxfId="346" priority="308" operator="greaterThanOrEqual">
      <formula>1.2</formula>
    </cfRule>
  </conditionalFormatting>
  <conditionalFormatting sqref="D8834:D8857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5:H8857">
    <cfRule type="cellIs" dxfId="345" priority="297" operator="lessThan">
      <formula>1.2</formula>
    </cfRule>
    <cfRule type="cellIs" dxfId="344" priority="298" operator="greaterThanOrEqual">
      <formula>1.2</formula>
    </cfRule>
  </conditionalFormatting>
  <conditionalFormatting sqref="G8834:G8857">
    <cfRule type="cellIs" dxfId="343" priority="302" operator="lessThan">
      <formula>150</formula>
    </cfRule>
    <cfRule type="cellIs" dxfId="342" priority="303" operator="greaterThanOrEqual">
      <formula>150</formula>
    </cfRule>
  </conditionalFormatting>
  <conditionalFormatting sqref="F8834:F885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4">
    <cfRule type="cellIs" dxfId="341" priority="299" operator="lessThan">
      <formula>1.2</formula>
    </cfRule>
    <cfRule type="cellIs" dxfId="340" priority="300" operator="greaterThanOrEqual">
      <formula>1.2</formula>
    </cfRule>
  </conditionalFormatting>
  <conditionalFormatting sqref="D8858:D8881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9:H8881">
    <cfRule type="cellIs" dxfId="339" priority="289" operator="lessThan">
      <formula>1.2</formula>
    </cfRule>
    <cfRule type="cellIs" dxfId="338" priority="290" operator="greaterThanOrEqual">
      <formula>1.2</formula>
    </cfRule>
  </conditionalFormatting>
  <conditionalFormatting sqref="G8858:G8881">
    <cfRule type="cellIs" dxfId="337" priority="294" operator="lessThan">
      <formula>150</formula>
    </cfRule>
    <cfRule type="cellIs" dxfId="336" priority="295" operator="greaterThanOrEqual">
      <formula>150</formula>
    </cfRule>
  </conditionalFormatting>
  <conditionalFormatting sqref="F8858:F8881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8">
    <cfRule type="cellIs" dxfId="335" priority="291" operator="lessThan">
      <formula>1.2</formula>
    </cfRule>
    <cfRule type="cellIs" dxfId="334" priority="292" operator="greaterThanOrEqual">
      <formula>1.2</formula>
    </cfRule>
  </conditionalFormatting>
  <conditionalFormatting sqref="D8882:D8905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3:H8905">
    <cfRule type="cellIs" dxfId="333" priority="281" operator="lessThan">
      <formula>1.2</formula>
    </cfRule>
    <cfRule type="cellIs" dxfId="332" priority="282" operator="greaterThanOrEqual">
      <formula>1.2</formula>
    </cfRule>
  </conditionalFormatting>
  <conditionalFormatting sqref="G8882:G8905">
    <cfRule type="cellIs" dxfId="331" priority="286" operator="lessThan">
      <formula>150</formula>
    </cfRule>
    <cfRule type="cellIs" dxfId="330" priority="287" operator="greaterThanOrEqual">
      <formula>150</formula>
    </cfRule>
  </conditionalFormatting>
  <conditionalFormatting sqref="F8882:F8905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2">
    <cfRule type="cellIs" dxfId="329" priority="283" operator="lessThan">
      <formula>1.2</formula>
    </cfRule>
    <cfRule type="cellIs" dxfId="328" priority="284" operator="greaterThanOrEqual">
      <formula>1.2</formula>
    </cfRule>
  </conditionalFormatting>
  <conditionalFormatting sqref="D8906:D892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7:H8929">
    <cfRule type="cellIs" dxfId="327" priority="273" operator="lessThan">
      <formula>1.2</formula>
    </cfRule>
    <cfRule type="cellIs" dxfId="326" priority="274" operator="greaterThanOrEqual">
      <formula>1.2</formula>
    </cfRule>
  </conditionalFormatting>
  <conditionalFormatting sqref="G8906:G8929">
    <cfRule type="cellIs" dxfId="325" priority="278" operator="lessThan">
      <formula>150</formula>
    </cfRule>
    <cfRule type="cellIs" dxfId="324" priority="279" operator="greaterThanOrEqual">
      <formula>150</formula>
    </cfRule>
  </conditionalFormatting>
  <conditionalFormatting sqref="F8906:F892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6">
    <cfRule type="cellIs" dxfId="323" priority="275" operator="lessThan">
      <formula>1.2</formula>
    </cfRule>
    <cfRule type="cellIs" dxfId="322" priority="276" operator="greaterThanOrEqual">
      <formula>1.2</formula>
    </cfRule>
  </conditionalFormatting>
  <conditionalFormatting sqref="D8930:D895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1:H8953">
    <cfRule type="cellIs" dxfId="321" priority="265" operator="lessThan">
      <formula>1.2</formula>
    </cfRule>
    <cfRule type="cellIs" dxfId="320" priority="266" operator="greaterThanOrEqual">
      <formula>1.2</formula>
    </cfRule>
  </conditionalFormatting>
  <conditionalFormatting sqref="G8930:G8953">
    <cfRule type="cellIs" dxfId="319" priority="270" operator="lessThan">
      <formula>150</formula>
    </cfRule>
    <cfRule type="cellIs" dxfId="318" priority="271" operator="greaterThanOrEqual">
      <formula>150</formula>
    </cfRule>
  </conditionalFormatting>
  <conditionalFormatting sqref="F8930:F895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0">
    <cfRule type="cellIs" dxfId="317" priority="267" operator="lessThan">
      <formula>1.2</formula>
    </cfRule>
    <cfRule type="cellIs" dxfId="316" priority="268" operator="greaterThanOrEqual">
      <formula>1.2</formula>
    </cfRule>
  </conditionalFormatting>
  <conditionalFormatting sqref="D8954:D897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5:H8977">
    <cfRule type="cellIs" dxfId="315" priority="257" operator="lessThan">
      <formula>1.2</formula>
    </cfRule>
    <cfRule type="cellIs" dxfId="314" priority="258" operator="greaterThanOrEqual">
      <formula>1.2</formula>
    </cfRule>
  </conditionalFormatting>
  <conditionalFormatting sqref="F8954:F897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4">
    <cfRule type="cellIs" dxfId="313" priority="259" operator="lessThan">
      <formula>1.2</formula>
    </cfRule>
    <cfRule type="cellIs" dxfId="312" priority="260" operator="greaterThanOrEqual">
      <formula>1.2</formula>
    </cfRule>
  </conditionalFormatting>
  <conditionalFormatting sqref="D8978:D900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9:H9001">
    <cfRule type="cellIs" dxfId="311" priority="249" operator="lessThan">
      <formula>1.2</formula>
    </cfRule>
    <cfRule type="cellIs" dxfId="310" priority="250" operator="greaterThanOrEqual">
      <formula>1.2</formula>
    </cfRule>
  </conditionalFormatting>
  <conditionalFormatting sqref="F8978:F900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8">
    <cfRule type="cellIs" dxfId="309" priority="251" operator="lessThan">
      <formula>1.2</formula>
    </cfRule>
    <cfRule type="cellIs" dxfId="308" priority="252" operator="greaterThanOrEqual">
      <formula>1.2</formula>
    </cfRule>
  </conditionalFormatting>
  <conditionalFormatting sqref="D9002:D902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3:H9025">
    <cfRule type="cellIs" dxfId="307" priority="241" operator="lessThan">
      <formula>1.2</formula>
    </cfRule>
    <cfRule type="cellIs" dxfId="306" priority="242" operator="greaterThanOrEqual">
      <formula>1.2</formula>
    </cfRule>
  </conditionalFormatting>
  <conditionalFormatting sqref="F9002:F902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2">
    <cfRule type="cellIs" dxfId="305" priority="243" operator="lessThan">
      <formula>1.2</formula>
    </cfRule>
    <cfRule type="cellIs" dxfId="304" priority="244" operator="greaterThanOrEqual">
      <formula>1.2</formula>
    </cfRule>
  </conditionalFormatting>
  <conditionalFormatting sqref="D9026:D904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7:H9049">
    <cfRule type="cellIs" dxfId="303" priority="233" operator="lessThan">
      <formula>1.2</formula>
    </cfRule>
    <cfRule type="cellIs" dxfId="302" priority="234" operator="greaterThanOrEqual">
      <formula>1.2</formula>
    </cfRule>
  </conditionalFormatting>
  <conditionalFormatting sqref="F9026:F9049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6">
    <cfRule type="cellIs" dxfId="301" priority="235" operator="lessThan">
      <formula>1.2</formula>
    </cfRule>
    <cfRule type="cellIs" dxfId="300" priority="236" operator="greaterThanOrEqual">
      <formula>1.2</formula>
    </cfRule>
  </conditionalFormatting>
  <conditionalFormatting sqref="D9050:D9073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51:H9073">
    <cfRule type="cellIs" dxfId="299" priority="225" operator="lessThan">
      <formula>1.2</formula>
    </cfRule>
    <cfRule type="cellIs" dxfId="298" priority="226" operator="greaterThanOrEqual">
      <formula>1.2</formula>
    </cfRule>
  </conditionalFormatting>
  <conditionalFormatting sqref="F9050:F907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50">
    <cfRule type="cellIs" dxfId="297" priority="227" operator="lessThan">
      <formula>1.2</formula>
    </cfRule>
    <cfRule type="cellIs" dxfId="296" priority="228" operator="greaterThanOrEqual">
      <formula>1.2</formula>
    </cfRule>
  </conditionalFormatting>
  <conditionalFormatting sqref="D9074:D9097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75:H9097">
    <cfRule type="cellIs" dxfId="295" priority="217" operator="lessThan">
      <formula>1.2</formula>
    </cfRule>
    <cfRule type="cellIs" dxfId="294" priority="218" operator="greaterThanOrEqual">
      <formula>1.2</formula>
    </cfRule>
  </conditionalFormatting>
  <conditionalFormatting sqref="F9074:F909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74">
    <cfRule type="cellIs" dxfId="293" priority="219" operator="lessThan">
      <formula>1.2</formula>
    </cfRule>
    <cfRule type="cellIs" dxfId="292" priority="220" operator="greaterThanOrEqual">
      <formula>1.2</formula>
    </cfRule>
  </conditionalFormatting>
  <conditionalFormatting sqref="D9098:D912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99:H9121">
    <cfRule type="cellIs" dxfId="291" priority="209" operator="lessThan">
      <formula>1.2</formula>
    </cfRule>
    <cfRule type="cellIs" dxfId="290" priority="210" operator="greaterThanOrEqual">
      <formula>1.2</formula>
    </cfRule>
  </conditionalFormatting>
  <conditionalFormatting sqref="G9266:G9289">
    <cfRule type="cellIs" dxfId="289" priority="144" operator="lessThan">
      <formula>150</formula>
    </cfRule>
    <cfRule type="cellIs" dxfId="288" priority="145" operator="greaterThanOrEqual">
      <formula>150</formula>
    </cfRule>
  </conditionalFormatting>
  <conditionalFormatting sqref="F9098:F912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98">
    <cfRule type="cellIs" dxfId="287" priority="211" operator="lessThan">
      <formula>1.2</formula>
    </cfRule>
    <cfRule type="cellIs" dxfId="286" priority="212" operator="greaterThanOrEqual">
      <formula>1.2</formula>
    </cfRule>
  </conditionalFormatting>
  <conditionalFormatting sqref="D9122:D914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23:H9145">
    <cfRule type="cellIs" dxfId="285" priority="201" operator="lessThan">
      <formula>1.2</formula>
    </cfRule>
    <cfRule type="cellIs" dxfId="284" priority="202" operator="greaterThanOrEqual">
      <formula>1.2</formula>
    </cfRule>
  </conditionalFormatting>
  <conditionalFormatting sqref="G9122:G9145">
    <cfRule type="cellIs" dxfId="283" priority="206" operator="lessThan">
      <formula>150</formula>
    </cfRule>
    <cfRule type="cellIs" dxfId="282" priority="207" operator="greaterThanOrEqual">
      <formula>150</formula>
    </cfRule>
  </conditionalFormatting>
  <conditionalFormatting sqref="F9122:F914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22">
    <cfRule type="cellIs" dxfId="281" priority="203" operator="lessThan">
      <formula>1.2</formula>
    </cfRule>
    <cfRule type="cellIs" dxfId="280" priority="204" operator="greaterThanOrEqual">
      <formula>1.2</formula>
    </cfRule>
  </conditionalFormatting>
  <conditionalFormatting sqref="D9146:D91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47:H9169">
    <cfRule type="cellIs" dxfId="279" priority="193" operator="lessThan">
      <formula>1.2</formula>
    </cfRule>
    <cfRule type="cellIs" dxfId="278" priority="194" operator="greaterThanOrEqual">
      <formula>1.2</formula>
    </cfRule>
  </conditionalFormatting>
  <conditionalFormatting sqref="G9146:G9169">
    <cfRule type="cellIs" dxfId="277" priority="198" operator="lessThan">
      <formula>150</formula>
    </cfRule>
    <cfRule type="cellIs" dxfId="276" priority="199" operator="greaterThanOrEqual">
      <formula>150</formula>
    </cfRule>
  </conditionalFormatting>
  <conditionalFormatting sqref="F9146:F91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46">
    <cfRule type="cellIs" dxfId="275" priority="195" operator="lessThan">
      <formula>1.2</formula>
    </cfRule>
    <cfRule type="cellIs" dxfId="274" priority="196" operator="greaterThanOrEqual">
      <formula>1.2</formula>
    </cfRule>
  </conditionalFormatting>
  <conditionalFormatting sqref="G9098:G9121">
    <cfRule type="cellIs" dxfId="273" priority="191" operator="lessThan">
      <formula>150</formula>
    </cfRule>
    <cfRule type="cellIs" dxfId="272" priority="192" operator="greaterThanOrEqual">
      <formula>150</formula>
    </cfRule>
  </conditionalFormatting>
  <conditionalFormatting sqref="G9074:G9097">
    <cfRule type="cellIs" dxfId="271" priority="189" operator="lessThan">
      <formula>150</formula>
    </cfRule>
    <cfRule type="cellIs" dxfId="270" priority="190" operator="greaterThanOrEqual">
      <formula>150</formula>
    </cfRule>
  </conditionalFormatting>
  <conditionalFormatting sqref="G9050:G9073">
    <cfRule type="cellIs" dxfId="269" priority="187" operator="lessThan">
      <formula>150</formula>
    </cfRule>
    <cfRule type="cellIs" dxfId="268" priority="188" operator="greaterThanOrEqual">
      <formula>150</formula>
    </cfRule>
  </conditionalFormatting>
  <conditionalFormatting sqref="G9026:G9049">
    <cfRule type="cellIs" dxfId="267" priority="185" operator="lessThan">
      <formula>150</formula>
    </cfRule>
    <cfRule type="cellIs" dxfId="266" priority="186" operator="greaterThanOrEqual">
      <formula>150</formula>
    </cfRule>
  </conditionalFormatting>
  <conditionalFormatting sqref="G9002:G9025">
    <cfRule type="cellIs" dxfId="265" priority="183" operator="lessThan">
      <formula>150</formula>
    </cfRule>
    <cfRule type="cellIs" dxfId="264" priority="184" operator="greaterThanOrEqual">
      <formula>150</formula>
    </cfRule>
  </conditionalFormatting>
  <conditionalFormatting sqref="G8978:G9001">
    <cfRule type="cellIs" dxfId="263" priority="181" operator="lessThan">
      <formula>150</formula>
    </cfRule>
    <cfRule type="cellIs" dxfId="262" priority="182" operator="greaterThanOrEqual">
      <formula>150</formula>
    </cfRule>
  </conditionalFormatting>
  <conditionalFormatting sqref="G8954:G8977">
    <cfRule type="cellIs" dxfId="261" priority="179" operator="lessThan">
      <formula>150</formula>
    </cfRule>
    <cfRule type="cellIs" dxfId="260" priority="180" operator="greaterThanOrEqual">
      <formula>150</formula>
    </cfRule>
  </conditionalFormatting>
  <conditionalFormatting sqref="D9170:D919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71:H9193">
    <cfRule type="cellIs" dxfId="259" priority="171" operator="lessThan">
      <formula>1.2</formula>
    </cfRule>
    <cfRule type="cellIs" dxfId="258" priority="172" operator="greaterThanOrEqual">
      <formula>1.2</formula>
    </cfRule>
  </conditionalFormatting>
  <conditionalFormatting sqref="G9170:G9193">
    <cfRule type="cellIs" dxfId="257" priority="176" operator="lessThan">
      <formula>150</formula>
    </cfRule>
    <cfRule type="cellIs" dxfId="256" priority="177" operator="greaterThanOrEqual">
      <formula>150</formula>
    </cfRule>
  </conditionalFormatting>
  <conditionalFormatting sqref="F9170:F919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70">
    <cfRule type="cellIs" dxfId="255" priority="173" operator="lessThan">
      <formula>1.2</formula>
    </cfRule>
    <cfRule type="cellIs" dxfId="254" priority="174" operator="greaterThanOrEqual">
      <formula>1.2</formula>
    </cfRule>
  </conditionalFormatting>
  <conditionalFormatting sqref="D9194:D921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95:H9217">
    <cfRule type="cellIs" dxfId="253" priority="163" operator="lessThan">
      <formula>1.2</formula>
    </cfRule>
    <cfRule type="cellIs" dxfId="252" priority="164" operator="greaterThanOrEqual">
      <formula>1.2</formula>
    </cfRule>
  </conditionalFormatting>
  <conditionalFormatting sqref="G9194:G9217">
    <cfRule type="cellIs" dxfId="251" priority="168" operator="lessThan">
      <formula>150</formula>
    </cfRule>
    <cfRule type="cellIs" dxfId="250" priority="169" operator="greaterThanOrEqual">
      <formula>150</formula>
    </cfRule>
  </conditionalFormatting>
  <conditionalFormatting sqref="F9194:F921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94">
    <cfRule type="cellIs" dxfId="249" priority="165" operator="lessThan">
      <formula>1.2</formula>
    </cfRule>
    <cfRule type="cellIs" dxfId="248" priority="166" operator="greaterThanOrEqual">
      <formula>1.2</formula>
    </cfRule>
  </conditionalFormatting>
  <conditionalFormatting sqref="D9218:D9241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19:H9241">
    <cfRule type="cellIs" dxfId="247" priority="155" operator="lessThan">
      <formula>1.2</formula>
    </cfRule>
    <cfRule type="cellIs" dxfId="246" priority="156" operator="greaterThanOrEqual">
      <formula>1.2</formula>
    </cfRule>
  </conditionalFormatting>
  <conditionalFormatting sqref="G9218:G9241">
    <cfRule type="cellIs" dxfId="245" priority="160" operator="lessThan">
      <formula>150</formula>
    </cfRule>
    <cfRule type="cellIs" dxfId="244" priority="161" operator="greaterThanOrEqual">
      <formula>150</formula>
    </cfRule>
  </conditionalFormatting>
  <conditionalFormatting sqref="F9218:F924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18">
    <cfRule type="cellIs" dxfId="243" priority="157" operator="lessThan">
      <formula>1.2</formula>
    </cfRule>
    <cfRule type="cellIs" dxfId="242" priority="158" operator="greaterThanOrEqual">
      <formula>1.2</formula>
    </cfRule>
  </conditionalFormatting>
  <conditionalFormatting sqref="D9242:D926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43:H9265">
    <cfRule type="cellIs" dxfId="241" priority="147" operator="lessThan">
      <formula>1.2</formula>
    </cfRule>
    <cfRule type="cellIs" dxfId="240" priority="148" operator="greaterThanOrEqual">
      <formula>1.2</formula>
    </cfRule>
  </conditionalFormatting>
  <conditionalFormatting sqref="G9242:G9265">
    <cfRule type="cellIs" dxfId="239" priority="152" operator="lessThan">
      <formula>150</formula>
    </cfRule>
    <cfRule type="cellIs" dxfId="238" priority="153" operator="greaterThanOrEqual">
      <formula>150</formula>
    </cfRule>
  </conditionalFormatting>
  <conditionalFormatting sqref="F9242:F926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42">
    <cfRule type="cellIs" dxfId="237" priority="149" operator="lessThan">
      <formula>1.2</formula>
    </cfRule>
    <cfRule type="cellIs" dxfId="236" priority="150" operator="greaterThanOrEqual">
      <formula>1.2</formula>
    </cfRule>
  </conditionalFormatting>
  <conditionalFormatting sqref="D9266:D928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67:H9289">
    <cfRule type="cellIs" dxfId="235" priority="139" operator="lessThan">
      <formula>1.2</formula>
    </cfRule>
    <cfRule type="cellIs" dxfId="234" priority="140" operator="greaterThanOrEqual">
      <formula>1.2</formula>
    </cfRule>
  </conditionalFormatting>
  <conditionalFormatting sqref="F9266:F928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66">
    <cfRule type="cellIs" dxfId="233" priority="141" operator="lessThan">
      <formula>1.2</formula>
    </cfRule>
    <cfRule type="cellIs" dxfId="232" priority="142" operator="greaterThanOrEqual">
      <formula>1.2</formula>
    </cfRule>
  </conditionalFormatting>
  <conditionalFormatting sqref="H9291:H9313">
    <cfRule type="cellIs" dxfId="231" priority="132" operator="lessThan">
      <formula>1.2</formula>
    </cfRule>
    <cfRule type="cellIs" dxfId="230" priority="133" operator="greaterThanOrEqual">
      <formula>1.2</formula>
    </cfRule>
  </conditionalFormatting>
  <conditionalFormatting sqref="G9290:G9313">
    <cfRule type="cellIs" dxfId="229" priority="137" operator="lessThan">
      <formula>150</formula>
    </cfRule>
    <cfRule type="cellIs" dxfId="228" priority="138" operator="greaterThanOrEqual">
      <formula>150</formula>
    </cfRule>
  </conditionalFormatting>
  <conditionalFormatting sqref="F9290:F931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90">
    <cfRule type="cellIs" dxfId="227" priority="134" operator="lessThan">
      <formula>1.2</formula>
    </cfRule>
    <cfRule type="cellIs" dxfId="226" priority="135" operator="greaterThanOrEqual">
      <formula>1.2</formula>
    </cfRule>
  </conditionalFormatting>
  <conditionalFormatting sqref="D9290:D931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14:D933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15:H9337">
    <cfRule type="cellIs" dxfId="225" priority="123" operator="lessThan">
      <formula>1.2</formula>
    </cfRule>
    <cfRule type="cellIs" dxfId="224" priority="124" operator="greaterThanOrEqual">
      <formula>1.2</formula>
    </cfRule>
  </conditionalFormatting>
  <conditionalFormatting sqref="G9314:G9337">
    <cfRule type="cellIs" dxfId="223" priority="128" operator="lessThan">
      <formula>150</formula>
    </cfRule>
    <cfRule type="cellIs" dxfId="222" priority="129" operator="greaterThanOrEqual">
      <formula>150</formula>
    </cfRule>
  </conditionalFormatting>
  <conditionalFormatting sqref="F9314:F933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14">
    <cfRule type="cellIs" dxfId="221" priority="125" operator="lessThan">
      <formula>1.2</formula>
    </cfRule>
    <cfRule type="cellIs" dxfId="220" priority="126" operator="greaterThanOrEqual">
      <formula>1.2</formula>
    </cfRule>
  </conditionalFormatting>
  <conditionalFormatting sqref="D9338:D936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39:H9361">
    <cfRule type="cellIs" dxfId="219" priority="115" operator="lessThan">
      <formula>1.2</formula>
    </cfRule>
    <cfRule type="cellIs" dxfId="218" priority="116" operator="greaterThanOrEqual">
      <formula>1.2</formula>
    </cfRule>
  </conditionalFormatting>
  <conditionalFormatting sqref="G9338:G9361">
    <cfRule type="cellIs" dxfId="217" priority="120" operator="lessThan">
      <formula>150</formula>
    </cfRule>
    <cfRule type="cellIs" dxfId="216" priority="121" operator="greaterThanOrEqual">
      <formula>150</formula>
    </cfRule>
  </conditionalFormatting>
  <conditionalFormatting sqref="F9338:F936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38">
    <cfRule type="cellIs" dxfId="215" priority="117" operator="lessThan">
      <formula>1.2</formula>
    </cfRule>
    <cfRule type="cellIs" dxfId="214" priority="118" operator="greaterThanOrEqual">
      <formula>1.2</formula>
    </cfRule>
  </conditionalFormatting>
  <conditionalFormatting sqref="D9362:D938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63:H9385">
    <cfRule type="cellIs" dxfId="213" priority="107" operator="lessThan">
      <formula>1.2</formula>
    </cfRule>
    <cfRule type="cellIs" dxfId="212" priority="108" operator="greaterThanOrEqual">
      <formula>1.2</formula>
    </cfRule>
  </conditionalFormatting>
  <conditionalFormatting sqref="G9362:G9385">
    <cfRule type="cellIs" dxfId="211" priority="112" operator="lessThan">
      <formula>150</formula>
    </cfRule>
    <cfRule type="cellIs" dxfId="210" priority="113" operator="greaterThanOrEqual">
      <formula>150</formula>
    </cfRule>
  </conditionalFormatting>
  <conditionalFormatting sqref="F9362:F938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62">
    <cfRule type="cellIs" dxfId="209" priority="109" operator="lessThan">
      <formula>1.2</formula>
    </cfRule>
    <cfRule type="cellIs" dxfId="208" priority="110" operator="greaterThanOrEqual">
      <formula>1.2</formula>
    </cfRule>
  </conditionalFormatting>
  <conditionalFormatting sqref="H9435:H9457">
    <cfRule type="cellIs" dxfId="207" priority="83" operator="lessThan">
      <formula>1.2</formula>
    </cfRule>
    <cfRule type="cellIs" dxfId="206" priority="84" operator="greaterThanOrEqual">
      <formula>1.2</formula>
    </cfRule>
  </conditionalFormatting>
  <conditionalFormatting sqref="D9386:D940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87:H9409">
    <cfRule type="cellIs" dxfId="205" priority="99" operator="lessThan">
      <formula>1.2</formula>
    </cfRule>
    <cfRule type="cellIs" dxfId="204" priority="100" operator="greaterThanOrEqual">
      <formula>1.2</formula>
    </cfRule>
  </conditionalFormatting>
  <conditionalFormatting sqref="G9386:G9409">
    <cfRule type="cellIs" dxfId="203" priority="104" operator="lessThan">
      <formula>150</formula>
    </cfRule>
    <cfRule type="cellIs" dxfId="202" priority="105" operator="greaterThanOrEqual">
      <formula>150</formula>
    </cfRule>
  </conditionalFormatting>
  <conditionalFormatting sqref="F9386:F940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86">
    <cfRule type="cellIs" dxfId="201" priority="101" operator="lessThan">
      <formula>1.2</formula>
    </cfRule>
    <cfRule type="cellIs" dxfId="200" priority="102" operator="greaterThanOrEqual">
      <formula>1.2</formula>
    </cfRule>
  </conditionalFormatting>
  <conditionalFormatting sqref="D9410:D943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11:H9433">
    <cfRule type="cellIs" dxfId="199" priority="91" operator="lessThan">
      <formula>1.2</formula>
    </cfRule>
    <cfRule type="cellIs" dxfId="198" priority="92" operator="greaterThanOrEqual">
      <formula>1.2</formula>
    </cfRule>
  </conditionalFormatting>
  <conditionalFormatting sqref="G9410:G9433">
    <cfRule type="cellIs" dxfId="197" priority="96" operator="lessThan">
      <formula>150</formula>
    </cfRule>
    <cfRule type="cellIs" dxfId="196" priority="97" operator="greaterThanOrEqual">
      <formula>150</formula>
    </cfRule>
  </conditionalFormatting>
  <conditionalFormatting sqref="F9410:F943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10">
    <cfRule type="cellIs" dxfId="195" priority="93" operator="lessThan">
      <formula>1.2</formula>
    </cfRule>
    <cfRule type="cellIs" dxfId="194" priority="94" operator="greaterThanOrEqual">
      <formula>1.2</formula>
    </cfRule>
  </conditionalFormatting>
  <conditionalFormatting sqref="D9434:D945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34:G9457">
    <cfRule type="cellIs" dxfId="193" priority="88" operator="lessThan">
      <formula>150</formula>
    </cfRule>
    <cfRule type="cellIs" dxfId="192" priority="89" operator="greaterThanOrEqual">
      <formula>150</formula>
    </cfRule>
  </conditionalFormatting>
  <conditionalFormatting sqref="F9434:F945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34">
    <cfRule type="cellIs" dxfId="191" priority="85" operator="lessThan">
      <formula>1.2</formula>
    </cfRule>
    <cfRule type="cellIs" dxfId="190" priority="86" operator="greaterThanOrEqual">
      <formula>1.2</formula>
    </cfRule>
  </conditionalFormatting>
  <conditionalFormatting sqref="D9458:D948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59:H9481">
    <cfRule type="cellIs" dxfId="189" priority="75" operator="lessThan">
      <formula>1.2</formula>
    </cfRule>
    <cfRule type="cellIs" dxfId="188" priority="76" operator="greaterThanOrEqual">
      <formula>1.2</formula>
    </cfRule>
  </conditionalFormatting>
  <conditionalFormatting sqref="G9458:G9481">
    <cfRule type="cellIs" dxfId="187" priority="80" operator="lessThan">
      <formula>150</formula>
    </cfRule>
    <cfRule type="cellIs" dxfId="186" priority="81" operator="greaterThanOrEqual">
      <formula>150</formula>
    </cfRule>
  </conditionalFormatting>
  <conditionalFormatting sqref="F9458:F948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58">
    <cfRule type="cellIs" dxfId="185" priority="77" operator="lessThan">
      <formula>1.2</formula>
    </cfRule>
    <cfRule type="cellIs" dxfId="184" priority="78" operator="greaterThanOrEqual">
      <formula>1.2</formula>
    </cfRule>
  </conditionalFormatting>
  <conditionalFormatting sqref="D9482:D950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83:H9505">
    <cfRule type="cellIs" dxfId="183" priority="67" operator="lessThan">
      <formula>1.2</formula>
    </cfRule>
    <cfRule type="cellIs" dxfId="182" priority="68" operator="greaterThanOrEqual">
      <formula>1.2</formula>
    </cfRule>
  </conditionalFormatting>
  <conditionalFormatting sqref="G9482:G9505">
    <cfRule type="cellIs" dxfId="181" priority="72" operator="lessThan">
      <formula>150</formula>
    </cfRule>
    <cfRule type="cellIs" dxfId="180" priority="73" operator="greaterThanOrEqual">
      <formula>150</formula>
    </cfRule>
  </conditionalFormatting>
  <conditionalFormatting sqref="F9482:F950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82">
    <cfRule type="cellIs" dxfId="179" priority="69" operator="lessThan">
      <formula>1.2</formula>
    </cfRule>
    <cfRule type="cellIs" dxfId="178" priority="70" operator="greaterThanOrEqual">
      <formula>1.2</formula>
    </cfRule>
  </conditionalFormatting>
  <conditionalFormatting sqref="D9506:D952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07:H9529">
    <cfRule type="cellIs" dxfId="177" priority="59" operator="lessThan">
      <formula>1.2</formula>
    </cfRule>
    <cfRule type="cellIs" dxfId="176" priority="60" operator="greaterThanOrEqual">
      <formula>1.2</formula>
    </cfRule>
  </conditionalFormatting>
  <conditionalFormatting sqref="G9506:G9529">
    <cfRule type="cellIs" dxfId="175" priority="64" operator="lessThan">
      <formula>150</formula>
    </cfRule>
    <cfRule type="cellIs" dxfId="174" priority="65" operator="greaterThanOrEqual">
      <formula>150</formula>
    </cfRule>
  </conditionalFormatting>
  <conditionalFormatting sqref="F9506:F952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06">
    <cfRule type="cellIs" dxfId="173" priority="61" operator="lessThan">
      <formula>1.2</formula>
    </cfRule>
    <cfRule type="cellIs" dxfId="172" priority="62" operator="greaterThanOrEqual">
      <formula>1.2</formula>
    </cfRule>
  </conditionalFormatting>
  <conditionalFormatting sqref="D9530:D955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31:H9553">
    <cfRule type="cellIs" dxfId="171" priority="51" operator="lessThan">
      <formula>1.2</formula>
    </cfRule>
    <cfRule type="cellIs" dxfId="170" priority="52" operator="greaterThanOrEqual">
      <formula>1.2</formula>
    </cfRule>
  </conditionalFormatting>
  <conditionalFormatting sqref="G9530:G9553">
    <cfRule type="cellIs" dxfId="169" priority="56" operator="lessThan">
      <formula>150</formula>
    </cfRule>
    <cfRule type="cellIs" dxfId="168" priority="57" operator="greaterThanOrEqual">
      <formula>150</formula>
    </cfRule>
  </conditionalFormatting>
  <conditionalFormatting sqref="F9530:F955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30">
    <cfRule type="cellIs" dxfId="167" priority="53" operator="lessThan">
      <formula>1.2</formula>
    </cfRule>
    <cfRule type="cellIs" dxfId="166" priority="54" operator="greaterThanOrEqual">
      <formula>1.2</formula>
    </cfRule>
  </conditionalFormatting>
  <conditionalFormatting sqref="D9554:D957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55:H9577">
    <cfRule type="cellIs" dxfId="165" priority="43" operator="lessThan">
      <formula>1.2</formula>
    </cfRule>
    <cfRule type="cellIs" dxfId="164" priority="44" operator="greaterThanOrEqual">
      <formula>1.2</formula>
    </cfRule>
  </conditionalFormatting>
  <conditionalFormatting sqref="G9554:G9577">
    <cfRule type="cellIs" dxfId="163" priority="48" operator="lessThan">
      <formula>150</formula>
    </cfRule>
    <cfRule type="cellIs" dxfId="162" priority="49" operator="greaterThanOrEqual">
      <formula>150</formula>
    </cfRule>
  </conditionalFormatting>
  <conditionalFormatting sqref="F9554:F957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54">
    <cfRule type="cellIs" dxfId="161" priority="45" operator="lessThan">
      <formula>1.2</formula>
    </cfRule>
    <cfRule type="cellIs" dxfId="160" priority="46" operator="greaterThanOrEqual">
      <formula>1.2</formula>
    </cfRule>
  </conditionalFormatting>
  <conditionalFormatting sqref="D9578:D960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78:G9601">
    <cfRule type="cellIs" dxfId="159" priority="40" operator="lessThan">
      <formula>49</formula>
    </cfRule>
    <cfRule type="cellIs" dxfId="158" priority="41" operator="greaterThanOrEqual">
      <formula>150</formula>
    </cfRule>
    <cfRule type="cellIs" dxfId="157" priority="34" operator="between">
      <formula>49</formula>
      <formula>149</formula>
    </cfRule>
  </conditionalFormatting>
  <conditionalFormatting sqref="F9578:F960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78:H9601">
    <cfRule type="cellIs" dxfId="156" priority="33" operator="between">
      <formula>0.8</formula>
      <formula>1.2</formula>
    </cfRule>
    <cfRule type="cellIs" dxfId="155" priority="35" operator="lessThan">
      <formula>0.8</formula>
    </cfRule>
    <cfRule type="cellIs" dxfId="154" priority="36" operator="greaterThanOrEqual">
      <formula>1.2</formula>
    </cfRule>
  </conditionalFormatting>
  <conditionalFormatting sqref="D9602:D96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02:G9625">
    <cfRule type="cellIs" dxfId="153" priority="26" operator="between">
      <formula>49</formula>
      <formula>149</formula>
    </cfRule>
    <cfRule type="cellIs" dxfId="152" priority="30" operator="lessThan">
      <formula>49</formula>
    </cfRule>
    <cfRule type="cellIs" dxfId="151" priority="31" operator="greaterThanOrEqual">
      <formula>150</formula>
    </cfRule>
  </conditionalFormatting>
  <conditionalFormatting sqref="F9602:F96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602:H9625">
    <cfRule type="cellIs" dxfId="150" priority="25" operator="between">
      <formula>0.8</formula>
      <formula>1.2</formula>
    </cfRule>
    <cfRule type="cellIs" dxfId="149" priority="27" operator="lessThan">
      <formula>0.8</formula>
    </cfRule>
    <cfRule type="cellIs" dxfId="148" priority="28" operator="greaterThanOrEqual">
      <formula>1.2</formula>
    </cfRule>
  </conditionalFormatting>
  <conditionalFormatting sqref="D9626:D96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26:G9649">
    <cfRule type="cellIs" dxfId="147" priority="18" operator="between">
      <formula>49</formula>
      <formula>149</formula>
    </cfRule>
    <cfRule type="cellIs" dxfId="146" priority="22" operator="lessThan">
      <formula>49</formula>
    </cfRule>
    <cfRule type="cellIs" dxfId="145" priority="23" operator="greaterThanOrEqual">
      <formula>150</formula>
    </cfRule>
  </conditionalFormatting>
  <conditionalFormatting sqref="F9626:F964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626:H9649">
    <cfRule type="cellIs" dxfId="144" priority="17" operator="between">
      <formula>0.8</formula>
      <formula>1.2</formula>
    </cfRule>
    <cfRule type="cellIs" dxfId="143" priority="19" operator="lessThan">
      <formula>0.8</formula>
    </cfRule>
    <cfRule type="cellIs" dxfId="142" priority="20" operator="greaterThanOrEqual">
      <formula>1.2</formula>
    </cfRule>
  </conditionalFormatting>
  <conditionalFormatting sqref="D9650:D967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50:G9673">
    <cfRule type="cellIs" dxfId="35" priority="10" operator="between">
      <formula>49</formula>
      <formula>149</formula>
    </cfRule>
    <cfRule type="cellIs" dxfId="34" priority="14" operator="lessThan">
      <formula>49</formula>
    </cfRule>
    <cfRule type="cellIs" dxfId="33" priority="15" operator="greaterThanOrEqual">
      <formula>150</formula>
    </cfRule>
  </conditionalFormatting>
  <conditionalFormatting sqref="F9650:F967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650:H9673">
    <cfRule type="cellIs" dxfId="32" priority="9" operator="between">
      <formula>0.8</formula>
      <formula>1.2</formula>
    </cfRule>
    <cfRule type="cellIs" dxfId="31" priority="11" operator="lessThan">
      <formula>0.8</formula>
    </cfRule>
    <cfRule type="cellIs" dxfId="30" priority="12" operator="greaterThanOrEqual">
      <formula>1.2</formula>
    </cfRule>
  </conditionalFormatting>
  <conditionalFormatting sqref="D9674:D96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74:G9697">
    <cfRule type="cellIs" dxfId="29" priority="2" operator="between">
      <formula>49</formula>
      <formula>149</formula>
    </cfRule>
    <cfRule type="cellIs" dxfId="28" priority="6" operator="lessThan">
      <formula>49</formula>
    </cfRule>
    <cfRule type="cellIs" dxfId="27" priority="7" operator="greaterThanOrEqual">
      <formula>150</formula>
    </cfRule>
  </conditionalFormatting>
  <conditionalFormatting sqref="F9674:F96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674:H9697">
    <cfRule type="cellIs" dxfId="26" priority="1" operator="between">
      <formula>0.8</formula>
      <formula>1.2</formula>
    </cfRule>
    <cfRule type="cellIs" dxfId="25" priority="3" operator="lessThan">
      <formula>0.8</formula>
    </cfRule>
    <cfRule type="cellIs" dxfId="24" priority="4" operator="greaterThanOrEqual">
      <formula>1.2</formula>
    </cfRule>
  </conditionalFormatting>
  <pageMargins left="0.7" right="0.7" top="0.75" bottom="0.75" header="0.3" footer="0.3"/>
  <pageSetup orientation="portrait" r:id="rId1"/>
  <ignoredErrors>
    <ignoredError sqref="E4826:E4828 E4830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X40"/>
  <sheetViews>
    <sheetView topLeftCell="M1" zoomScale="70" zoomScaleNormal="70" workbookViewId="0">
      <selection activeCell="O6" sqref="N6:O6"/>
    </sheetView>
  </sheetViews>
  <sheetFormatPr baseColWidth="10" defaultRowHeight="15.75" x14ac:dyDescent="0.25"/>
  <cols>
    <col min="1" max="2" width="11.42578125" style="83"/>
    <col min="3" max="3" width="19" style="67" customWidth="1"/>
    <col min="4" max="5" width="11.42578125" style="68"/>
    <col min="6" max="6" width="18.140625" style="68" customWidth="1"/>
    <col min="7" max="7" width="12.85546875" style="68" customWidth="1"/>
    <col min="8" max="8" width="17.7109375" style="68" customWidth="1"/>
    <col min="9" max="12" width="11.42578125" style="83"/>
    <col min="13" max="13" width="30.42578125" style="83" customWidth="1"/>
    <col min="14" max="14" width="18.42578125" style="83" customWidth="1"/>
    <col min="15" max="17" width="18.28515625" style="83" customWidth="1"/>
    <col min="18" max="18" width="24.5703125" style="83" customWidth="1"/>
    <col min="19" max="19" width="13.140625" style="83" customWidth="1"/>
    <col min="20" max="20" width="24.5703125" style="67" customWidth="1"/>
    <col min="21" max="21" width="11.42578125" style="83" customWidth="1"/>
    <col min="22" max="22" width="11.42578125" style="67" customWidth="1"/>
    <col min="23" max="23" width="17.7109375" style="67" customWidth="1"/>
    <col min="24" max="24" width="19.7109375" style="67" customWidth="1"/>
    <col min="25" max="16384" width="11.42578125" style="67"/>
  </cols>
  <sheetData>
    <row r="1" spans="1:24" s="83" customFormat="1" ht="52.5" customHeight="1" thickBot="1" x14ac:dyDescent="0.3">
      <c r="C1" s="383" t="s">
        <v>128</v>
      </c>
      <c r="D1" s="383"/>
      <c r="E1" s="383"/>
      <c r="F1" s="383"/>
      <c r="G1" s="383"/>
      <c r="H1" s="383"/>
      <c r="K1" s="115"/>
      <c r="M1" s="240"/>
      <c r="N1" s="384" t="s">
        <v>138</v>
      </c>
      <c r="O1" s="384"/>
      <c r="P1" s="286"/>
      <c r="Q1" s="286"/>
      <c r="R1" s="240"/>
      <c r="S1" s="240"/>
      <c r="T1" s="240"/>
      <c r="U1" s="240"/>
      <c r="W1" s="384" t="s">
        <v>138</v>
      </c>
      <c r="X1" s="384"/>
    </row>
    <row r="2" spans="1:24" ht="58.5" customHeight="1" x14ac:dyDescent="0.25">
      <c r="C2" s="71" t="s">
        <v>25</v>
      </c>
      <c r="D2" s="72">
        <v>44043</v>
      </c>
      <c r="E2" s="72">
        <v>44074</v>
      </c>
      <c r="F2" s="73" t="s">
        <v>127</v>
      </c>
      <c r="G2" s="74" t="s">
        <v>125</v>
      </c>
      <c r="H2" s="75" t="s">
        <v>126</v>
      </c>
      <c r="K2" s="115"/>
      <c r="M2" s="71" t="s">
        <v>25</v>
      </c>
      <c r="N2" s="72" t="s">
        <v>137</v>
      </c>
      <c r="O2" s="72" t="s">
        <v>142</v>
      </c>
      <c r="P2" s="72" t="s">
        <v>143</v>
      </c>
      <c r="Q2" s="72"/>
      <c r="R2" s="73" t="s">
        <v>127</v>
      </c>
      <c r="S2" s="74" t="s">
        <v>125</v>
      </c>
      <c r="T2" s="75" t="s">
        <v>129</v>
      </c>
      <c r="W2" s="72" t="s">
        <v>139</v>
      </c>
      <c r="X2" s="72" t="s">
        <v>140</v>
      </c>
    </row>
    <row r="3" spans="1:24" s="68" customFormat="1" ht="27.95" customHeight="1" x14ac:dyDescent="0.25">
      <c r="A3" s="84"/>
      <c r="B3" s="84"/>
      <c r="C3" s="76" t="s">
        <v>17</v>
      </c>
      <c r="D3" s="69">
        <v>49911</v>
      </c>
      <c r="E3" s="69">
        <v>156669</v>
      </c>
      <c r="F3" s="70">
        <f>(E3-D3)/D3</f>
        <v>2.1389673619041893</v>
      </c>
      <c r="G3" s="69">
        <v>316506</v>
      </c>
      <c r="H3" s="77">
        <f>(G3-E3)/E3</f>
        <v>1.0202209754322809</v>
      </c>
      <c r="I3" s="84"/>
      <c r="J3" s="84"/>
      <c r="K3" s="115"/>
      <c r="L3" s="84"/>
      <c r="M3" s="76" t="s">
        <v>17</v>
      </c>
      <c r="N3" s="243">
        <v>615.29634816800115</v>
      </c>
      <c r="O3" s="297">
        <v>2.1986147891627623</v>
      </c>
      <c r="P3" s="287"/>
      <c r="Q3" s="287"/>
      <c r="R3" s="241">
        <v>781378</v>
      </c>
      <c r="S3" s="85">
        <v>81</v>
      </c>
      <c r="T3" s="86">
        <v>24194</v>
      </c>
      <c r="U3" s="68">
        <v>2749</v>
      </c>
      <c r="V3" s="62">
        <v>17541141</v>
      </c>
      <c r="W3" s="243">
        <v>153.54189331241338</v>
      </c>
      <c r="X3" s="243">
        <f>U3/V3*100000</f>
        <v>15.671728538069445</v>
      </c>
    </row>
    <row r="4" spans="1:24" s="68" customFormat="1" ht="27.95" customHeight="1" x14ac:dyDescent="0.25">
      <c r="A4" s="84"/>
      <c r="B4" s="84"/>
      <c r="C4" s="78" t="s">
        <v>44</v>
      </c>
      <c r="D4" s="69">
        <v>36520</v>
      </c>
      <c r="E4" s="69">
        <v>71086</v>
      </c>
      <c r="F4" s="70">
        <f t="shared" ref="F4:F26" si="0">(E4-D4)/D4</f>
        <v>0.94649507119386633</v>
      </c>
      <c r="G4" s="69">
        <v>107857</v>
      </c>
      <c r="H4" s="77">
        <f t="shared" ref="H4:H26" si="1">(G4-E4)/E4</f>
        <v>0.51727485018147035</v>
      </c>
      <c r="I4" s="84"/>
      <c r="J4" s="84"/>
      <c r="K4" s="115"/>
      <c r="L4" s="84"/>
      <c r="M4" s="78" t="s">
        <v>44</v>
      </c>
      <c r="N4" s="243">
        <v>898.15277831063781</v>
      </c>
      <c r="O4" s="297">
        <v>1.9645828888414765</v>
      </c>
      <c r="P4" s="287"/>
      <c r="Q4" s="287"/>
      <c r="R4" s="241">
        <v>203707</v>
      </c>
      <c r="S4" s="85">
        <v>26</v>
      </c>
      <c r="T4" s="86">
        <v>5783</v>
      </c>
      <c r="U4" s="68">
        <v>1094</v>
      </c>
      <c r="V4" s="62">
        <v>3075646</v>
      </c>
      <c r="W4" s="243">
        <v>253.89788031522482</v>
      </c>
      <c r="X4" s="243">
        <f t="shared" ref="X4:X26" si="2">U4/V4*100000</f>
        <v>35.569763230228709</v>
      </c>
    </row>
    <row r="5" spans="1:24" s="68" customFormat="1" ht="27.95" customHeight="1" x14ac:dyDescent="0.25">
      <c r="A5" s="84"/>
      <c r="B5" s="84"/>
      <c r="C5" s="78" t="s">
        <v>29</v>
      </c>
      <c r="D5" s="69">
        <v>38</v>
      </c>
      <c r="E5" s="69">
        <v>62</v>
      </c>
      <c r="F5" s="70">
        <f t="shared" si="0"/>
        <v>0.63157894736842102</v>
      </c>
      <c r="G5" s="69">
        <v>111</v>
      </c>
      <c r="H5" s="77">
        <f t="shared" si="1"/>
        <v>0.79032258064516125</v>
      </c>
      <c r="I5" s="84"/>
      <c r="J5" s="84"/>
      <c r="K5" s="115"/>
      <c r="L5" s="84"/>
      <c r="M5" s="78" t="s">
        <v>29</v>
      </c>
      <c r="N5" s="243">
        <v>343.73360164452941</v>
      </c>
      <c r="O5" s="297">
        <v>1.2194705380017079</v>
      </c>
      <c r="P5" s="287"/>
      <c r="Q5" s="287"/>
      <c r="R5" s="241">
        <v>4761</v>
      </c>
      <c r="S5" s="85"/>
      <c r="T5" s="86">
        <v>17</v>
      </c>
      <c r="U5" s="68">
        <v>30</v>
      </c>
      <c r="V5" s="62">
        <v>415438</v>
      </c>
      <c r="W5" s="243">
        <v>125.40980844313714</v>
      </c>
      <c r="X5" s="243">
        <f t="shared" si="2"/>
        <v>7.2212941521959957</v>
      </c>
    </row>
    <row r="6" spans="1:24" s="68" customFormat="1" ht="27.95" customHeight="1" x14ac:dyDescent="0.25">
      <c r="A6" s="84"/>
      <c r="B6" s="84"/>
      <c r="C6" s="78" t="s">
        <v>16</v>
      </c>
      <c r="D6" s="69">
        <v>2496</v>
      </c>
      <c r="E6" s="69">
        <v>4085</v>
      </c>
      <c r="F6" s="70">
        <f t="shared" si="0"/>
        <v>0.63661858974358976</v>
      </c>
      <c r="G6" s="69">
        <v>6418</v>
      </c>
      <c r="H6" s="77">
        <f t="shared" si="1"/>
        <v>0.57111383108935132</v>
      </c>
      <c r="I6" s="84"/>
      <c r="J6" s="84"/>
      <c r="K6" s="115"/>
      <c r="L6" s="84"/>
      <c r="M6" s="78" t="s">
        <v>16</v>
      </c>
      <c r="N6" s="243">
        <v>192.27240915834332</v>
      </c>
      <c r="O6" s="297">
        <v>1.1392031480570586</v>
      </c>
      <c r="P6" s="287"/>
      <c r="Q6" s="287"/>
      <c r="R6" s="241">
        <v>29890</v>
      </c>
      <c r="S6" s="85">
        <v>5</v>
      </c>
      <c r="T6" s="86">
        <v>777</v>
      </c>
      <c r="U6" s="68">
        <v>76</v>
      </c>
      <c r="V6" s="62">
        <v>1204541</v>
      </c>
      <c r="W6" s="243">
        <v>102.7777385742785</v>
      </c>
      <c r="X6" s="243">
        <f t="shared" si="2"/>
        <v>6.3094572953515078</v>
      </c>
    </row>
    <row r="7" spans="1:24" s="68" customFormat="1" ht="27.95" customHeight="1" x14ac:dyDescent="0.25">
      <c r="A7" s="84"/>
      <c r="B7" s="84"/>
      <c r="C7" s="78" t="s">
        <v>30</v>
      </c>
      <c r="D7" s="69">
        <v>196</v>
      </c>
      <c r="E7" s="69">
        <v>351</v>
      </c>
      <c r="F7" s="70">
        <f t="shared" si="0"/>
        <v>0.79081632653061229</v>
      </c>
      <c r="G7" s="69">
        <v>1390</v>
      </c>
      <c r="H7" s="77">
        <f t="shared" si="1"/>
        <v>2.9601139601139601</v>
      </c>
      <c r="I7" s="84"/>
      <c r="J7" s="84"/>
      <c r="K7" s="84"/>
      <c r="L7" s="84"/>
      <c r="M7" s="78" t="s">
        <v>30</v>
      </c>
      <c r="N7" s="243">
        <v>291.11752294852619</v>
      </c>
      <c r="O7" s="297">
        <v>1.2992069214131219</v>
      </c>
      <c r="P7" s="287"/>
      <c r="Q7" s="287"/>
      <c r="R7" s="241">
        <v>40560</v>
      </c>
      <c r="S7" s="85">
        <v>11</v>
      </c>
      <c r="T7" s="86">
        <v>605</v>
      </c>
      <c r="U7" s="68">
        <v>304</v>
      </c>
      <c r="V7" s="62">
        <v>618994</v>
      </c>
      <c r="W7" s="243">
        <v>345.56070010371667</v>
      </c>
      <c r="X7" s="243">
        <f t="shared" si="2"/>
        <v>49.111946157797973</v>
      </c>
    </row>
    <row r="8" spans="1:24" s="68" customFormat="1" ht="27.95" customHeight="1" x14ac:dyDescent="0.25">
      <c r="A8" s="84"/>
      <c r="B8" s="84"/>
      <c r="C8" s="78" t="s">
        <v>21</v>
      </c>
      <c r="D8" s="69">
        <v>855</v>
      </c>
      <c r="E8" s="69">
        <v>3685</v>
      </c>
      <c r="F8" s="70">
        <f t="shared" si="0"/>
        <v>3.3099415204678362</v>
      </c>
      <c r="G8" s="69">
        <v>13009</v>
      </c>
      <c r="H8" s="77">
        <f t="shared" si="1"/>
        <v>2.5302578018995932</v>
      </c>
      <c r="I8" s="84"/>
      <c r="J8" s="84"/>
      <c r="K8" s="84"/>
      <c r="L8" s="84"/>
      <c r="M8" s="78" t="s">
        <v>31</v>
      </c>
      <c r="N8" s="243">
        <v>455.12093583071396</v>
      </c>
      <c r="O8" s="297">
        <v>1.6604817708333333</v>
      </c>
      <c r="P8" s="287"/>
      <c r="Q8" s="287"/>
      <c r="R8" s="241">
        <v>16463</v>
      </c>
      <c r="S8" s="85">
        <v>1</v>
      </c>
      <c r="T8" s="86">
        <v>2566</v>
      </c>
      <c r="U8" s="68">
        <v>160</v>
      </c>
      <c r="V8" s="62">
        <v>3760450</v>
      </c>
      <c r="W8" s="243">
        <v>23.98649097847332</v>
      </c>
      <c r="X8" s="243">
        <f t="shared" si="2"/>
        <v>4.2548099296626738</v>
      </c>
    </row>
    <row r="9" spans="1:24" s="68" customFormat="1" ht="27.95" customHeight="1" x14ac:dyDescent="0.25">
      <c r="A9" s="84"/>
      <c r="B9" s="84"/>
      <c r="C9" s="78" t="s">
        <v>31</v>
      </c>
      <c r="D9" s="69">
        <v>126</v>
      </c>
      <c r="E9" s="69">
        <v>216</v>
      </c>
      <c r="F9" s="70">
        <f t="shared" si="0"/>
        <v>0.7142857142857143</v>
      </c>
      <c r="G9" s="69">
        <v>491</v>
      </c>
      <c r="H9" s="77">
        <f t="shared" si="1"/>
        <v>1.2731481481481481</v>
      </c>
      <c r="I9" s="84"/>
      <c r="J9" s="84"/>
      <c r="K9" s="84"/>
      <c r="L9" s="84"/>
      <c r="M9" s="78" t="s">
        <v>21</v>
      </c>
      <c r="N9" s="243">
        <v>454.83918148093977</v>
      </c>
      <c r="O9" s="297">
        <v>1.8137857900318133</v>
      </c>
      <c r="P9" s="287"/>
      <c r="Q9" s="287"/>
      <c r="R9" s="241">
        <v>141824</v>
      </c>
      <c r="S9" s="85">
        <v>9</v>
      </c>
      <c r="T9" s="86">
        <v>252</v>
      </c>
      <c r="U9" s="68">
        <v>340</v>
      </c>
      <c r="V9" s="62">
        <v>1120801</v>
      </c>
      <c r="W9" s="243">
        <v>333.77914545044126</v>
      </c>
      <c r="X9" s="243">
        <f t="shared" si="2"/>
        <v>30.335447595068167</v>
      </c>
    </row>
    <row r="10" spans="1:24" s="68" customFormat="1" ht="27.95" customHeight="1" x14ac:dyDescent="0.25">
      <c r="A10" s="84"/>
      <c r="B10" s="84"/>
      <c r="C10" s="78" t="s">
        <v>32</v>
      </c>
      <c r="D10" s="69">
        <v>401</v>
      </c>
      <c r="E10" s="69">
        <v>1208</v>
      </c>
      <c r="F10" s="70">
        <f t="shared" si="0"/>
        <v>2.0124688279301743</v>
      </c>
      <c r="G10" s="69">
        <v>4844</v>
      </c>
      <c r="H10" s="77">
        <f t="shared" si="1"/>
        <v>3.0099337748344372</v>
      </c>
      <c r="I10" s="84"/>
      <c r="J10" s="84"/>
      <c r="K10" s="84"/>
      <c r="L10" s="84"/>
      <c r="M10" s="78" t="s">
        <v>32</v>
      </c>
      <c r="N10" s="243">
        <v>268.91088565984182</v>
      </c>
      <c r="O10" s="297">
        <v>1.6016330038676407</v>
      </c>
      <c r="P10" s="287"/>
      <c r="Q10" s="287"/>
      <c r="R10" s="241">
        <v>39375</v>
      </c>
      <c r="S10" s="85">
        <v>10</v>
      </c>
      <c r="T10" s="86">
        <v>680</v>
      </c>
      <c r="U10" s="68">
        <v>302</v>
      </c>
      <c r="V10" s="62">
        <v>1385961</v>
      </c>
      <c r="W10" s="243">
        <v>190.69800665386688</v>
      </c>
      <c r="X10" s="243">
        <f t="shared" si="2"/>
        <v>21.789934926018841</v>
      </c>
    </row>
    <row r="11" spans="1:24" s="68" customFormat="1" ht="27.95" customHeight="1" x14ac:dyDescent="0.25">
      <c r="A11" s="84"/>
      <c r="B11" s="84"/>
      <c r="C11" s="78" t="s">
        <v>42</v>
      </c>
      <c r="D11" s="69">
        <v>76</v>
      </c>
      <c r="E11" s="69">
        <v>87</v>
      </c>
      <c r="F11" s="70">
        <f t="shared" si="0"/>
        <v>0.14473684210526316</v>
      </c>
      <c r="G11" s="69">
        <v>92</v>
      </c>
      <c r="H11" s="77">
        <f t="shared" si="1"/>
        <v>5.7471264367816091E-2</v>
      </c>
      <c r="I11" s="84"/>
      <c r="J11" s="84"/>
      <c r="K11" s="84"/>
      <c r="L11" s="84"/>
      <c r="M11" s="78" t="s">
        <v>42</v>
      </c>
      <c r="N11" s="243">
        <v>115.83081760694522</v>
      </c>
      <c r="O11" s="297">
        <v>1.6494117647058824</v>
      </c>
      <c r="P11" s="287"/>
      <c r="Q11" s="287"/>
      <c r="R11" s="241">
        <v>807</v>
      </c>
      <c r="S11" s="85"/>
      <c r="T11" s="86">
        <v>6</v>
      </c>
      <c r="U11" s="68">
        <v>1</v>
      </c>
      <c r="V11" s="62">
        <v>605193</v>
      </c>
      <c r="W11" s="243">
        <v>21.645987313138122</v>
      </c>
      <c r="X11" s="243">
        <f t="shared" si="2"/>
        <v>0.16523654437510019</v>
      </c>
    </row>
    <row r="12" spans="1:24" s="68" customFormat="1" ht="27.95" customHeight="1" x14ac:dyDescent="0.25">
      <c r="A12" s="84"/>
      <c r="B12" s="84"/>
      <c r="C12" s="78" t="s">
        <v>33</v>
      </c>
      <c r="D12" s="69">
        <v>334</v>
      </c>
      <c r="E12" s="69">
        <v>3559</v>
      </c>
      <c r="F12" s="70">
        <f t="shared" si="0"/>
        <v>9.6556886227544911</v>
      </c>
      <c r="G12" s="69">
        <v>11397</v>
      </c>
      <c r="H12" s="77">
        <f t="shared" si="1"/>
        <v>2.2023040179825792</v>
      </c>
      <c r="I12" s="84"/>
      <c r="J12" s="84"/>
      <c r="K12" s="84"/>
      <c r="L12" s="84"/>
      <c r="M12" s="78" t="s">
        <v>33</v>
      </c>
      <c r="N12" s="243">
        <v>94.826568562462938</v>
      </c>
      <c r="O12" s="297">
        <v>1.1475667189952905</v>
      </c>
      <c r="P12" s="287"/>
      <c r="Q12" s="287"/>
      <c r="R12" s="241">
        <v>19100</v>
      </c>
      <c r="S12" s="85"/>
      <c r="T12" s="86">
        <v>866</v>
      </c>
      <c r="U12" s="68">
        <v>7</v>
      </c>
      <c r="V12" s="62">
        <v>770881</v>
      </c>
      <c r="W12" s="243">
        <v>23.739072567620685</v>
      </c>
      <c r="X12" s="243">
        <f t="shared" si="2"/>
        <v>0.9080519561384961</v>
      </c>
    </row>
    <row r="13" spans="1:24" s="68" customFormat="1" ht="27.95" customHeight="1" x14ac:dyDescent="0.25">
      <c r="A13" s="84"/>
      <c r="B13" s="84"/>
      <c r="C13" s="78" t="s">
        <v>34</v>
      </c>
      <c r="D13" s="69">
        <v>7</v>
      </c>
      <c r="E13" s="69">
        <v>208</v>
      </c>
      <c r="F13" s="70">
        <f t="shared" si="0"/>
        <v>28.714285714285715</v>
      </c>
      <c r="G13" s="69">
        <v>294</v>
      </c>
      <c r="H13" s="77">
        <f t="shared" si="1"/>
        <v>0.41346153846153844</v>
      </c>
      <c r="I13" s="84"/>
      <c r="J13" s="84"/>
      <c r="K13" s="84"/>
      <c r="L13" s="84"/>
      <c r="M13" s="78" t="s">
        <v>34</v>
      </c>
      <c r="N13" s="243">
        <v>446.6726929815751</v>
      </c>
      <c r="O13" s="297">
        <v>1.3375104427736006</v>
      </c>
      <c r="P13" s="287"/>
      <c r="Q13" s="287"/>
      <c r="R13" s="241">
        <v>15894</v>
      </c>
      <c r="S13" s="85">
        <v>12</v>
      </c>
      <c r="T13" s="86">
        <v>223</v>
      </c>
      <c r="U13" s="68">
        <v>101</v>
      </c>
      <c r="V13" s="62">
        <v>358428</v>
      </c>
      <c r="W13" s="243">
        <v>213.71098240092851</v>
      </c>
      <c r="X13" s="243">
        <f t="shared" si="2"/>
        <v>28.178602118138095</v>
      </c>
    </row>
    <row r="14" spans="1:24" s="68" customFormat="1" ht="27.95" customHeight="1" x14ac:dyDescent="0.25">
      <c r="A14" s="84"/>
      <c r="B14" s="84"/>
      <c r="C14" s="78" t="s">
        <v>22</v>
      </c>
      <c r="D14" s="69">
        <v>131</v>
      </c>
      <c r="E14" s="69">
        <v>518</v>
      </c>
      <c r="F14" s="70">
        <f t="shared" si="0"/>
        <v>2.9541984732824429</v>
      </c>
      <c r="G14" s="69">
        <v>2503</v>
      </c>
      <c r="H14" s="77">
        <f t="shared" si="1"/>
        <v>3.8320463320463318</v>
      </c>
      <c r="I14" s="84"/>
      <c r="J14" s="84"/>
      <c r="K14" s="84"/>
      <c r="L14" s="84"/>
      <c r="M14" s="78" t="s">
        <v>22</v>
      </c>
      <c r="N14" s="243">
        <v>265.79862831644772</v>
      </c>
      <c r="O14" s="297">
        <v>2.9885714285714284</v>
      </c>
      <c r="P14" s="287"/>
      <c r="Q14" s="287"/>
      <c r="R14" s="241">
        <v>9441</v>
      </c>
      <c r="S14" s="85">
        <v>1</v>
      </c>
      <c r="T14" s="86">
        <v>405</v>
      </c>
      <c r="U14" s="68">
        <v>3</v>
      </c>
      <c r="V14" s="62">
        <v>393531</v>
      </c>
      <c r="W14" s="243">
        <v>30.747260063374931</v>
      </c>
      <c r="X14" s="243">
        <f t="shared" si="2"/>
        <v>0.76232876190185772</v>
      </c>
    </row>
    <row r="15" spans="1:24" s="68" customFormat="1" ht="27.95" customHeight="1" x14ac:dyDescent="0.25">
      <c r="A15" s="84"/>
      <c r="B15" s="84"/>
      <c r="C15" s="78" t="s">
        <v>18</v>
      </c>
      <c r="D15" s="69">
        <v>263</v>
      </c>
      <c r="E15" s="69">
        <v>2240</v>
      </c>
      <c r="F15" s="70">
        <f t="shared" si="0"/>
        <v>7.5171102661596958</v>
      </c>
      <c r="G15" s="69">
        <v>12365</v>
      </c>
      <c r="H15" s="77">
        <f t="shared" si="1"/>
        <v>4.5200892857142856</v>
      </c>
      <c r="I15" s="84"/>
      <c r="J15" s="84"/>
      <c r="K15" s="84"/>
      <c r="L15" s="84"/>
      <c r="M15" s="78" t="s">
        <v>18</v>
      </c>
      <c r="N15" s="243">
        <v>395.86241130903392</v>
      </c>
      <c r="O15" s="297">
        <v>3.2584780810587262</v>
      </c>
      <c r="P15" s="287"/>
      <c r="Q15" s="287"/>
      <c r="R15" s="241">
        <v>63210</v>
      </c>
      <c r="S15" s="85">
        <v>3</v>
      </c>
      <c r="T15" s="86">
        <v>1321</v>
      </c>
      <c r="U15" s="68">
        <v>55</v>
      </c>
      <c r="V15" s="62">
        <v>1990338</v>
      </c>
      <c r="W15" s="243">
        <v>46.173062062825508</v>
      </c>
      <c r="X15" s="243">
        <f t="shared" si="2"/>
        <v>2.7633497426065321</v>
      </c>
    </row>
    <row r="16" spans="1:24" s="68" customFormat="1" ht="27.95" customHeight="1" x14ac:dyDescent="0.25">
      <c r="A16" s="84"/>
      <c r="B16" s="84"/>
      <c r="C16" s="78" t="s">
        <v>24</v>
      </c>
      <c r="D16" s="69">
        <v>49</v>
      </c>
      <c r="E16" s="69">
        <v>61</v>
      </c>
      <c r="F16" s="70">
        <f t="shared" si="0"/>
        <v>0.24489795918367346</v>
      </c>
      <c r="G16" s="69">
        <v>65</v>
      </c>
      <c r="H16" s="77">
        <f t="shared" si="1"/>
        <v>6.5573770491803282E-2</v>
      </c>
      <c r="I16" s="84"/>
      <c r="J16" s="84"/>
      <c r="K16" s="84"/>
      <c r="L16" s="84"/>
      <c r="M16" s="78" t="s">
        <v>24</v>
      </c>
      <c r="N16" s="243">
        <v>132.32442237892198</v>
      </c>
      <c r="O16" s="297">
        <v>0.97716627634660425</v>
      </c>
      <c r="P16" s="287"/>
      <c r="Q16" s="287"/>
      <c r="R16" s="241">
        <v>3612</v>
      </c>
      <c r="S16" s="85"/>
      <c r="T16" s="86">
        <v>64</v>
      </c>
      <c r="U16" s="68">
        <v>145</v>
      </c>
      <c r="V16" s="62">
        <v>1261294</v>
      </c>
      <c r="W16" s="243">
        <v>101.80021470014128</v>
      </c>
      <c r="X16" s="243">
        <f t="shared" si="2"/>
        <v>11.496130164735581</v>
      </c>
    </row>
    <row r="17" spans="1:24" s="68" customFormat="1" ht="27.95" customHeight="1" x14ac:dyDescent="0.25">
      <c r="A17" s="84"/>
      <c r="B17" s="84"/>
      <c r="C17" s="78" t="s">
        <v>20</v>
      </c>
      <c r="D17" s="69">
        <v>654</v>
      </c>
      <c r="E17" s="69">
        <v>1483</v>
      </c>
      <c r="F17" s="70">
        <f t="shared" si="0"/>
        <v>1.2675840978593271</v>
      </c>
      <c r="G17" s="69">
        <v>4298</v>
      </c>
      <c r="H17" s="77">
        <f t="shared" si="1"/>
        <v>1.8981793661496966</v>
      </c>
      <c r="I17" s="84"/>
      <c r="J17" s="84"/>
      <c r="K17" s="84"/>
      <c r="L17" s="84"/>
      <c r="M17" s="78" t="s">
        <v>20</v>
      </c>
      <c r="N17" s="243">
        <v>255.09858340473784</v>
      </c>
      <c r="O17" s="297">
        <v>1.0210970464135021</v>
      </c>
      <c r="P17" s="287"/>
      <c r="Q17" s="287"/>
      <c r="R17" s="241">
        <v>51537</v>
      </c>
      <c r="S17" s="85">
        <v>2</v>
      </c>
      <c r="T17" s="86">
        <v>765</v>
      </c>
      <c r="U17" s="68">
        <v>552</v>
      </c>
      <c r="V17" s="62">
        <v>664057</v>
      </c>
      <c r="W17" s="243">
        <v>430.38474106891431</v>
      </c>
      <c r="X17" s="243">
        <f t="shared" si="2"/>
        <v>83.12539435620738</v>
      </c>
    </row>
    <row r="18" spans="1:24" s="68" customFormat="1" ht="27.95" customHeight="1" x14ac:dyDescent="0.25">
      <c r="A18" s="84"/>
      <c r="B18" s="84"/>
      <c r="C18" s="78" t="s">
        <v>19</v>
      </c>
      <c r="D18" s="69">
        <v>1057</v>
      </c>
      <c r="E18" s="69">
        <v>3008</v>
      </c>
      <c r="F18" s="70">
        <f t="shared" si="0"/>
        <v>1.8457899716177861</v>
      </c>
      <c r="G18" s="69">
        <v>8042</v>
      </c>
      <c r="H18" s="77">
        <f t="shared" si="1"/>
        <v>1.6735372340425532</v>
      </c>
      <c r="I18" s="84"/>
      <c r="J18" s="84"/>
      <c r="K18" s="84"/>
      <c r="L18" s="84"/>
      <c r="M18" s="78" t="s">
        <v>19</v>
      </c>
      <c r="N18" s="243">
        <v>229.93271893099345</v>
      </c>
      <c r="O18" s="297">
        <v>1.3919028340080972</v>
      </c>
      <c r="P18" s="287"/>
      <c r="Q18" s="287"/>
      <c r="R18" s="241">
        <v>46233</v>
      </c>
      <c r="S18" s="85">
        <v>4</v>
      </c>
      <c r="T18" s="86">
        <v>1037</v>
      </c>
      <c r="U18" s="68">
        <v>255</v>
      </c>
      <c r="V18" s="62">
        <v>747610</v>
      </c>
      <c r="W18" s="243">
        <v>277.28361043859769</v>
      </c>
      <c r="X18" s="243">
        <f t="shared" si="2"/>
        <v>34.108693035138643</v>
      </c>
    </row>
    <row r="19" spans="1:24" s="68" customFormat="1" ht="27.95" customHeight="1" x14ac:dyDescent="0.25">
      <c r="A19" s="84"/>
      <c r="B19" s="84"/>
      <c r="C19" s="78" t="s">
        <v>35</v>
      </c>
      <c r="D19" s="69">
        <v>86</v>
      </c>
      <c r="E19" s="69">
        <v>611</v>
      </c>
      <c r="F19" s="70">
        <f t="shared" si="0"/>
        <v>6.1046511627906979</v>
      </c>
      <c r="G19" s="69">
        <v>5837</v>
      </c>
      <c r="H19" s="77">
        <f t="shared" si="1"/>
        <v>8.5531914893617014</v>
      </c>
      <c r="I19" s="84"/>
      <c r="J19" s="84"/>
      <c r="K19" s="84"/>
      <c r="L19" s="84"/>
      <c r="M19" s="78" t="s">
        <v>35</v>
      </c>
      <c r="N19" s="243">
        <v>142.6568576036035</v>
      </c>
      <c r="O19" s="297">
        <v>1.5255255255255256</v>
      </c>
      <c r="P19" s="287"/>
      <c r="Q19" s="287"/>
      <c r="R19" s="241">
        <v>23464</v>
      </c>
      <c r="S19" s="85">
        <v>1</v>
      </c>
      <c r="T19" s="86">
        <v>1049</v>
      </c>
      <c r="U19" s="68">
        <v>22</v>
      </c>
      <c r="V19" s="62">
        <v>1424397</v>
      </c>
      <c r="W19" s="243">
        <v>25.063237285672464</v>
      </c>
      <c r="X19" s="243">
        <f t="shared" si="2"/>
        <v>1.5445132220862583</v>
      </c>
    </row>
    <row r="20" spans="1:24" s="68" customFormat="1" ht="27.95" customHeight="1" x14ac:dyDescent="0.25">
      <c r="A20" s="84"/>
      <c r="B20" s="84"/>
      <c r="C20" s="78" t="s">
        <v>36</v>
      </c>
      <c r="D20" s="69">
        <v>9</v>
      </c>
      <c r="E20" s="69">
        <v>22</v>
      </c>
      <c r="F20" s="70">
        <f t="shared" si="0"/>
        <v>1.4444444444444444</v>
      </c>
      <c r="G20" s="69">
        <v>385</v>
      </c>
      <c r="H20" s="77">
        <f t="shared" si="1"/>
        <v>16.5</v>
      </c>
      <c r="I20" s="84"/>
      <c r="J20" s="84"/>
      <c r="K20" s="84"/>
      <c r="L20" s="84"/>
      <c r="M20" s="78" t="s">
        <v>36</v>
      </c>
      <c r="N20" s="243">
        <v>247.4344516312369</v>
      </c>
      <c r="O20" s="297">
        <v>2.0695931477516059</v>
      </c>
      <c r="P20" s="287"/>
      <c r="Q20" s="287"/>
      <c r="R20" s="241">
        <v>13625</v>
      </c>
      <c r="S20" s="85"/>
      <c r="T20" s="86">
        <v>217</v>
      </c>
      <c r="U20" s="68">
        <v>80</v>
      </c>
      <c r="V20" s="62">
        <v>781217</v>
      </c>
      <c r="W20" s="243">
        <v>58.370465568465612</v>
      </c>
      <c r="X20" s="243">
        <f t="shared" si="2"/>
        <v>10.240432555871159</v>
      </c>
    </row>
    <row r="21" spans="1:24" s="68" customFormat="1" ht="27.95" customHeight="1" x14ac:dyDescent="0.25">
      <c r="A21" s="84"/>
      <c r="B21" s="84"/>
      <c r="C21" s="78" t="s">
        <v>37</v>
      </c>
      <c r="D21" s="69">
        <v>12</v>
      </c>
      <c r="E21" s="69">
        <v>31</v>
      </c>
      <c r="F21" s="70">
        <f t="shared" si="0"/>
        <v>1.5833333333333333</v>
      </c>
      <c r="G21" s="69">
        <v>356</v>
      </c>
      <c r="H21" s="77">
        <f t="shared" si="1"/>
        <v>10.483870967741936</v>
      </c>
      <c r="I21" s="84"/>
      <c r="J21" s="84"/>
      <c r="K21" s="84"/>
      <c r="L21" s="84"/>
      <c r="M21" s="78" t="s">
        <v>37</v>
      </c>
      <c r="N21" s="243">
        <v>756.99154876379032</v>
      </c>
      <c r="O21" s="297">
        <v>6.1079365079365076</v>
      </c>
      <c r="P21" s="287"/>
      <c r="Q21" s="287"/>
      <c r="R21" s="241">
        <v>18753</v>
      </c>
      <c r="S21" s="85">
        <v>7</v>
      </c>
      <c r="T21" s="86">
        <v>343</v>
      </c>
      <c r="U21" s="68">
        <v>300</v>
      </c>
      <c r="V21" s="62">
        <v>508328</v>
      </c>
      <c r="W21" s="243">
        <v>351.93811869501582</v>
      </c>
      <c r="X21" s="243">
        <f t="shared" si="2"/>
        <v>59.017012637509637</v>
      </c>
    </row>
    <row r="22" spans="1:24" s="68" customFormat="1" ht="27.95" customHeight="1" x14ac:dyDescent="0.25">
      <c r="A22" s="84"/>
      <c r="B22" s="84"/>
      <c r="C22" s="78" t="s">
        <v>38</v>
      </c>
      <c r="D22" s="69">
        <v>60</v>
      </c>
      <c r="E22" s="69">
        <v>805</v>
      </c>
      <c r="F22" s="70">
        <f t="shared" si="0"/>
        <v>12.416666666666666</v>
      </c>
      <c r="G22" s="69">
        <v>2626</v>
      </c>
      <c r="H22" s="77">
        <f t="shared" si="1"/>
        <v>2.2621118012422361</v>
      </c>
      <c r="I22" s="84"/>
      <c r="J22" s="84"/>
      <c r="K22" s="84"/>
      <c r="L22" s="84"/>
      <c r="M22" s="78" t="s">
        <v>38</v>
      </c>
      <c r="N22" s="243">
        <v>552.36834765298147</v>
      </c>
      <c r="O22" s="297">
        <v>1.3202614379084967</v>
      </c>
      <c r="P22" s="287"/>
      <c r="Q22" s="287"/>
      <c r="R22" s="241">
        <v>31645</v>
      </c>
      <c r="S22" s="85">
        <v>1</v>
      </c>
      <c r="T22" s="86">
        <v>484</v>
      </c>
      <c r="U22" s="68">
        <v>167</v>
      </c>
      <c r="V22" s="62">
        <v>365698</v>
      </c>
      <c r="W22" s="243">
        <v>537.87551476901706</v>
      </c>
      <c r="X22" s="243">
        <f t="shared" si="2"/>
        <v>45.666096068340543</v>
      </c>
    </row>
    <row r="23" spans="1:24" s="68" customFormat="1" ht="27.95" customHeight="1" x14ac:dyDescent="0.25">
      <c r="A23" s="84"/>
      <c r="B23" s="84"/>
      <c r="C23" s="78" t="s">
        <v>23</v>
      </c>
      <c r="D23" s="69">
        <v>486</v>
      </c>
      <c r="E23" s="69">
        <v>2276</v>
      </c>
      <c r="F23" s="70">
        <f t="shared" si="0"/>
        <v>3.6831275720164611</v>
      </c>
      <c r="G23" s="69">
        <v>15743</v>
      </c>
      <c r="H23" s="77">
        <f t="shared" si="1"/>
        <v>5.9169595782073809</v>
      </c>
      <c r="I23" s="84"/>
      <c r="J23" s="84"/>
      <c r="K23" s="84"/>
      <c r="L23" s="84"/>
      <c r="M23" s="78" t="s">
        <v>23</v>
      </c>
      <c r="N23" s="243">
        <v>347.44195963259995</v>
      </c>
      <c r="O23" s="297">
        <v>1.8071775261067804</v>
      </c>
      <c r="P23" s="287"/>
      <c r="Q23" s="287"/>
      <c r="R23" s="241">
        <v>202107</v>
      </c>
      <c r="S23" s="85">
        <v>32</v>
      </c>
      <c r="T23" s="86">
        <v>3338</v>
      </c>
      <c r="U23" s="68">
        <v>482</v>
      </c>
      <c r="V23" s="62">
        <v>3536418</v>
      </c>
      <c r="W23" s="243">
        <v>175.03586962853373</v>
      </c>
      <c r="X23" s="243">
        <f t="shared" si="2"/>
        <v>13.629610526809898</v>
      </c>
    </row>
    <row r="24" spans="1:24" s="68" customFormat="1" ht="27.95" customHeight="1" x14ac:dyDescent="0.25">
      <c r="A24" s="84"/>
      <c r="B24" s="84"/>
      <c r="C24" s="78" t="s">
        <v>124</v>
      </c>
      <c r="D24" s="69">
        <v>36</v>
      </c>
      <c r="E24" s="69">
        <v>138</v>
      </c>
      <c r="F24" s="70">
        <f t="shared" si="0"/>
        <v>2.8333333333333335</v>
      </c>
      <c r="G24" s="69">
        <v>1558</v>
      </c>
      <c r="H24" s="77">
        <f t="shared" si="1"/>
        <v>10.289855072463768</v>
      </c>
      <c r="I24" s="84"/>
      <c r="J24" s="84"/>
      <c r="K24" s="84"/>
      <c r="L24" s="84"/>
      <c r="M24" s="78" t="s">
        <v>39</v>
      </c>
      <c r="N24" s="243">
        <v>197.78946001944163</v>
      </c>
      <c r="O24" s="297">
        <v>1.4659090909090908</v>
      </c>
      <c r="P24" s="287"/>
      <c r="Q24" s="287"/>
      <c r="R24" s="241">
        <v>20472</v>
      </c>
      <c r="S24" s="85"/>
      <c r="T24" s="86">
        <v>246</v>
      </c>
      <c r="U24" s="68">
        <v>84</v>
      </c>
      <c r="V24" s="62">
        <v>978313</v>
      </c>
      <c r="W24" s="243">
        <v>78.809133682165111</v>
      </c>
      <c r="X24" s="243">
        <f t="shared" si="2"/>
        <v>8.5862091171230475</v>
      </c>
    </row>
    <row r="25" spans="1:24" s="68" customFormat="1" ht="27.95" customHeight="1" x14ac:dyDescent="0.25">
      <c r="A25" s="84"/>
      <c r="B25" s="84"/>
      <c r="C25" s="78" t="s">
        <v>40</v>
      </c>
      <c r="D25" s="69">
        <v>155</v>
      </c>
      <c r="E25" s="69">
        <v>1055</v>
      </c>
      <c r="F25" s="70">
        <f t="shared" si="0"/>
        <v>5.806451612903226</v>
      </c>
      <c r="G25" s="69">
        <v>2592</v>
      </c>
      <c r="H25" s="77">
        <f t="shared" si="1"/>
        <v>1.456872037914692</v>
      </c>
      <c r="I25" s="84"/>
      <c r="J25" s="84"/>
      <c r="K25" s="84"/>
      <c r="L25" s="84"/>
      <c r="M25" s="78" t="s">
        <v>40</v>
      </c>
      <c r="N25" s="243">
        <v>516.8806198043319</v>
      </c>
      <c r="O25" s="297">
        <v>1.7212806026365348</v>
      </c>
      <c r="P25" s="287"/>
      <c r="Q25" s="287"/>
      <c r="R25" s="241">
        <v>21520</v>
      </c>
      <c r="S25" s="85">
        <v>2</v>
      </c>
      <c r="T25" s="86">
        <v>324</v>
      </c>
      <c r="U25" s="68">
        <v>130</v>
      </c>
      <c r="V25" s="62">
        <v>176830</v>
      </c>
      <c r="W25" s="243">
        <v>359.10196233670757</v>
      </c>
      <c r="X25" s="243">
        <f t="shared" si="2"/>
        <v>73.516937171294458</v>
      </c>
    </row>
    <row r="26" spans="1:24" s="68" customFormat="1" ht="27.95" customHeight="1" thickBot="1" x14ac:dyDescent="0.3">
      <c r="A26" s="84"/>
      <c r="B26" s="84"/>
      <c r="C26" s="79" t="s">
        <v>41</v>
      </c>
      <c r="D26" s="82">
        <v>91</v>
      </c>
      <c r="E26" s="82">
        <v>426</v>
      </c>
      <c r="F26" s="80">
        <f t="shared" si="0"/>
        <v>3.6813186813186811</v>
      </c>
      <c r="G26" s="82">
        <v>5419</v>
      </c>
      <c r="H26" s="81">
        <f t="shared" si="1"/>
        <v>11.720657276995306</v>
      </c>
      <c r="I26" s="84"/>
      <c r="J26" s="84"/>
      <c r="K26" s="84"/>
      <c r="L26" s="84"/>
      <c r="M26" s="79" t="s">
        <v>41</v>
      </c>
      <c r="N26" s="243">
        <v>405.39200876166024</v>
      </c>
      <c r="O26" s="297">
        <v>1.6805283757338552</v>
      </c>
      <c r="P26" s="288"/>
      <c r="Q26" s="288"/>
      <c r="R26" s="242">
        <v>75423</v>
      </c>
      <c r="S26" s="87"/>
      <c r="T26" s="88">
        <v>1418</v>
      </c>
      <c r="U26" s="68">
        <v>139</v>
      </c>
      <c r="V26" s="62">
        <v>1694656</v>
      </c>
      <c r="W26" s="243">
        <v>55.881547641527249</v>
      </c>
      <c r="X26" s="243">
        <f t="shared" si="2"/>
        <v>8.2022546168661954</v>
      </c>
    </row>
    <row r="27" spans="1:24" s="83" customFormat="1" x14ac:dyDescent="0.25">
      <c r="D27" s="84"/>
      <c r="E27" s="84"/>
      <c r="F27" s="84"/>
      <c r="G27" s="84"/>
      <c r="H27" s="84"/>
      <c r="N27" s="84"/>
      <c r="O27" s="84"/>
      <c r="P27" s="84"/>
      <c r="Q27" s="84"/>
      <c r="R27" s="84"/>
      <c r="S27" s="84"/>
      <c r="T27" s="84"/>
    </row>
    <row r="28" spans="1:24" s="83" customFormat="1" x14ac:dyDescent="0.25">
      <c r="D28" s="84"/>
      <c r="E28" s="84"/>
      <c r="F28" s="84"/>
      <c r="G28" s="84"/>
      <c r="H28" s="84"/>
      <c r="N28" s="84"/>
      <c r="O28" s="84"/>
      <c r="P28" s="84"/>
      <c r="Q28" s="84"/>
      <c r="R28" s="84"/>
      <c r="S28" s="84"/>
      <c r="T28" s="84"/>
    </row>
    <row r="29" spans="1:24" s="83" customFormat="1" x14ac:dyDescent="0.25">
      <c r="D29" s="84"/>
      <c r="E29" s="84"/>
      <c r="F29" s="84"/>
      <c r="G29" s="84"/>
      <c r="H29" s="84"/>
      <c r="N29" s="84"/>
      <c r="O29" s="84"/>
      <c r="P29" s="84"/>
      <c r="Q29" s="84"/>
      <c r="R29" s="84"/>
      <c r="S29" s="84"/>
      <c r="T29" s="84"/>
    </row>
    <row r="30" spans="1:24" s="83" customFormat="1" x14ac:dyDescent="0.25">
      <c r="D30" s="84"/>
      <c r="E30" s="84"/>
      <c r="F30" s="84"/>
      <c r="G30" s="84"/>
      <c r="H30" s="84"/>
      <c r="N30" s="84"/>
      <c r="O30" s="84"/>
      <c r="P30" s="84"/>
      <c r="Q30" s="84"/>
      <c r="R30" s="84"/>
      <c r="S30" s="84"/>
      <c r="T30" s="84"/>
    </row>
    <row r="31" spans="1:24" s="83" customFormat="1" x14ac:dyDescent="0.25">
      <c r="D31" s="84"/>
      <c r="E31" s="84"/>
      <c r="F31" s="84"/>
      <c r="G31" s="84"/>
      <c r="H31" s="84"/>
      <c r="N31" s="84"/>
      <c r="O31" s="84"/>
      <c r="P31" s="84"/>
      <c r="Q31" s="84"/>
      <c r="R31" s="84"/>
      <c r="S31" s="84"/>
      <c r="T31" s="84"/>
    </row>
    <row r="32" spans="1:24" s="83" customFormat="1" x14ac:dyDescent="0.25">
      <c r="D32" s="84"/>
      <c r="E32" s="84"/>
      <c r="F32" s="84"/>
      <c r="G32" s="84"/>
      <c r="H32" s="84"/>
    </row>
    <row r="33" spans="3:8" s="83" customFormat="1" x14ac:dyDescent="0.25">
      <c r="D33" s="84"/>
      <c r="E33" s="84"/>
      <c r="F33" s="84"/>
      <c r="G33" s="84"/>
      <c r="H33" s="84"/>
    </row>
    <row r="34" spans="3:8" s="83" customFormat="1" x14ac:dyDescent="0.25">
      <c r="D34" s="84"/>
      <c r="E34" s="84"/>
      <c r="F34" s="84"/>
      <c r="G34" s="84"/>
      <c r="H34" s="84"/>
    </row>
    <row r="35" spans="3:8" s="83" customFormat="1" x14ac:dyDescent="0.25">
      <c r="C35" s="260">
        <f xml:space="preserve"> 0.0139*(23)^5 - 0.1948*(23)^4 - 12.841*(23)^3 + 330.39*(23)^2 - 2570*(23) + 14696</f>
        <v>9078.0039000000106</v>
      </c>
      <c r="D35" s="84"/>
      <c r="E35" s="84"/>
      <c r="F35" s="84"/>
      <c r="G35" s="84"/>
      <c r="H35" s="84"/>
    </row>
    <row r="36" spans="3:8" s="83" customFormat="1" x14ac:dyDescent="0.25">
      <c r="C36" s="260" t="s">
        <v>141</v>
      </c>
      <c r="D36" s="84"/>
      <c r="E36" s="84"/>
      <c r="F36" s="84"/>
      <c r="G36" s="84"/>
      <c r="H36" s="84"/>
    </row>
    <row r="37" spans="3:8" s="83" customFormat="1" x14ac:dyDescent="0.25">
      <c r="D37" s="84"/>
      <c r="E37" s="84"/>
      <c r="F37" s="84"/>
      <c r="G37" s="84"/>
      <c r="H37" s="84"/>
    </row>
    <row r="38" spans="3:8" s="83" customFormat="1" x14ac:dyDescent="0.25">
      <c r="D38" s="84"/>
      <c r="E38" s="84"/>
      <c r="F38" s="84"/>
      <c r="G38" s="84"/>
      <c r="H38" s="84"/>
    </row>
    <row r="39" spans="3:8" s="83" customFormat="1" x14ac:dyDescent="0.25">
      <c r="D39" s="84"/>
      <c r="E39" s="84"/>
      <c r="F39" s="84"/>
      <c r="G39" s="84"/>
      <c r="H39" s="84"/>
    </row>
    <row r="40" spans="3:8" s="83" customFormat="1" x14ac:dyDescent="0.25">
      <c r="D40" s="84"/>
      <c r="E40" s="84"/>
      <c r="F40" s="84"/>
      <c r="G40" s="84"/>
      <c r="H40" s="84"/>
    </row>
  </sheetData>
  <mergeCells count="3">
    <mergeCell ref="C1:H1"/>
    <mergeCell ref="N1:O1"/>
    <mergeCell ref="W1:X1"/>
  </mergeCells>
  <conditionalFormatting sqref="H3:H2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Q26">
    <cfRule type="cellIs" dxfId="23" priority="25" operator="lessThan">
      <formula>1.2</formula>
    </cfRule>
    <cfRule type="cellIs" dxfId="22" priority="26" operator="greaterThanOrEqual">
      <formula>1.195</formula>
    </cfRule>
  </conditionalFormatting>
  <conditionalFormatting sqref="W3:W26">
    <cfRule type="cellIs" dxfId="21" priority="23" operator="lessThan">
      <formula>10</formula>
    </cfRule>
    <cfRule type="cellIs" dxfId="20" priority="24" operator="greaterThanOrEqual">
      <formula>200</formula>
    </cfRule>
  </conditionalFormatting>
  <conditionalFormatting sqref="W3">
    <cfRule type="cellIs" dxfId="19" priority="21" operator="between">
      <formula>70</formula>
      <formula>199.9</formula>
    </cfRule>
    <cfRule type="cellIs" dxfId="18" priority="22" operator="between">
      <formula>10</formula>
      <formula>69.9</formula>
    </cfRule>
  </conditionalFormatting>
  <conditionalFormatting sqref="W4:W26">
    <cfRule type="cellIs" dxfId="17" priority="19" operator="between">
      <formula>70</formula>
      <formula>199.9</formula>
    </cfRule>
    <cfRule type="cellIs" dxfId="16" priority="20" operator="between">
      <formula>10</formula>
      <formula>69.9</formula>
    </cfRule>
  </conditionalFormatting>
  <conditionalFormatting sqref="X3:X26">
    <cfRule type="cellIs" dxfId="15" priority="17" operator="lessThan">
      <formula>1</formula>
    </cfRule>
    <cfRule type="cellIs" dxfId="14" priority="18" operator="greaterThanOrEqual">
      <formula>25</formula>
    </cfRule>
  </conditionalFormatting>
  <conditionalFormatting sqref="X4:X26">
    <cfRule type="cellIs" dxfId="13" priority="13" operator="between">
      <formula>10</formula>
      <formula>25</formula>
    </cfRule>
    <cfRule type="cellIs" dxfId="12" priority="14" operator="between">
      <formula>1</formula>
      <formula>10</formula>
    </cfRule>
  </conditionalFormatting>
  <conditionalFormatting sqref="X3">
    <cfRule type="cellIs" dxfId="11" priority="11" operator="between">
      <formula>10</formula>
      <formula>25</formula>
    </cfRule>
    <cfRule type="cellIs" dxfId="10" priority="12" operator="between">
      <formula>1</formula>
      <formula>10</formula>
    </cfRule>
  </conditionalFormatting>
  <conditionalFormatting sqref="O3:O26">
    <cfRule type="cellIs" dxfId="9" priority="5" operator="lessThan">
      <formula>0.8</formula>
    </cfRule>
    <cfRule type="cellIs" dxfId="8" priority="8" operator="greaterThanOrEqual">
      <formula>1.2</formula>
    </cfRule>
  </conditionalFormatting>
  <conditionalFormatting sqref="N3">
    <cfRule type="cellIs" dxfId="7" priority="6" operator="lessThanOrEqual">
      <formula>49</formula>
    </cfRule>
    <cfRule type="cellIs" dxfId="6" priority="9" operator="between">
      <formula>50</formula>
      <formula>149</formula>
    </cfRule>
    <cfRule type="cellIs" dxfId="5" priority="10" operator="greaterThanOrEqual">
      <formula>150</formula>
    </cfRule>
  </conditionalFormatting>
  <conditionalFormatting sqref="N4:N26">
    <cfRule type="cellIs" dxfId="4" priority="2" operator="lessThanOrEqual">
      <formula>49</formula>
    </cfRule>
    <cfRule type="cellIs" dxfId="3" priority="3" operator="between">
      <formula>50</formula>
      <formula>149</formula>
    </cfRule>
    <cfRule type="cellIs" dxfId="2" priority="4" operator="greaterThanOrEqual">
      <formula>150</formula>
    </cfRule>
  </conditionalFormatting>
  <conditionalFormatting sqref="O3">
    <cfRule type="cellIs" dxfId="1" priority="7" operator="between">
      <formula>0.8</formula>
      <formula>1.2</formula>
    </cfRule>
  </conditionalFormatting>
  <conditionalFormatting sqref="O4:O26">
    <cfRule type="cellIs" dxfId="0" priority="1" operator="between">
      <formula>0.8</formula>
      <formula>1.2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0574-F9A8-4F23-9B94-6B4B91985BA3}">
  <dimension ref="A1:AH407"/>
  <sheetViews>
    <sheetView zoomScale="85" zoomScaleNormal="85" workbookViewId="0">
      <pane ySplit="1" topLeftCell="A387" activePane="bottomLeft" state="frozen"/>
      <selection activeCell="H388" sqref="H388"/>
      <selection pane="bottomLeft" activeCell="C386" sqref="C386"/>
    </sheetView>
  </sheetViews>
  <sheetFormatPr baseColWidth="10" defaultRowHeight="15" x14ac:dyDescent="0.25"/>
  <cols>
    <col min="1" max="1" width="10.85546875" style="55" customWidth="1"/>
    <col min="2" max="2" width="9.42578125" style="207" customWidth="1"/>
    <col min="3" max="3" width="9.7109375" style="63" customWidth="1"/>
    <col min="4" max="4" width="11" style="207" customWidth="1"/>
    <col min="5" max="5" width="8.5703125" style="207" customWidth="1"/>
    <col min="6" max="6" width="9.7109375" style="63" customWidth="1"/>
    <col min="7" max="7" width="9.28515625" style="207" customWidth="1"/>
    <col min="8" max="8" width="8.28515625" style="207" customWidth="1"/>
    <col min="9" max="9" width="10.5703125" style="223" customWidth="1"/>
    <col min="10" max="10" width="7.7109375" style="207" customWidth="1"/>
    <col min="11" max="13" width="9.7109375" style="63" customWidth="1"/>
    <col min="14" max="14" width="11.140625" style="63" customWidth="1"/>
    <col min="15" max="15" width="7.85546875" style="24" hidden="1" customWidth="1"/>
    <col min="16" max="16" width="10.140625" style="24" hidden="1" customWidth="1"/>
    <col min="17" max="17" width="9.7109375" style="63" hidden="1" customWidth="1"/>
    <col min="18" max="19" width="5.140625" style="63" hidden="1" customWidth="1"/>
    <col min="20" max="20" width="4.7109375" style="63" hidden="1" customWidth="1"/>
    <col min="21" max="21" width="5.5703125" style="63" hidden="1" customWidth="1"/>
    <col min="22" max="22" width="9.85546875" style="63" customWidth="1"/>
    <col min="23" max="23" width="6.140625" style="18" customWidth="1"/>
    <col min="24" max="24" width="9.7109375" style="63" customWidth="1"/>
    <col min="25" max="25" width="8.42578125" style="63" customWidth="1"/>
    <col min="26" max="26" width="9.42578125" style="63" customWidth="1"/>
    <col min="27" max="27" width="10.28515625" style="63" customWidth="1"/>
    <col min="28" max="28" width="7" style="63" customWidth="1"/>
    <col min="29" max="29" width="7.5703125" style="63" customWidth="1"/>
    <col min="30" max="16384" width="11.42578125" style="63"/>
  </cols>
  <sheetData>
    <row r="1" spans="1:30" s="229" customFormat="1" ht="42.75" customHeight="1" x14ac:dyDescent="0.25">
      <c r="A1" s="224" t="s">
        <v>43</v>
      </c>
      <c r="B1" s="225" t="s">
        <v>0</v>
      </c>
      <c r="C1" s="227" t="s">
        <v>260</v>
      </c>
      <c r="D1" s="225" t="s">
        <v>1</v>
      </c>
      <c r="E1" s="225" t="s">
        <v>2</v>
      </c>
      <c r="F1" s="227" t="s">
        <v>261</v>
      </c>
      <c r="G1" s="225" t="s">
        <v>3</v>
      </c>
      <c r="H1" s="225" t="s">
        <v>134</v>
      </c>
      <c r="I1" s="226" t="s">
        <v>4</v>
      </c>
      <c r="J1" s="225" t="s">
        <v>5</v>
      </c>
      <c r="K1" s="227" t="s">
        <v>262</v>
      </c>
      <c r="L1" s="227" t="s">
        <v>6</v>
      </c>
      <c r="M1" s="227"/>
      <c r="N1" s="227" t="s">
        <v>7</v>
      </c>
      <c r="O1" s="228" t="s">
        <v>8</v>
      </c>
      <c r="P1" s="228" t="s">
        <v>9</v>
      </c>
      <c r="Q1" s="227" t="s">
        <v>10</v>
      </c>
      <c r="R1" s="227" t="s">
        <v>11</v>
      </c>
      <c r="S1" s="227" t="s">
        <v>12</v>
      </c>
      <c r="T1" s="227" t="s">
        <v>13</v>
      </c>
      <c r="U1" s="227" t="s">
        <v>14</v>
      </c>
      <c r="V1" s="227" t="s">
        <v>263</v>
      </c>
      <c r="W1" s="227" t="s">
        <v>135</v>
      </c>
      <c r="X1" s="227" t="s">
        <v>136</v>
      </c>
      <c r="Y1" s="386" t="s">
        <v>264</v>
      </c>
      <c r="Z1" s="386" t="s">
        <v>265</v>
      </c>
      <c r="AA1" s="386" t="s">
        <v>132</v>
      </c>
      <c r="AC1" s="229" t="s">
        <v>269</v>
      </c>
      <c r="AD1" s="229" t="s">
        <v>268</v>
      </c>
    </row>
    <row r="2" spans="1:30" x14ac:dyDescent="0.25">
      <c r="A2" s="2">
        <v>43893</v>
      </c>
      <c r="B2" s="188">
        <v>1</v>
      </c>
      <c r="C2" s="188"/>
      <c r="D2" s="188">
        <v>1</v>
      </c>
      <c r="E2" s="188">
        <v>0</v>
      </c>
      <c r="F2" s="188"/>
      <c r="G2" s="188">
        <v>0</v>
      </c>
      <c r="H2" s="188"/>
      <c r="I2" s="213">
        <v>0</v>
      </c>
      <c r="J2" s="188"/>
      <c r="K2" s="188"/>
      <c r="L2" s="188"/>
      <c r="M2" s="188"/>
      <c r="N2" s="1"/>
      <c r="O2" s="15"/>
      <c r="P2" s="15"/>
      <c r="Q2" s="1"/>
      <c r="R2" s="1">
        <v>1</v>
      </c>
      <c r="S2" s="1">
        <v>0</v>
      </c>
      <c r="T2" s="1">
        <v>0</v>
      </c>
      <c r="U2" s="1">
        <v>0</v>
      </c>
      <c r="V2" s="156">
        <f t="shared" ref="V2:V65" si="0">D2-G2-I2</f>
        <v>1</v>
      </c>
      <c r="W2" s="1"/>
      <c r="X2" s="4"/>
    </row>
    <row r="3" spans="1:30" x14ac:dyDescent="0.25">
      <c r="A3" s="2">
        <v>43894</v>
      </c>
      <c r="B3" s="188">
        <v>0</v>
      </c>
      <c r="C3" s="188"/>
      <c r="D3" s="188">
        <v>1</v>
      </c>
      <c r="E3" s="188">
        <v>0</v>
      </c>
      <c r="F3" s="188"/>
      <c r="G3" s="188">
        <v>0</v>
      </c>
      <c r="H3" s="190">
        <f t="shared" ref="H3:H66" si="1">I3-I2</f>
        <v>0</v>
      </c>
      <c r="I3" s="213">
        <v>0</v>
      </c>
      <c r="J3" s="188"/>
      <c r="K3" s="188"/>
      <c r="L3" s="188"/>
      <c r="M3" s="188"/>
      <c r="N3" s="1"/>
      <c r="O3" s="15"/>
      <c r="P3" s="15"/>
      <c r="Q3" s="1"/>
      <c r="R3" s="1">
        <v>1</v>
      </c>
      <c r="S3" s="1">
        <v>0</v>
      </c>
      <c r="T3" s="1">
        <v>0</v>
      </c>
      <c r="U3" s="1">
        <v>0</v>
      </c>
      <c r="V3" s="156">
        <f t="shared" si="0"/>
        <v>1</v>
      </c>
      <c r="W3" s="1"/>
      <c r="X3" s="4"/>
    </row>
    <row r="4" spans="1:30" x14ac:dyDescent="0.25">
      <c r="A4" s="2">
        <v>43895</v>
      </c>
      <c r="B4" s="188">
        <v>1</v>
      </c>
      <c r="C4" s="188"/>
      <c r="D4" s="188">
        <v>2</v>
      </c>
      <c r="E4" s="188">
        <v>0</v>
      </c>
      <c r="F4" s="188"/>
      <c r="G4" s="188">
        <v>0</v>
      </c>
      <c r="H4" s="190">
        <f t="shared" si="1"/>
        <v>0</v>
      </c>
      <c r="I4" s="213">
        <v>0</v>
      </c>
      <c r="J4" s="188"/>
      <c r="K4" s="188"/>
      <c r="L4" s="188"/>
      <c r="M4" s="188"/>
      <c r="N4" s="1"/>
      <c r="O4" s="15"/>
      <c r="P4" s="15"/>
      <c r="Q4" s="1"/>
      <c r="R4" s="1">
        <v>2</v>
      </c>
      <c r="S4" s="1">
        <v>0</v>
      </c>
      <c r="T4" s="1">
        <v>0</v>
      </c>
      <c r="U4" s="1">
        <v>0</v>
      </c>
      <c r="V4" s="156">
        <f t="shared" si="0"/>
        <v>2</v>
      </c>
      <c r="W4" s="1"/>
      <c r="X4" s="4"/>
    </row>
    <row r="5" spans="1:30" x14ac:dyDescent="0.25">
      <c r="A5" s="2">
        <v>43896</v>
      </c>
      <c r="B5" s="188">
        <v>6</v>
      </c>
      <c r="C5" s="188"/>
      <c r="D5" s="188">
        <v>8</v>
      </c>
      <c r="E5" s="188">
        <v>0</v>
      </c>
      <c r="F5" s="188"/>
      <c r="G5" s="188">
        <v>0</v>
      </c>
      <c r="H5" s="190">
        <f t="shared" si="1"/>
        <v>0</v>
      </c>
      <c r="I5" s="213">
        <v>0</v>
      </c>
      <c r="J5" s="188"/>
      <c r="K5" s="188"/>
      <c r="L5" s="188"/>
      <c r="M5" s="188"/>
      <c r="N5" s="1"/>
      <c r="O5" s="15"/>
      <c r="P5" s="15"/>
      <c r="Q5" s="1"/>
      <c r="R5" s="1">
        <v>8</v>
      </c>
      <c r="S5" s="1">
        <v>0</v>
      </c>
      <c r="T5" s="1">
        <v>0</v>
      </c>
      <c r="U5" s="1">
        <v>0</v>
      </c>
      <c r="V5" s="156">
        <f t="shared" si="0"/>
        <v>8</v>
      </c>
      <c r="W5" s="1"/>
      <c r="X5" s="4"/>
    </row>
    <row r="6" spans="1:30" x14ac:dyDescent="0.25">
      <c r="A6" s="2">
        <v>43897</v>
      </c>
      <c r="B6" s="188">
        <v>1</v>
      </c>
      <c r="C6" s="188"/>
      <c r="D6" s="188">
        <v>9</v>
      </c>
      <c r="E6" s="188">
        <v>1</v>
      </c>
      <c r="F6" s="188"/>
      <c r="G6" s="188">
        <v>1</v>
      </c>
      <c r="H6" s="190">
        <f t="shared" si="1"/>
        <v>0</v>
      </c>
      <c r="I6" s="213">
        <v>0</v>
      </c>
      <c r="J6" s="188"/>
      <c r="K6" s="188"/>
      <c r="L6" s="188"/>
      <c r="M6" s="188"/>
      <c r="N6" s="1"/>
      <c r="O6" s="15"/>
      <c r="P6" s="15"/>
      <c r="Q6" s="1"/>
      <c r="R6" s="1">
        <v>9</v>
      </c>
      <c r="S6" s="1">
        <v>0</v>
      </c>
      <c r="T6" s="1">
        <v>0</v>
      </c>
      <c r="U6" s="1">
        <v>0</v>
      </c>
      <c r="V6" s="156">
        <f t="shared" si="0"/>
        <v>8</v>
      </c>
      <c r="W6" s="1"/>
      <c r="X6" s="4"/>
    </row>
    <row r="7" spans="1:30" x14ac:dyDescent="0.25">
      <c r="A7" s="2">
        <v>43898</v>
      </c>
      <c r="B7" s="188">
        <v>3</v>
      </c>
      <c r="C7" s="188"/>
      <c r="D7" s="188">
        <v>12</v>
      </c>
      <c r="E7" s="188">
        <v>0</v>
      </c>
      <c r="F7" s="188"/>
      <c r="G7" s="188">
        <v>1</v>
      </c>
      <c r="H7" s="190">
        <f t="shared" si="1"/>
        <v>0</v>
      </c>
      <c r="I7" s="213">
        <v>0</v>
      </c>
      <c r="J7" s="188"/>
      <c r="K7" s="188"/>
      <c r="L7" s="188"/>
      <c r="M7" s="188"/>
      <c r="N7" s="1"/>
      <c r="O7" s="15"/>
      <c r="P7" s="15"/>
      <c r="Q7" s="1"/>
      <c r="R7" s="1">
        <v>12</v>
      </c>
      <c r="S7" s="1">
        <v>0</v>
      </c>
      <c r="T7" s="1">
        <v>0</v>
      </c>
      <c r="U7" s="1">
        <v>0</v>
      </c>
      <c r="V7" s="156">
        <f t="shared" si="0"/>
        <v>11</v>
      </c>
      <c r="W7" s="1"/>
      <c r="X7" s="4"/>
    </row>
    <row r="8" spans="1:30" x14ac:dyDescent="0.25">
      <c r="A8" s="2">
        <v>43899</v>
      </c>
      <c r="B8" s="188">
        <v>5</v>
      </c>
      <c r="C8" s="188"/>
      <c r="D8" s="188">
        <v>17</v>
      </c>
      <c r="E8" s="188">
        <v>0</v>
      </c>
      <c r="F8" s="188"/>
      <c r="G8" s="188">
        <v>1</v>
      </c>
      <c r="H8" s="190">
        <f t="shared" si="1"/>
        <v>0</v>
      </c>
      <c r="I8" s="213">
        <v>0</v>
      </c>
      <c r="J8" s="188"/>
      <c r="K8" s="188"/>
      <c r="L8" s="188"/>
      <c r="M8" s="188"/>
      <c r="N8" s="1"/>
      <c r="O8" s="15"/>
      <c r="P8" s="15"/>
      <c r="Q8" s="1"/>
      <c r="R8" s="1">
        <v>17</v>
      </c>
      <c r="S8" s="1">
        <v>0</v>
      </c>
      <c r="T8" s="1">
        <v>0</v>
      </c>
      <c r="U8" s="1">
        <v>0</v>
      </c>
      <c r="V8" s="156">
        <f t="shared" si="0"/>
        <v>16</v>
      </c>
      <c r="W8" s="1"/>
      <c r="X8" s="4"/>
    </row>
    <row r="9" spans="1:30" x14ac:dyDescent="0.25">
      <c r="A9" s="2">
        <v>43900</v>
      </c>
      <c r="B9" s="188">
        <v>2</v>
      </c>
      <c r="C9" s="188"/>
      <c r="D9" s="188">
        <v>19</v>
      </c>
      <c r="E9" s="188">
        <v>0</v>
      </c>
      <c r="F9" s="188"/>
      <c r="G9" s="188">
        <v>1</v>
      </c>
      <c r="H9" s="190">
        <f t="shared" si="1"/>
        <v>0</v>
      </c>
      <c r="I9" s="213">
        <v>0</v>
      </c>
      <c r="J9" s="188"/>
      <c r="K9" s="188"/>
      <c r="L9" s="188"/>
      <c r="M9" s="188"/>
      <c r="N9" s="1"/>
      <c r="O9" s="15"/>
      <c r="P9" s="15"/>
      <c r="Q9" s="1"/>
      <c r="R9" s="1">
        <v>19</v>
      </c>
      <c r="S9" s="1">
        <v>0</v>
      </c>
      <c r="T9" s="1">
        <v>0</v>
      </c>
      <c r="U9" s="1">
        <v>0</v>
      </c>
      <c r="V9" s="156">
        <f t="shared" si="0"/>
        <v>18</v>
      </c>
      <c r="W9" s="1"/>
      <c r="X9" s="4"/>
    </row>
    <row r="10" spans="1:30" x14ac:dyDescent="0.25">
      <c r="A10" s="2">
        <v>43901</v>
      </c>
      <c r="B10" s="188">
        <v>2</v>
      </c>
      <c r="C10" s="188"/>
      <c r="D10" s="188">
        <v>21</v>
      </c>
      <c r="E10" s="188">
        <v>0</v>
      </c>
      <c r="F10" s="188"/>
      <c r="G10" s="188">
        <v>1</v>
      </c>
      <c r="H10" s="190">
        <f t="shared" si="1"/>
        <v>0</v>
      </c>
      <c r="I10" s="213">
        <v>0</v>
      </c>
      <c r="J10" s="188"/>
      <c r="K10" s="188"/>
      <c r="L10" s="188"/>
      <c r="M10" s="188"/>
      <c r="N10" s="1"/>
      <c r="O10" s="15"/>
      <c r="P10" s="15"/>
      <c r="Q10" s="1"/>
      <c r="R10" s="1">
        <v>21</v>
      </c>
      <c r="S10" s="1">
        <v>0</v>
      </c>
      <c r="T10" s="1">
        <v>0</v>
      </c>
      <c r="U10" s="1">
        <v>0</v>
      </c>
      <c r="V10" s="156">
        <f t="shared" si="0"/>
        <v>20</v>
      </c>
      <c r="W10" s="1"/>
      <c r="X10" s="4"/>
    </row>
    <row r="11" spans="1:30" x14ac:dyDescent="0.25">
      <c r="A11" s="2">
        <v>43902</v>
      </c>
      <c r="B11" s="188">
        <v>10</v>
      </c>
      <c r="C11" s="188"/>
      <c r="D11" s="188">
        <v>31</v>
      </c>
      <c r="E11" s="188">
        <v>0</v>
      </c>
      <c r="F11" s="188"/>
      <c r="G11" s="188">
        <v>1</v>
      </c>
      <c r="H11" s="190">
        <f t="shared" si="1"/>
        <v>0</v>
      </c>
      <c r="I11" s="213">
        <v>0</v>
      </c>
      <c r="J11" s="188"/>
      <c r="K11" s="188"/>
      <c r="L11" s="188"/>
      <c r="M11" s="188"/>
      <c r="N11" s="1"/>
      <c r="O11" s="15"/>
      <c r="P11" s="15"/>
      <c r="Q11" s="1"/>
      <c r="R11" s="1">
        <v>28</v>
      </c>
      <c r="S11" s="1">
        <v>3</v>
      </c>
      <c r="T11" s="1">
        <v>0</v>
      </c>
      <c r="U11" s="1">
        <v>0</v>
      </c>
      <c r="V11" s="156">
        <f t="shared" si="0"/>
        <v>30</v>
      </c>
      <c r="W11" s="1"/>
      <c r="X11" s="4"/>
    </row>
    <row r="12" spans="1:30" x14ac:dyDescent="0.25">
      <c r="A12" s="2">
        <v>43903</v>
      </c>
      <c r="B12" s="188">
        <v>3</v>
      </c>
      <c r="C12" s="188"/>
      <c r="D12" s="188">
        <v>34</v>
      </c>
      <c r="E12" s="188">
        <v>1</v>
      </c>
      <c r="F12" s="188"/>
      <c r="G12" s="188">
        <v>2</v>
      </c>
      <c r="H12" s="190">
        <f t="shared" si="1"/>
        <v>0</v>
      </c>
      <c r="I12" s="213">
        <v>0</v>
      </c>
      <c r="J12" s="188"/>
      <c r="K12" s="188"/>
      <c r="L12" s="188"/>
      <c r="M12" s="188"/>
      <c r="N12" s="1"/>
      <c r="O12" s="15"/>
      <c r="P12" s="15"/>
      <c r="Q12" s="1"/>
      <c r="R12" s="1">
        <v>30</v>
      </c>
      <c r="S12" s="1">
        <v>4</v>
      </c>
      <c r="T12" s="1">
        <v>0</v>
      </c>
      <c r="U12" s="1">
        <v>0</v>
      </c>
      <c r="V12" s="156">
        <f t="shared" si="0"/>
        <v>32</v>
      </c>
      <c r="W12" s="1"/>
      <c r="X12" s="4"/>
    </row>
    <row r="13" spans="1:30" x14ac:dyDescent="0.25">
      <c r="A13" s="2">
        <v>43904</v>
      </c>
      <c r="B13" s="188">
        <v>11</v>
      </c>
      <c r="C13" s="188"/>
      <c r="D13" s="188">
        <v>45</v>
      </c>
      <c r="E13" s="188">
        <v>0</v>
      </c>
      <c r="F13" s="188"/>
      <c r="G13" s="188">
        <v>2</v>
      </c>
      <c r="H13" s="190">
        <f t="shared" si="1"/>
        <v>0</v>
      </c>
      <c r="I13" s="213">
        <v>0</v>
      </c>
      <c r="J13" s="188"/>
      <c r="K13" s="188"/>
      <c r="L13" s="188"/>
      <c r="M13" s="188"/>
      <c r="N13" s="1"/>
      <c r="O13" s="15"/>
      <c r="P13" s="15"/>
      <c r="Q13" s="1"/>
      <c r="R13" s="1">
        <v>40</v>
      </c>
      <c r="S13" s="1">
        <v>5</v>
      </c>
      <c r="T13" s="1">
        <v>0</v>
      </c>
      <c r="U13" s="1">
        <v>0</v>
      </c>
      <c r="V13" s="156">
        <f t="shared" si="0"/>
        <v>43</v>
      </c>
      <c r="W13" s="1"/>
      <c r="X13" s="4"/>
    </row>
    <row r="14" spans="1:30" x14ac:dyDescent="0.25">
      <c r="A14" s="2">
        <v>43905</v>
      </c>
      <c r="B14" s="188">
        <v>11</v>
      </c>
      <c r="C14" s="188"/>
      <c r="D14" s="188">
        <v>56</v>
      </c>
      <c r="E14" s="188">
        <v>0</v>
      </c>
      <c r="F14" s="188"/>
      <c r="G14" s="188">
        <v>2</v>
      </c>
      <c r="H14" s="190">
        <f t="shared" si="1"/>
        <v>0</v>
      </c>
      <c r="I14" s="213">
        <v>0</v>
      </c>
      <c r="J14" s="188"/>
      <c r="K14" s="188"/>
      <c r="L14" s="188"/>
      <c r="M14" s="188"/>
      <c r="N14" s="1"/>
      <c r="O14" s="15"/>
      <c r="P14" s="15"/>
      <c r="Q14" s="1"/>
      <c r="R14" s="1">
        <v>48</v>
      </c>
      <c r="S14" s="1">
        <v>8</v>
      </c>
      <c r="T14" s="1">
        <v>0</v>
      </c>
      <c r="U14" s="1">
        <v>0</v>
      </c>
      <c r="V14" s="156">
        <f t="shared" si="0"/>
        <v>54</v>
      </c>
      <c r="W14" s="53">
        <f t="shared" ref="W14:W77" si="2">J14/(D14-G14-I14)</f>
        <v>0</v>
      </c>
      <c r="X14" s="43">
        <f>G14/D14</f>
        <v>3.5714285714285712E-2</v>
      </c>
    </row>
    <row r="15" spans="1:30" x14ac:dyDescent="0.25">
      <c r="A15" s="2">
        <v>43906</v>
      </c>
      <c r="B15" s="188">
        <v>9</v>
      </c>
      <c r="C15" s="188"/>
      <c r="D15" s="188">
        <v>65</v>
      </c>
      <c r="E15" s="188">
        <v>0</v>
      </c>
      <c r="F15" s="188"/>
      <c r="G15" s="188">
        <v>2</v>
      </c>
      <c r="H15" s="190">
        <f t="shared" si="1"/>
        <v>0</v>
      </c>
      <c r="I15" s="213">
        <v>0</v>
      </c>
      <c r="J15" s="188"/>
      <c r="K15" s="188"/>
      <c r="L15" s="188"/>
      <c r="M15" s="188"/>
      <c r="N15" s="1"/>
      <c r="O15" s="15"/>
      <c r="P15" s="15"/>
      <c r="Q15" s="1">
        <v>464</v>
      </c>
      <c r="R15" s="1">
        <v>56</v>
      </c>
      <c r="S15" s="1">
        <v>9</v>
      </c>
      <c r="T15" s="1">
        <v>0</v>
      </c>
      <c r="U15" s="1">
        <v>0</v>
      </c>
      <c r="V15" s="156">
        <f t="shared" si="0"/>
        <v>63</v>
      </c>
      <c r="W15" s="53">
        <f t="shared" si="2"/>
        <v>0</v>
      </c>
      <c r="X15" s="43">
        <f t="shared" ref="X15:X78" si="3">G15/D15</f>
        <v>3.0769230769230771E-2</v>
      </c>
    </row>
    <row r="16" spans="1:30" x14ac:dyDescent="0.25">
      <c r="A16" s="2">
        <v>43907</v>
      </c>
      <c r="B16" s="188">
        <v>13</v>
      </c>
      <c r="C16" s="188"/>
      <c r="D16" s="188">
        <v>78</v>
      </c>
      <c r="E16" s="188">
        <v>0</v>
      </c>
      <c r="F16" s="188"/>
      <c r="G16" s="188">
        <v>2</v>
      </c>
      <c r="H16" s="190">
        <f t="shared" si="1"/>
        <v>0</v>
      </c>
      <c r="I16" s="213">
        <v>0</v>
      </c>
      <c r="J16" s="188"/>
      <c r="K16" s="188"/>
      <c r="L16" s="188"/>
      <c r="M16" s="188"/>
      <c r="N16" s="1"/>
      <c r="O16" s="15">
        <v>686</v>
      </c>
      <c r="P16" s="15">
        <v>496</v>
      </c>
      <c r="Q16" s="1">
        <v>496</v>
      </c>
      <c r="R16" s="1">
        <v>67</v>
      </c>
      <c r="S16" s="1">
        <v>11</v>
      </c>
      <c r="T16" s="1">
        <v>0</v>
      </c>
      <c r="U16" s="1">
        <v>0</v>
      </c>
      <c r="V16" s="156">
        <f t="shared" si="0"/>
        <v>76</v>
      </c>
      <c r="W16" s="53">
        <f t="shared" si="2"/>
        <v>0</v>
      </c>
      <c r="X16" s="43">
        <f t="shared" si="3"/>
        <v>2.564102564102564E-2</v>
      </c>
    </row>
    <row r="17" spans="1:24" x14ac:dyDescent="0.25">
      <c r="A17" s="2">
        <v>43908</v>
      </c>
      <c r="B17" s="188">
        <v>19</v>
      </c>
      <c r="C17" s="188"/>
      <c r="D17" s="188">
        <v>97</v>
      </c>
      <c r="E17" s="188">
        <v>1</v>
      </c>
      <c r="F17" s="188"/>
      <c r="G17" s="188">
        <v>3</v>
      </c>
      <c r="H17" s="190">
        <f t="shared" si="1"/>
        <v>18</v>
      </c>
      <c r="I17" s="213">
        <v>18</v>
      </c>
      <c r="J17" s="188"/>
      <c r="K17" s="188"/>
      <c r="L17" s="188"/>
      <c r="M17" s="188"/>
      <c r="N17" s="1"/>
      <c r="O17" s="15"/>
      <c r="P17" s="15">
        <v>562</v>
      </c>
      <c r="Q17" s="1">
        <v>562</v>
      </c>
      <c r="R17" s="1">
        <v>80</v>
      </c>
      <c r="S17" s="1">
        <v>16</v>
      </c>
      <c r="T17" s="1">
        <v>0</v>
      </c>
      <c r="U17" s="13">
        <f t="shared" ref="U17:U80" si="4">D17-T17-S17-R17</f>
        <v>1</v>
      </c>
      <c r="V17" s="156">
        <f t="shared" si="0"/>
        <v>76</v>
      </c>
      <c r="W17" s="53">
        <f t="shared" si="2"/>
        <v>0</v>
      </c>
      <c r="X17" s="43">
        <f t="shared" si="3"/>
        <v>3.0927835051546393E-2</v>
      </c>
    </row>
    <row r="18" spans="1:24" x14ac:dyDescent="0.25">
      <c r="A18" s="2">
        <v>43909</v>
      </c>
      <c r="B18" s="188">
        <v>31</v>
      </c>
      <c r="C18" s="188"/>
      <c r="D18" s="188">
        <v>128</v>
      </c>
      <c r="E18" s="188">
        <v>0</v>
      </c>
      <c r="F18" s="188"/>
      <c r="G18" s="188">
        <v>3</v>
      </c>
      <c r="H18" s="190">
        <f t="shared" si="1"/>
        <v>5</v>
      </c>
      <c r="I18" s="213">
        <v>23</v>
      </c>
      <c r="J18" s="188"/>
      <c r="K18" s="188"/>
      <c r="L18" s="188"/>
      <c r="M18" s="188"/>
      <c r="N18" s="1"/>
      <c r="O18" s="15"/>
      <c r="P18" s="15">
        <v>705</v>
      </c>
      <c r="Q18" s="1">
        <v>705</v>
      </c>
      <c r="R18" s="1">
        <v>100</v>
      </c>
      <c r="S18" s="1">
        <v>22</v>
      </c>
      <c r="T18" s="1">
        <v>0</v>
      </c>
      <c r="U18" s="13">
        <f t="shared" si="4"/>
        <v>6</v>
      </c>
      <c r="V18" s="156">
        <f t="shared" si="0"/>
        <v>102</v>
      </c>
      <c r="W18" s="53">
        <f t="shared" si="2"/>
        <v>0</v>
      </c>
      <c r="X18" s="43">
        <f t="shared" si="3"/>
        <v>2.34375E-2</v>
      </c>
    </row>
    <row r="19" spans="1:24" x14ac:dyDescent="0.25">
      <c r="A19" s="2">
        <v>43910</v>
      </c>
      <c r="B19" s="188">
        <v>30</v>
      </c>
      <c r="C19" s="188"/>
      <c r="D19" s="188">
        <v>158</v>
      </c>
      <c r="E19" s="188">
        <v>0</v>
      </c>
      <c r="F19" s="188"/>
      <c r="G19" s="188">
        <v>3</v>
      </c>
      <c r="H19" s="190">
        <f t="shared" si="1"/>
        <v>4</v>
      </c>
      <c r="I19" s="213">
        <v>27</v>
      </c>
      <c r="J19" s="188"/>
      <c r="K19" s="188"/>
      <c r="L19" s="188"/>
      <c r="M19" s="188"/>
      <c r="N19" s="1"/>
      <c r="O19" s="15"/>
      <c r="P19" s="15">
        <v>872</v>
      </c>
      <c r="Q19" s="1">
        <v>872</v>
      </c>
      <c r="R19" s="1">
        <v>122</v>
      </c>
      <c r="S19" s="1">
        <v>26</v>
      </c>
      <c r="T19" s="1">
        <v>0</v>
      </c>
      <c r="U19" s="13">
        <f t="shared" si="4"/>
        <v>10</v>
      </c>
      <c r="V19" s="156">
        <f t="shared" si="0"/>
        <v>128</v>
      </c>
      <c r="W19" s="53">
        <f t="shared" si="2"/>
        <v>0</v>
      </c>
      <c r="X19" s="43">
        <f t="shared" si="3"/>
        <v>1.8987341772151899E-2</v>
      </c>
    </row>
    <row r="20" spans="1:24" x14ac:dyDescent="0.25">
      <c r="A20" s="2">
        <v>43911</v>
      </c>
      <c r="B20" s="188">
        <v>67</v>
      </c>
      <c r="C20" s="188"/>
      <c r="D20" s="188">
        <v>225</v>
      </c>
      <c r="E20" s="188">
        <v>1</v>
      </c>
      <c r="F20" s="188"/>
      <c r="G20" s="188">
        <v>4</v>
      </c>
      <c r="H20" s="190">
        <f t="shared" si="1"/>
        <v>4</v>
      </c>
      <c r="I20" s="213">
        <v>31</v>
      </c>
      <c r="J20" s="188"/>
      <c r="K20" s="188"/>
      <c r="L20" s="188"/>
      <c r="M20" s="188"/>
      <c r="N20" s="1"/>
      <c r="O20" s="15"/>
      <c r="P20" s="15">
        <v>1028</v>
      </c>
      <c r="Q20" s="1">
        <v>1028</v>
      </c>
      <c r="R20" s="1">
        <v>167</v>
      </c>
      <c r="S20" s="1">
        <v>38</v>
      </c>
      <c r="T20" s="1">
        <v>0</v>
      </c>
      <c r="U20" s="13">
        <f t="shared" si="4"/>
        <v>20</v>
      </c>
      <c r="V20" s="156">
        <f t="shared" si="0"/>
        <v>190</v>
      </c>
      <c r="W20" s="53">
        <f t="shared" si="2"/>
        <v>0</v>
      </c>
      <c r="X20" s="43">
        <f t="shared" si="3"/>
        <v>1.7777777777777778E-2</v>
      </c>
    </row>
    <row r="21" spans="1:24" x14ac:dyDescent="0.25">
      <c r="A21" s="2">
        <v>43912</v>
      </c>
      <c r="B21" s="188">
        <v>41</v>
      </c>
      <c r="C21" s="188"/>
      <c r="D21" s="188">
        <v>266</v>
      </c>
      <c r="E21" s="188">
        <v>0</v>
      </c>
      <c r="F21" s="188"/>
      <c r="G21" s="188">
        <v>4</v>
      </c>
      <c r="H21" s="190">
        <f t="shared" si="1"/>
        <v>20</v>
      </c>
      <c r="I21" s="213">
        <v>51</v>
      </c>
      <c r="J21" s="188"/>
      <c r="K21" s="188"/>
      <c r="L21" s="188"/>
      <c r="M21" s="188"/>
      <c r="N21" s="1"/>
      <c r="O21" s="15"/>
      <c r="P21" s="15">
        <v>1271</v>
      </c>
      <c r="Q21" s="1">
        <v>1271</v>
      </c>
      <c r="R21" s="1">
        <v>189</v>
      </c>
      <c r="S21" s="1">
        <v>59</v>
      </c>
      <c r="T21" s="1">
        <v>1</v>
      </c>
      <c r="U21" s="13">
        <f t="shared" si="4"/>
        <v>17</v>
      </c>
      <c r="V21" s="156">
        <f t="shared" si="0"/>
        <v>211</v>
      </c>
      <c r="W21" s="53">
        <f t="shared" si="2"/>
        <v>0</v>
      </c>
      <c r="X21" s="43">
        <f t="shared" si="3"/>
        <v>1.5037593984962405E-2</v>
      </c>
    </row>
    <row r="22" spans="1:24" x14ac:dyDescent="0.25">
      <c r="A22" s="2">
        <v>43913</v>
      </c>
      <c r="B22" s="189">
        <v>36</v>
      </c>
      <c r="C22" s="188"/>
      <c r="D22" s="189">
        <v>301</v>
      </c>
      <c r="E22" s="189">
        <v>0</v>
      </c>
      <c r="F22" s="188"/>
      <c r="G22" s="188">
        <v>4</v>
      </c>
      <c r="H22" s="190">
        <f t="shared" si="1"/>
        <v>1</v>
      </c>
      <c r="I22" s="213">
        <v>52</v>
      </c>
      <c r="J22" s="188"/>
      <c r="K22" s="188"/>
      <c r="L22" s="188"/>
      <c r="M22" s="188"/>
      <c r="N22" s="1"/>
      <c r="O22" s="15"/>
      <c r="P22" s="15">
        <v>1453</v>
      </c>
      <c r="Q22" s="1">
        <v>1453</v>
      </c>
      <c r="R22" s="1">
        <v>206</v>
      </c>
      <c r="S22" s="1">
        <v>64</v>
      </c>
      <c r="T22" s="1">
        <v>1</v>
      </c>
      <c r="U22" s="13">
        <f t="shared" si="4"/>
        <v>30</v>
      </c>
      <c r="V22" s="156">
        <f t="shared" si="0"/>
        <v>245</v>
      </c>
      <c r="W22" s="53">
        <f t="shared" si="2"/>
        <v>0</v>
      </c>
      <c r="X22" s="43">
        <f t="shared" si="3"/>
        <v>1.3289036544850499E-2</v>
      </c>
    </row>
    <row r="23" spans="1:24" x14ac:dyDescent="0.25">
      <c r="A23" s="2">
        <v>43914</v>
      </c>
      <c r="B23" s="188">
        <v>86</v>
      </c>
      <c r="C23" s="188"/>
      <c r="D23" s="188">
        <v>387</v>
      </c>
      <c r="E23" s="189">
        <v>2</v>
      </c>
      <c r="F23" s="188"/>
      <c r="G23" s="188">
        <v>6</v>
      </c>
      <c r="H23" s="190">
        <f t="shared" si="1"/>
        <v>11</v>
      </c>
      <c r="I23" s="213">
        <v>63</v>
      </c>
      <c r="J23" s="188"/>
      <c r="K23" s="188"/>
      <c r="L23" s="188"/>
      <c r="M23" s="188"/>
      <c r="N23" s="1"/>
      <c r="O23" s="15"/>
      <c r="P23" s="15">
        <v>1453</v>
      </c>
      <c r="Q23" s="1">
        <v>1453</v>
      </c>
      <c r="R23" s="1">
        <v>247</v>
      </c>
      <c r="S23" s="1">
        <v>84</v>
      </c>
      <c r="T23" s="1">
        <v>1</v>
      </c>
      <c r="U23" s="13">
        <f t="shared" si="4"/>
        <v>55</v>
      </c>
      <c r="V23" s="156">
        <f t="shared" si="0"/>
        <v>318</v>
      </c>
      <c r="W23" s="53">
        <f t="shared" si="2"/>
        <v>0</v>
      </c>
      <c r="X23" s="43">
        <f t="shared" si="3"/>
        <v>1.5503875968992248E-2</v>
      </c>
    </row>
    <row r="24" spans="1:24" x14ac:dyDescent="0.25">
      <c r="A24" s="2">
        <v>43915</v>
      </c>
      <c r="B24" s="188">
        <v>117</v>
      </c>
      <c r="C24" s="188"/>
      <c r="D24" s="188">
        <v>503</v>
      </c>
      <c r="E24" s="188">
        <v>2</v>
      </c>
      <c r="F24" s="188"/>
      <c r="G24" s="188">
        <v>8</v>
      </c>
      <c r="H24" s="190">
        <f t="shared" si="1"/>
        <v>9</v>
      </c>
      <c r="I24" s="213">
        <v>72</v>
      </c>
      <c r="J24" s="188"/>
      <c r="K24" s="188"/>
      <c r="L24" s="188"/>
      <c r="M24" s="188"/>
      <c r="N24" s="1"/>
      <c r="O24" s="15"/>
      <c r="P24" s="15">
        <v>1946</v>
      </c>
      <c r="Q24" s="1">
        <v>1946</v>
      </c>
      <c r="R24" s="1">
        <v>250</v>
      </c>
      <c r="S24" s="1">
        <v>102</v>
      </c>
      <c r="T24" s="1">
        <v>1</v>
      </c>
      <c r="U24" s="13">
        <f t="shared" si="4"/>
        <v>150</v>
      </c>
      <c r="V24" s="156">
        <f t="shared" si="0"/>
        <v>423</v>
      </c>
      <c r="W24" s="53">
        <f t="shared" si="2"/>
        <v>0</v>
      </c>
      <c r="X24" s="43">
        <f t="shared" si="3"/>
        <v>1.5904572564612324E-2</v>
      </c>
    </row>
    <row r="25" spans="1:24" x14ac:dyDescent="0.25">
      <c r="A25" s="2">
        <v>43916</v>
      </c>
      <c r="B25" s="188">
        <v>87</v>
      </c>
      <c r="C25" s="188"/>
      <c r="D25" s="188">
        <v>589</v>
      </c>
      <c r="E25" s="188">
        <v>4</v>
      </c>
      <c r="F25" s="188"/>
      <c r="G25" s="188">
        <v>12</v>
      </c>
      <c r="H25" s="190">
        <f t="shared" si="1"/>
        <v>3</v>
      </c>
      <c r="I25" s="213">
        <v>75</v>
      </c>
      <c r="J25" s="188">
        <v>25</v>
      </c>
      <c r="K25" s="188"/>
      <c r="L25" s="188"/>
      <c r="M25" s="188"/>
      <c r="N25" s="1"/>
      <c r="O25" s="15"/>
      <c r="P25" s="15">
        <v>2558</v>
      </c>
      <c r="Q25" s="1">
        <v>2558</v>
      </c>
      <c r="R25" s="1">
        <v>287</v>
      </c>
      <c r="S25" s="1">
        <v>126</v>
      </c>
      <c r="T25" s="1">
        <v>1</v>
      </c>
      <c r="U25" s="13">
        <f t="shared" si="4"/>
        <v>175</v>
      </c>
      <c r="V25" s="156">
        <f t="shared" si="0"/>
        <v>502</v>
      </c>
      <c r="W25" s="53">
        <f t="shared" si="2"/>
        <v>4.9800796812749001E-2</v>
      </c>
      <c r="X25" s="43">
        <f t="shared" si="3"/>
        <v>2.037351443123939E-2</v>
      </c>
    </row>
    <row r="26" spans="1:24" x14ac:dyDescent="0.25">
      <c r="A26" s="2">
        <v>43917</v>
      </c>
      <c r="B26" s="188">
        <v>101</v>
      </c>
      <c r="C26" s="188"/>
      <c r="D26" s="188">
        <v>690</v>
      </c>
      <c r="E26" s="188">
        <v>5</v>
      </c>
      <c r="F26" s="188"/>
      <c r="G26" s="188">
        <v>17</v>
      </c>
      <c r="H26" s="190">
        <f t="shared" si="1"/>
        <v>5</v>
      </c>
      <c r="I26" s="213">
        <v>80</v>
      </c>
      <c r="J26" s="188"/>
      <c r="K26" s="188"/>
      <c r="L26" s="188"/>
      <c r="M26" s="188"/>
      <c r="N26" s="1"/>
      <c r="O26" s="15"/>
      <c r="P26" s="15">
        <v>2817</v>
      </c>
      <c r="Q26" s="1">
        <v>2817</v>
      </c>
      <c r="R26" s="1">
        <v>387</v>
      </c>
      <c r="S26" s="1">
        <v>167</v>
      </c>
      <c r="T26" s="1">
        <v>1</v>
      </c>
      <c r="U26" s="13">
        <f t="shared" si="4"/>
        <v>135</v>
      </c>
      <c r="V26" s="156">
        <f t="shared" si="0"/>
        <v>593</v>
      </c>
      <c r="W26" s="53">
        <f t="shared" si="2"/>
        <v>0</v>
      </c>
      <c r="X26" s="43">
        <f t="shared" si="3"/>
        <v>2.4637681159420291E-2</v>
      </c>
    </row>
    <row r="27" spans="1:24" x14ac:dyDescent="0.25">
      <c r="A27" s="2">
        <v>43918</v>
      </c>
      <c r="B27" s="188">
        <v>55</v>
      </c>
      <c r="C27" s="188"/>
      <c r="D27" s="188">
        <v>745</v>
      </c>
      <c r="E27" s="188">
        <v>2</v>
      </c>
      <c r="F27" s="188"/>
      <c r="G27" s="188">
        <v>19</v>
      </c>
      <c r="H27" s="190">
        <f t="shared" si="1"/>
        <v>11</v>
      </c>
      <c r="I27" s="213">
        <v>91</v>
      </c>
      <c r="J27" s="188">
        <v>44</v>
      </c>
      <c r="K27" s="188"/>
      <c r="L27" s="188"/>
      <c r="M27" s="188"/>
      <c r="N27" s="1"/>
      <c r="O27" s="15"/>
      <c r="P27" s="15">
        <v>3215</v>
      </c>
      <c r="Q27" s="1">
        <v>3215</v>
      </c>
      <c r="R27" s="1">
        <v>408</v>
      </c>
      <c r="S27" s="1">
        <v>185</v>
      </c>
      <c r="T27" s="1">
        <v>1</v>
      </c>
      <c r="U27" s="13">
        <f t="shared" si="4"/>
        <v>151</v>
      </c>
      <c r="V27" s="156">
        <f t="shared" si="0"/>
        <v>635</v>
      </c>
      <c r="W27" s="53">
        <f t="shared" si="2"/>
        <v>6.9291338582677164E-2</v>
      </c>
      <c r="X27" s="43">
        <f t="shared" si="3"/>
        <v>2.5503355704697986E-2</v>
      </c>
    </row>
    <row r="28" spans="1:24" x14ac:dyDescent="0.25">
      <c r="A28" s="2">
        <v>43919</v>
      </c>
      <c r="B28" s="188">
        <v>75</v>
      </c>
      <c r="C28" s="188"/>
      <c r="D28" s="188">
        <v>820</v>
      </c>
      <c r="E28" s="188">
        <v>1</v>
      </c>
      <c r="F28" s="188"/>
      <c r="G28" s="188">
        <v>20</v>
      </c>
      <c r="H28" s="190">
        <f t="shared" si="1"/>
        <v>137</v>
      </c>
      <c r="I28" s="213">
        <v>228</v>
      </c>
      <c r="J28" s="188">
        <v>53</v>
      </c>
      <c r="K28" s="188"/>
      <c r="L28" s="188"/>
      <c r="M28" s="188"/>
      <c r="N28" s="1"/>
      <c r="O28" s="15"/>
      <c r="P28" s="15">
        <v>3580</v>
      </c>
      <c r="Q28" s="1">
        <v>3580</v>
      </c>
      <c r="R28" s="1">
        <v>442</v>
      </c>
      <c r="S28" s="1">
        <v>207</v>
      </c>
      <c r="T28" s="1">
        <v>1</v>
      </c>
      <c r="U28" s="13">
        <f t="shared" si="4"/>
        <v>170</v>
      </c>
      <c r="V28" s="156">
        <f t="shared" si="0"/>
        <v>572</v>
      </c>
      <c r="W28" s="53">
        <f t="shared" si="2"/>
        <v>9.2657342657342656E-2</v>
      </c>
      <c r="X28" s="43">
        <f t="shared" si="3"/>
        <v>2.4390243902439025E-2</v>
      </c>
    </row>
    <row r="29" spans="1:24" x14ac:dyDescent="0.25">
      <c r="A29" s="2">
        <v>43920</v>
      </c>
      <c r="B29" s="188">
        <v>146</v>
      </c>
      <c r="C29" s="188"/>
      <c r="D29" s="188">
        <v>966</v>
      </c>
      <c r="E29" s="188">
        <v>5</v>
      </c>
      <c r="F29" s="188"/>
      <c r="G29" s="188">
        <v>25</v>
      </c>
      <c r="H29" s="190">
        <f t="shared" si="1"/>
        <v>12</v>
      </c>
      <c r="I29" s="213">
        <v>240</v>
      </c>
      <c r="J29" s="188">
        <v>55</v>
      </c>
      <c r="K29" s="188"/>
      <c r="L29" s="188"/>
      <c r="M29" s="188"/>
      <c r="N29" s="1"/>
      <c r="O29" s="15"/>
      <c r="P29" s="15">
        <v>4065</v>
      </c>
      <c r="Q29" s="1">
        <v>4065</v>
      </c>
      <c r="R29" s="1">
        <v>489</v>
      </c>
      <c r="S29" s="1">
        <v>207</v>
      </c>
      <c r="T29" s="1">
        <v>1</v>
      </c>
      <c r="U29" s="13">
        <f t="shared" si="4"/>
        <v>269</v>
      </c>
      <c r="V29" s="156">
        <f t="shared" si="0"/>
        <v>701</v>
      </c>
      <c r="W29" s="53">
        <f t="shared" si="2"/>
        <v>7.8459343794579167E-2</v>
      </c>
      <c r="X29" s="43">
        <f t="shared" si="3"/>
        <v>2.5879917184265012E-2</v>
      </c>
    </row>
    <row r="30" spans="1:24" x14ac:dyDescent="0.25">
      <c r="A30" s="2">
        <v>43921</v>
      </c>
      <c r="B30" s="188">
        <v>88</v>
      </c>
      <c r="C30" s="188"/>
      <c r="D30" s="188">
        <v>1054</v>
      </c>
      <c r="E30" s="188">
        <v>3</v>
      </c>
      <c r="F30" s="188"/>
      <c r="G30" s="188">
        <v>28</v>
      </c>
      <c r="H30" s="190">
        <f t="shared" si="1"/>
        <v>8</v>
      </c>
      <c r="I30" s="213">
        <v>248</v>
      </c>
      <c r="J30" s="188">
        <v>55</v>
      </c>
      <c r="K30" s="188"/>
      <c r="L30" s="188"/>
      <c r="M30" s="188"/>
      <c r="N30" s="1"/>
      <c r="O30" s="15"/>
      <c r="P30" s="15">
        <v>4597</v>
      </c>
      <c r="Q30" s="1">
        <v>4597</v>
      </c>
      <c r="R30" s="1">
        <v>529</v>
      </c>
      <c r="S30" s="1">
        <v>295</v>
      </c>
      <c r="T30" s="1">
        <v>1</v>
      </c>
      <c r="U30" s="13">
        <f t="shared" si="4"/>
        <v>229</v>
      </c>
      <c r="V30" s="156">
        <f t="shared" si="0"/>
        <v>778</v>
      </c>
      <c r="W30" s="53">
        <f t="shared" si="2"/>
        <v>7.0694087403598976E-2</v>
      </c>
      <c r="X30" s="43">
        <f t="shared" si="3"/>
        <v>2.6565464895635674E-2</v>
      </c>
    </row>
    <row r="31" spans="1:24" x14ac:dyDescent="0.25">
      <c r="A31" s="2">
        <v>43922</v>
      </c>
      <c r="B31" s="188">
        <v>79</v>
      </c>
      <c r="C31" s="188"/>
      <c r="D31" s="188">
        <v>1133</v>
      </c>
      <c r="E31" s="188">
        <v>5</v>
      </c>
      <c r="F31" s="188"/>
      <c r="G31" s="188">
        <v>33</v>
      </c>
      <c r="H31" s="190">
        <f t="shared" si="1"/>
        <v>8</v>
      </c>
      <c r="I31" s="213">
        <v>256</v>
      </c>
      <c r="J31" s="188">
        <v>72</v>
      </c>
      <c r="K31" s="188"/>
      <c r="L31" s="188"/>
      <c r="M31" s="188"/>
      <c r="N31" s="1"/>
      <c r="O31" s="15"/>
      <c r="P31" s="15">
        <v>5144</v>
      </c>
      <c r="Q31" s="1">
        <v>5144</v>
      </c>
      <c r="R31" s="1">
        <v>580</v>
      </c>
      <c r="S31" s="1">
        <v>349</v>
      </c>
      <c r="T31" s="1">
        <v>1</v>
      </c>
      <c r="U31" s="13">
        <f t="shared" si="4"/>
        <v>203</v>
      </c>
      <c r="V31" s="156">
        <f t="shared" si="0"/>
        <v>844</v>
      </c>
      <c r="W31" s="53">
        <f t="shared" si="2"/>
        <v>8.5308056872037921E-2</v>
      </c>
      <c r="X31" s="43">
        <f t="shared" si="3"/>
        <v>2.9126213592233011E-2</v>
      </c>
    </row>
    <row r="32" spans="1:24" x14ac:dyDescent="0.25">
      <c r="A32" s="2">
        <v>43923</v>
      </c>
      <c r="B32" s="188">
        <v>132</v>
      </c>
      <c r="C32" s="188"/>
      <c r="D32" s="188">
        <v>1265</v>
      </c>
      <c r="E32" s="188">
        <v>4</v>
      </c>
      <c r="F32" s="188"/>
      <c r="G32" s="188">
        <v>37</v>
      </c>
      <c r="H32" s="190">
        <f t="shared" si="1"/>
        <v>10</v>
      </c>
      <c r="I32" s="213">
        <v>266</v>
      </c>
      <c r="J32" s="188">
        <v>82</v>
      </c>
      <c r="K32" s="188"/>
      <c r="L32" s="188"/>
      <c r="M32" s="188"/>
      <c r="N32" s="1"/>
      <c r="O32" s="15"/>
      <c r="P32" s="15">
        <v>6120</v>
      </c>
      <c r="Q32" s="1">
        <v>6120</v>
      </c>
      <c r="R32" s="1">
        <v>622</v>
      </c>
      <c r="S32" s="1">
        <v>397</v>
      </c>
      <c r="T32" s="1">
        <v>103</v>
      </c>
      <c r="U32" s="13">
        <f t="shared" si="4"/>
        <v>143</v>
      </c>
      <c r="V32" s="156">
        <f t="shared" si="0"/>
        <v>962</v>
      </c>
      <c r="W32" s="53">
        <f t="shared" si="2"/>
        <v>8.5239085239085244E-2</v>
      </c>
      <c r="X32" s="43">
        <f t="shared" si="3"/>
        <v>2.9249011857707511E-2</v>
      </c>
    </row>
    <row r="33" spans="1:24" x14ac:dyDescent="0.25">
      <c r="A33" s="2">
        <v>43924</v>
      </c>
      <c r="B33" s="188">
        <v>88</v>
      </c>
      <c r="C33" s="188"/>
      <c r="D33" s="188">
        <v>1353</v>
      </c>
      <c r="E33" s="188">
        <v>5</v>
      </c>
      <c r="F33" s="188"/>
      <c r="G33" s="188">
        <v>42</v>
      </c>
      <c r="H33" s="190">
        <f t="shared" si="1"/>
        <v>13</v>
      </c>
      <c r="I33" s="213">
        <v>279</v>
      </c>
      <c r="J33" s="188">
        <v>86</v>
      </c>
      <c r="K33" s="188"/>
      <c r="L33" s="188"/>
      <c r="M33" s="188"/>
      <c r="N33" s="1"/>
      <c r="O33" s="15"/>
      <c r="P33" s="15">
        <v>7135</v>
      </c>
      <c r="Q33" s="1">
        <v>7135</v>
      </c>
      <c r="R33" s="1">
        <v>656</v>
      </c>
      <c r="S33" s="1">
        <v>460</v>
      </c>
      <c r="T33" s="1">
        <v>113</v>
      </c>
      <c r="U33" s="13">
        <f t="shared" si="4"/>
        <v>124</v>
      </c>
      <c r="V33" s="156">
        <f t="shared" si="0"/>
        <v>1032</v>
      </c>
      <c r="W33" s="53">
        <f t="shared" si="2"/>
        <v>8.3333333333333329E-2</v>
      </c>
      <c r="X33" s="43">
        <f t="shared" si="3"/>
        <v>3.1042128603104215E-2</v>
      </c>
    </row>
    <row r="34" spans="1:24" x14ac:dyDescent="0.25">
      <c r="A34" s="2">
        <v>43925</v>
      </c>
      <c r="B34" s="188">
        <v>98</v>
      </c>
      <c r="C34" s="188"/>
      <c r="D34" s="188">
        <v>1451</v>
      </c>
      <c r="E34" s="188">
        <v>1</v>
      </c>
      <c r="F34" s="188"/>
      <c r="G34" s="188">
        <v>43</v>
      </c>
      <c r="H34" s="190">
        <f t="shared" si="1"/>
        <v>1</v>
      </c>
      <c r="I34" s="213">
        <v>280</v>
      </c>
      <c r="J34" s="188">
        <v>87</v>
      </c>
      <c r="K34" s="188"/>
      <c r="L34" s="188"/>
      <c r="M34" s="188"/>
      <c r="N34" s="1"/>
      <c r="O34" s="15">
        <v>394</v>
      </c>
      <c r="P34" s="15">
        <v>7494</v>
      </c>
      <c r="Q34" s="1">
        <v>7888</v>
      </c>
      <c r="R34" s="1">
        <v>674</v>
      </c>
      <c r="S34" s="1">
        <v>490</v>
      </c>
      <c r="T34" s="1">
        <v>119</v>
      </c>
      <c r="U34" s="13">
        <f t="shared" si="4"/>
        <v>168</v>
      </c>
      <c r="V34" s="156">
        <f t="shared" si="0"/>
        <v>1128</v>
      </c>
      <c r="W34" s="53">
        <f t="shared" si="2"/>
        <v>7.7127659574468085E-2</v>
      </c>
      <c r="X34" s="43">
        <f t="shared" si="3"/>
        <v>2.9634734665747762E-2</v>
      </c>
    </row>
    <row r="35" spans="1:24" x14ac:dyDescent="0.25">
      <c r="A35" s="2">
        <v>43926</v>
      </c>
      <c r="B35" s="188">
        <v>103</v>
      </c>
      <c r="C35" s="188"/>
      <c r="D35" s="188">
        <v>1554</v>
      </c>
      <c r="E35" s="188">
        <v>3</v>
      </c>
      <c r="F35" s="188"/>
      <c r="G35" s="188">
        <v>46</v>
      </c>
      <c r="H35" s="190">
        <f t="shared" si="1"/>
        <v>45</v>
      </c>
      <c r="I35" s="213">
        <v>325</v>
      </c>
      <c r="J35" s="188">
        <v>94</v>
      </c>
      <c r="K35" s="188"/>
      <c r="L35" s="188"/>
      <c r="M35" s="188"/>
      <c r="N35" s="1"/>
      <c r="O35" s="15">
        <v>383</v>
      </c>
      <c r="P35" s="15">
        <v>8125</v>
      </c>
      <c r="Q35" s="1">
        <v>8508</v>
      </c>
      <c r="R35" s="1">
        <v>695</v>
      </c>
      <c r="S35" s="1">
        <v>536</v>
      </c>
      <c r="T35" s="1">
        <v>148</v>
      </c>
      <c r="U35" s="13">
        <f t="shared" si="4"/>
        <v>175</v>
      </c>
      <c r="V35" s="156">
        <f t="shared" si="0"/>
        <v>1183</v>
      </c>
      <c r="W35" s="53">
        <f t="shared" si="2"/>
        <v>7.945900253592561E-2</v>
      </c>
      <c r="X35" s="43">
        <f t="shared" si="3"/>
        <v>2.9601029601029602E-2</v>
      </c>
    </row>
    <row r="36" spans="1:24" x14ac:dyDescent="0.25">
      <c r="A36" s="2">
        <v>43927</v>
      </c>
      <c r="B36" s="188">
        <v>74</v>
      </c>
      <c r="C36" s="188"/>
      <c r="D36" s="188">
        <v>1628</v>
      </c>
      <c r="E36" s="188">
        <v>7</v>
      </c>
      <c r="F36" s="188"/>
      <c r="G36" s="188">
        <v>53</v>
      </c>
      <c r="H36" s="190">
        <f t="shared" si="1"/>
        <v>13</v>
      </c>
      <c r="I36" s="213">
        <v>338</v>
      </c>
      <c r="J36" s="188">
        <v>96</v>
      </c>
      <c r="K36" s="188"/>
      <c r="L36" s="188"/>
      <c r="M36" s="188"/>
      <c r="N36" s="1"/>
      <c r="O36" s="15">
        <v>458</v>
      </c>
      <c r="P36" s="15">
        <v>8707</v>
      </c>
      <c r="Q36" s="1">
        <v>9165</v>
      </c>
      <c r="R36" s="1">
        <v>718</v>
      </c>
      <c r="S36" s="1">
        <v>563</v>
      </c>
      <c r="T36" s="1">
        <v>175</v>
      </c>
      <c r="U36" s="13">
        <f t="shared" si="4"/>
        <v>172</v>
      </c>
      <c r="V36" s="156">
        <f t="shared" si="0"/>
        <v>1237</v>
      </c>
      <c r="W36" s="53">
        <f t="shared" si="2"/>
        <v>7.7607113985448672E-2</v>
      </c>
      <c r="X36" s="43">
        <f t="shared" si="3"/>
        <v>3.2555282555282554E-2</v>
      </c>
    </row>
    <row r="37" spans="1:24" x14ac:dyDescent="0.25">
      <c r="A37" s="2">
        <v>43928</v>
      </c>
      <c r="B37" s="188">
        <v>87</v>
      </c>
      <c r="C37" s="24">
        <f t="shared" ref="C37:C100" si="5">AVERAGE(B31:B37)</f>
        <v>94.428571428571431</v>
      </c>
      <c r="D37" s="188">
        <v>1715</v>
      </c>
      <c r="E37" s="188">
        <v>7</v>
      </c>
      <c r="F37" s="24">
        <f t="shared" ref="F37:F100" si="6">AVERAGE(E31:E37)</f>
        <v>4.5714285714285712</v>
      </c>
      <c r="G37" s="188">
        <v>60</v>
      </c>
      <c r="H37" s="190">
        <f t="shared" si="1"/>
        <v>20</v>
      </c>
      <c r="I37" s="213">
        <v>358</v>
      </c>
      <c r="J37" s="188">
        <v>98</v>
      </c>
      <c r="K37" s="24">
        <f t="shared" ref="K37:M100" si="7">AVERAGE(J31:J37)</f>
        <v>87.857142857142861</v>
      </c>
      <c r="L37" s="188">
        <v>1552</v>
      </c>
      <c r="M37" s="24">
        <f t="shared" si="7"/>
        <v>1552</v>
      </c>
      <c r="N37" s="1"/>
      <c r="O37" s="15">
        <v>418</v>
      </c>
      <c r="P37" s="15">
        <v>10020</v>
      </c>
      <c r="Q37" s="1">
        <v>10438</v>
      </c>
      <c r="R37" s="1">
        <v>738</v>
      </c>
      <c r="S37" s="1">
        <v>588</v>
      </c>
      <c r="T37" s="1">
        <v>205</v>
      </c>
      <c r="U37" s="13">
        <f t="shared" si="4"/>
        <v>184</v>
      </c>
      <c r="V37" s="156">
        <f t="shared" si="0"/>
        <v>1297</v>
      </c>
      <c r="W37" s="53">
        <f t="shared" si="2"/>
        <v>7.5558982266769464E-2</v>
      </c>
      <c r="X37" s="43">
        <f t="shared" si="3"/>
        <v>3.4985422740524783E-2</v>
      </c>
    </row>
    <row r="38" spans="1:24" x14ac:dyDescent="0.25">
      <c r="A38" s="2">
        <v>43929</v>
      </c>
      <c r="B38" s="188">
        <v>80</v>
      </c>
      <c r="C38" s="24">
        <f t="shared" si="5"/>
        <v>94.571428571428569</v>
      </c>
      <c r="D38" s="188">
        <v>1795</v>
      </c>
      <c r="E38" s="188">
        <v>5</v>
      </c>
      <c r="F38" s="24">
        <f t="shared" si="6"/>
        <v>4.5714285714285712</v>
      </c>
      <c r="G38" s="188">
        <v>65</v>
      </c>
      <c r="H38" s="190">
        <f t="shared" si="1"/>
        <v>7</v>
      </c>
      <c r="I38" s="213">
        <v>365</v>
      </c>
      <c r="J38" s="188">
        <v>98</v>
      </c>
      <c r="K38" s="24">
        <f t="shared" si="7"/>
        <v>91.571428571428569</v>
      </c>
      <c r="L38" s="188">
        <v>1520</v>
      </c>
      <c r="M38" s="24">
        <f t="shared" si="7"/>
        <v>1536</v>
      </c>
      <c r="N38" s="1"/>
      <c r="O38" s="15">
        <v>450</v>
      </c>
      <c r="P38" s="15">
        <v>11385</v>
      </c>
      <c r="Q38" s="1">
        <v>11835</v>
      </c>
      <c r="R38" s="1">
        <v>767</v>
      </c>
      <c r="S38" s="1">
        <v>618</v>
      </c>
      <c r="T38" s="1">
        <v>224</v>
      </c>
      <c r="U38" s="13">
        <f t="shared" si="4"/>
        <v>186</v>
      </c>
      <c r="V38" s="156">
        <f t="shared" si="0"/>
        <v>1365</v>
      </c>
      <c r="W38" s="53">
        <f t="shared" si="2"/>
        <v>7.179487179487179E-2</v>
      </c>
      <c r="X38" s="43">
        <f t="shared" si="3"/>
        <v>3.6211699164345405E-2</v>
      </c>
    </row>
    <row r="39" spans="1:24" x14ac:dyDescent="0.25">
      <c r="A39" s="2">
        <v>43930</v>
      </c>
      <c r="B39" s="188">
        <v>99</v>
      </c>
      <c r="C39" s="24">
        <f t="shared" si="5"/>
        <v>89.857142857142861</v>
      </c>
      <c r="D39" s="188">
        <v>1894</v>
      </c>
      <c r="E39" s="188">
        <v>14</v>
      </c>
      <c r="F39" s="24">
        <f t="shared" si="6"/>
        <v>6</v>
      </c>
      <c r="G39" s="188">
        <v>79</v>
      </c>
      <c r="H39" s="190">
        <f t="shared" si="1"/>
        <v>10</v>
      </c>
      <c r="I39" s="213">
        <v>375</v>
      </c>
      <c r="J39" s="188">
        <v>98</v>
      </c>
      <c r="K39" s="24">
        <f t="shared" si="7"/>
        <v>93.857142857142861</v>
      </c>
      <c r="L39" s="188">
        <v>1529</v>
      </c>
      <c r="M39" s="24">
        <f t="shared" si="7"/>
        <v>1533.6666666666667</v>
      </c>
      <c r="N39" s="1">
        <v>16379</v>
      </c>
      <c r="O39" s="15"/>
      <c r="P39" s="15"/>
      <c r="Q39" s="1">
        <v>12983</v>
      </c>
      <c r="R39" s="1">
        <v>785</v>
      </c>
      <c r="S39" s="1">
        <v>641</v>
      </c>
      <c r="T39" s="1">
        <v>261</v>
      </c>
      <c r="U39" s="13">
        <f t="shared" si="4"/>
        <v>207</v>
      </c>
      <c r="V39" s="156">
        <f t="shared" si="0"/>
        <v>1440</v>
      </c>
      <c r="W39" s="53">
        <f t="shared" si="2"/>
        <v>6.805555555555555E-2</v>
      </c>
      <c r="X39" s="43">
        <f t="shared" si="3"/>
        <v>4.171066525871172E-2</v>
      </c>
    </row>
    <row r="40" spans="1:24" x14ac:dyDescent="0.25">
      <c r="A40" s="2">
        <v>43931</v>
      </c>
      <c r="B40" s="188">
        <v>81</v>
      </c>
      <c r="C40" s="24">
        <f t="shared" si="5"/>
        <v>88.857142857142861</v>
      </c>
      <c r="D40" s="188">
        <v>1975</v>
      </c>
      <c r="E40" s="188">
        <v>3</v>
      </c>
      <c r="F40" s="24">
        <f t="shared" si="6"/>
        <v>5.7142857142857144</v>
      </c>
      <c r="G40" s="188">
        <v>82</v>
      </c>
      <c r="H40" s="190">
        <f t="shared" si="1"/>
        <v>65</v>
      </c>
      <c r="I40" s="213">
        <v>440</v>
      </c>
      <c r="J40" s="188">
        <v>115</v>
      </c>
      <c r="K40" s="24">
        <f t="shared" si="7"/>
        <v>98</v>
      </c>
      <c r="L40" s="188">
        <v>1648</v>
      </c>
      <c r="M40" s="24">
        <f t="shared" si="7"/>
        <v>1562.25</v>
      </c>
      <c r="N40" s="1">
        <v>18027</v>
      </c>
      <c r="O40" s="15">
        <v>566</v>
      </c>
      <c r="P40" s="15">
        <v>13584</v>
      </c>
      <c r="Q40" s="1">
        <v>14150</v>
      </c>
      <c r="R40" s="1">
        <v>790</v>
      </c>
      <c r="S40" s="1">
        <v>672</v>
      </c>
      <c r="T40" s="1">
        <v>290</v>
      </c>
      <c r="U40" s="13">
        <f t="shared" si="4"/>
        <v>223</v>
      </c>
      <c r="V40" s="156">
        <f t="shared" si="0"/>
        <v>1453</v>
      </c>
      <c r="W40" s="53">
        <f t="shared" si="2"/>
        <v>7.9146593255333797E-2</v>
      </c>
      <c r="X40" s="43">
        <f t="shared" si="3"/>
        <v>4.1518987341772152E-2</v>
      </c>
    </row>
    <row r="41" spans="1:24" x14ac:dyDescent="0.25">
      <c r="A41" s="2">
        <v>43932</v>
      </c>
      <c r="B41" s="188">
        <v>167</v>
      </c>
      <c r="C41" s="24">
        <f t="shared" si="5"/>
        <v>98.714285714285708</v>
      </c>
      <c r="D41" s="188">
        <v>2142</v>
      </c>
      <c r="E41" s="188">
        <v>7</v>
      </c>
      <c r="F41" s="24">
        <f t="shared" si="6"/>
        <v>6.5714285714285712</v>
      </c>
      <c r="G41" s="188">
        <v>89</v>
      </c>
      <c r="H41" s="190">
        <f t="shared" si="1"/>
        <v>28</v>
      </c>
      <c r="I41" s="213">
        <v>468</v>
      </c>
      <c r="J41" s="188">
        <v>83</v>
      </c>
      <c r="K41" s="24">
        <f t="shared" si="7"/>
        <v>97.428571428571431</v>
      </c>
      <c r="L41" s="188">
        <v>1731</v>
      </c>
      <c r="M41" s="24">
        <f t="shared" si="7"/>
        <v>1596</v>
      </c>
      <c r="N41" s="1">
        <v>19758</v>
      </c>
      <c r="O41" s="15">
        <v>464</v>
      </c>
      <c r="P41" s="15">
        <v>15016</v>
      </c>
      <c r="Q41" s="1">
        <v>15480</v>
      </c>
      <c r="R41" s="1">
        <v>816</v>
      </c>
      <c r="S41" s="1">
        <v>712</v>
      </c>
      <c r="T41" s="1">
        <v>304</v>
      </c>
      <c r="U41" s="13">
        <f t="shared" si="4"/>
        <v>310</v>
      </c>
      <c r="V41" s="156">
        <f t="shared" si="0"/>
        <v>1585</v>
      </c>
      <c r="W41" s="53">
        <f t="shared" si="2"/>
        <v>5.2365930599369087E-2</v>
      </c>
      <c r="X41" s="43">
        <f t="shared" si="3"/>
        <v>4.1549953314659195E-2</v>
      </c>
    </row>
    <row r="42" spans="1:24" x14ac:dyDescent="0.25">
      <c r="A42" s="2">
        <v>43933</v>
      </c>
      <c r="B42" s="188">
        <v>66</v>
      </c>
      <c r="C42" s="24">
        <f t="shared" si="5"/>
        <v>93.428571428571431</v>
      </c>
      <c r="D42" s="188">
        <v>2208</v>
      </c>
      <c r="E42" s="188">
        <v>6</v>
      </c>
      <c r="F42" s="24">
        <f t="shared" si="6"/>
        <v>7</v>
      </c>
      <c r="G42" s="188">
        <v>95</v>
      </c>
      <c r="H42" s="190">
        <f t="shared" si="1"/>
        <v>47</v>
      </c>
      <c r="I42" s="213">
        <v>515</v>
      </c>
      <c r="J42" s="188">
        <v>113</v>
      </c>
      <c r="K42" s="24">
        <f t="shared" si="7"/>
        <v>100.14285714285714</v>
      </c>
      <c r="L42" s="188">
        <v>1435</v>
      </c>
      <c r="M42" s="24">
        <f t="shared" si="7"/>
        <v>1569.1666666666667</v>
      </c>
      <c r="N42" s="1">
        <v>21193</v>
      </c>
      <c r="O42" s="15">
        <v>477</v>
      </c>
      <c r="P42" s="15">
        <v>15939</v>
      </c>
      <c r="Q42" s="1">
        <v>16416</v>
      </c>
      <c r="R42" s="1">
        <v>821</v>
      </c>
      <c r="S42" s="1">
        <v>766</v>
      </c>
      <c r="T42" s="1">
        <v>318</v>
      </c>
      <c r="U42" s="13">
        <f t="shared" si="4"/>
        <v>303</v>
      </c>
      <c r="V42" s="156">
        <f t="shared" si="0"/>
        <v>1598</v>
      </c>
      <c r="W42" s="53">
        <f t="shared" si="2"/>
        <v>7.07133917396746E-2</v>
      </c>
      <c r="X42" s="43">
        <f t="shared" si="3"/>
        <v>4.3025362318840576E-2</v>
      </c>
    </row>
    <row r="43" spans="1:24" x14ac:dyDescent="0.25">
      <c r="A43" s="2">
        <v>43934</v>
      </c>
      <c r="B43" s="188">
        <v>69</v>
      </c>
      <c r="C43" s="24">
        <f t="shared" si="5"/>
        <v>92.714285714285708</v>
      </c>
      <c r="D43" s="188">
        <v>2277</v>
      </c>
      <c r="E43" s="188">
        <v>3</v>
      </c>
      <c r="F43" s="24">
        <f t="shared" si="6"/>
        <v>6.4285714285714288</v>
      </c>
      <c r="G43" s="188">
        <v>98</v>
      </c>
      <c r="H43" s="190">
        <f t="shared" si="1"/>
        <v>44</v>
      </c>
      <c r="I43" s="213">
        <v>559</v>
      </c>
      <c r="J43" s="188">
        <v>116</v>
      </c>
      <c r="K43" s="24">
        <f t="shared" si="7"/>
        <v>103</v>
      </c>
      <c r="L43" s="188">
        <v>1612</v>
      </c>
      <c r="M43" s="24">
        <f t="shared" si="7"/>
        <v>1575.2857142857142</v>
      </c>
      <c r="N43" s="1">
        <v>22805</v>
      </c>
      <c r="O43" s="15">
        <v>479</v>
      </c>
      <c r="P43" s="15">
        <v>17245</v>
      </c>
      <c r="Q43" s="1">
        <v>17724</v>
      </c>
      <c r="R43" s="1">
        <v>830</v>
      </c>
      <c r="S43" s="1">
        <v>790</v>
      </c>
      <c r="T43" s="1">
        <v>354</v>
      </c>
      <c r="U43" s="13">
        <f t="shared" si="4"/>
        <v>303</v>
      </c>
      <c r="V43" s="156">
        <f t="shared" si="0"/>
        <v>1620</v>
      </c>
      <c r="W43" s="53">
        <f t="shared" si="2"/>
        <v>7.160493827160494E-2</v>
      </c>
      <c r="X43" s="43">
        <f t="shared" si="3"/>
        <v>4.3039086517347384E-2</v>
      </c>
    </row>
    <row r="44" spans="1:24" x14ac:dyDescent="0.25">
      <c r="A44" s="2">
        <v>43935</v>
      </c>
      <c r="B44" s="188">
        <v>166</v>
      </c>
      <c r="C44" s="24">
        <f t="shared" si="5"/>
        <v>104</v>
      </c>
      <c r="D44" s="188">
        <v>2443</v>
      </c>
      <c r="E44" s="188">
        <v>7</v>
      </c>
      <c r="F44" s="24">
        <f t="shared" si="6"/>
        <v>6.4285714285714288</v>
      </c>
      <c r="G44" s="188">
        <v>105</v>
      </c>
      <c r="H44" s="190">
        <f t="shared" si="1"/>
        <v>37</v>
      </c>
      <c r="I44" s="213">
        <v>596</v>
      </c>
      <c r="J44" s="188">
        <v>117</v>
      </c>
      <c r="K44" s="24">
        <f t="shared" si="7"/>
        <v>105.71428571428571</v>
      </c>
      <c r="L44" s="188">
        <v>1569</v>
      </c>
      <c r="M44" s="24">
        <f t="shared" si="7"/>
        <v>1577.7142857142858</v>
      </c>
      <c r="N44" s="1">
        <v>24374</v>
      </c>
      <c r="O44" s="15">
        <v>486</v>
      </c>
      <c r="P44" s="15">
        <v>18415</v>
      </c>
      <c r="Q44" s="1">
        <v>18901</v>
      </c>
      <c r="R44" s="1">
        <v>833</v>
      </c>
      <c r="S44" s="1">
        <v>857</v>
      </c>
      <c r="T44" s="1">
        <v>393</v>
      </c>
      <c r="U44" s="13">
        <f t="shared" si="4"/>
        <v>360</v>
      </c>
      <c r="V44" s="156">
        <f t="shared" si="0"/>
        <v>1742</v>
      </c>
      <c r="W44" s="53">
        <f t="shared" si="2"/>
        <v>6.7164179104477612E-2</v>
      </c>
      <c r="X44" s="43">
        <f t="shared" si="3"/>
        <v>4.2979942693409739E-2</v>
      </c>
    </row>
    <row r="45" spans="1:24" x14ac:dyDescent="0.25">
      <c r="A45" s="2">
        <v>43936</v>
      </c>
      <c r="B45" s="188">
        <v>128</v>
      </c>
      <c r="C45" s="24">
        <f t="shared" si="5"/>
        <v>110.85714285714286</v>
      </c>
      <c r="D45" s="188">
        <v>2571</v>
      </c>
      <c r="E45" s="188">
        <v>7</v>
      </c>
      <c r="F45" s="24">
        <f t="shared" si="6"/>
        <v>6.7142857142857144</v>
      </c>
      <c r="G45" s="188">
        <v>112</v>
      </c>
      <c r="H45" s="190">
        <f t="shared" si="1"/>
        <v>35</v>
      </c>
      <c r="I45" s="213">
        <v>631</v>
      </c>
      <c r="J45" s="188">
        <v>121</v>
      </c>
      <c r="K45" s="24">
        <f t="shared" si="7"/>
        <v>109</v>
      </c>
      <c r="L45" s="188">
        <v>2083</v>
      </c>
      <c r="M45" s="24">
        <f t="shared" si="7"/>
        <v>1658.1428571428571</v>
      </c>
      <c r="N45" s="1">
        <v>26457</v>
      </c>
      <c r="O45" s="15">
        <v>497</v>
      </c>
      <c r="P45" s="15">
        <v>20148</v>
      </c>
      <c r="Q45" s="1">
        <v>20645</v>
      </c>
      <c r="R45" s="1">
        <v>840</v>
      </c>
      <c r="S45" s="1">
        <v>903</v>
      </c>
      <c r="T45" s="1">
        <v>425</v>
      </c>
      <c r="U45" s="13">
        <f t="shared" si="4"/>
        <v>403</v>
      </c>
      <c r="V45" s="156">
        <f t="shared" si="0"/>
        <v>1828</v>
      </c>
      <c r="W45" s="53">
        <f t="shared" si="2"/>
        <v>6.6192560175054704E-2</v>
      </c>
      <c r="X45" s="43">
        <f t="shared" si="3"/>
        <v>4.3562816024893036E-2</v>
      </c>
    </row>
    <row r="46" spans="1:24" x14ac:dyDescent="0.25">
      <c r="A46" s="2">
        <v>43937</v>
      </c>
      <c r="B46" s="188">
        <v>98</v>
      </c>
      <c r="C46" s="24">
        <f t="shared" si="5"/>
        <v>110.71428571428571</v>
      </c>
      <c r="D46" s="188">
        <v>2669</v>
      </c>
      <c r="E46" s="188">
        <v>10</v>
      </c>
      <c r="F46" s="24">
        <f t="shared" si="6"/>
        <v>6.1428571428571432</v>
      </c>
      <c r="G46" s="188">
        <v>122</v>
      </c>
      <c r="H46" s="190">
        <f t="shared" si="1"/>
        <v>35</v>
      </c>
      <c r="I46" s="213">
        <v>666</v>
      </c>
      <c r="J46" s="188">
        <v>126</v>
      </c>
      <c r="K46" s="24">
        <f t="shared" si="7"/>
        <v>113</v>
      </c>
      <c r="L46" s="188">
        <v>2193</v>
      </c>
      <c r="M46" s="24">
        <f t="shared" si="7"/>
        <v>1753</v>
      </c>
      <c r="N46" s="1">
        <v>28650</v>
      </c>
      <c r="O46" s="15">
        <v>508</v>
      </c>
      <c r="P46" s="15">
        <v>21802</v>
      </c>
      <c r="Q46" s="1">
        <v>22310</v>
      </c>
      <c r="R46" s="1">
        <v>845</v>
      </c>
      <c r="S46" s="1">
        <v>951</v>
      </c>
      <c r="T46" s="1">
        <v>448</v>
      </c>
      <c r="U46" s="13">
        <f t="shared" si="4"/>
        <v>425</v>
      </c>
      <c r="V46" s="156">
        <f t="shared" si="0"/>
        <v>1881</v>
      </c>
      <c r="W46" s="53">
        <f t="shared" si="2"/>
        <v>6.6985645933014357E-2</v>
      </c>
      <c r="X46" s="43">
        <f t="shared" si="3"/>
        <v>4.5710003746721621E-2</v>
      </c>
    </row>
    <row r="47" spans="1:24" x14ac:dyDescent="0.25">
      <c r="A47" s="2">
        <v>43938</v>
      </c>
      <c r="B47" s="188">
        <v>89</v>
      </c>
      <c r="C47" s="24">
        <f t="shared" si="5"/>
        <v>111.85714285714286</v>
      </c>
      <c r="D47" s="188">
        <v>2758</v>
      </c>
      <c r="E47" s="188">
        <v>7</v>
      </c>
      <c r="F47" s="24">
        <f t="shared" si="6"/>
        <v>6.7142857142857144</v>
      </c>
      <c r="G47" s="188">
        <v>129</v>
      </c>
      <c r="H47" s="190">
        <f t="shared" si="1"/>
        <v>19</v>
      </c>
      <c r="I47" s="213">
        <v>685</v>
      </c>
      <c r="J47" s="188">
        <v>127</v>
      </c>
      <c r="K47" s="24">
        <f t="shared" si="7"/>
        <v>114.71428571428571</v>
      </c>
      <c r="L47" s="188">
        <v>2292</v>
      </c>
      <c r="M47" s="24">
        <f t="shared" si="7"/>
        <v>1845</v>
      </c>
      <c r="N47" s="1">
        <v>30942</v>
      </c>
      <c r="O47" s="15">
        <v>505</v>
      </c>
      <c r="P47" s="15">
        <v>23291</v>
      </c>
      <c r="Q47" s="1">
        <v>23796</v>
      </c>
      <c r="R47" s="1">
        <v>851</v>
      </c>
      <c r="S47" s="1">
        <v>997</v>
      </c>
      <c r="T47" s="1">
        <v>474</v>
      </c>
      <c r="U47" s="13">
        <f t="shared" si="4"/>
        <v>436</v>
      </c>
      <c r="V47" s="156">
        <f t="shared" si="0"/>
        <v>1944</v>
      </c>
      <c r="W47" s="53">
        <f t="shared" si="2"/>
        <v>6.5329218106995879E-2</v>
      </c>
      <c r="X47" s="43">
        <f t="shared" si="3"/>
        <v>4.6773023930384336E-2</v>
      </c>
    </row>
    <row r="48" spans="1:24" x14ac:dyDescent="0.25">
      <c r="A48" s="2">
        <v>43939</v>
      </c>
      <c r="B48" s="188">
        <v>81</v>
      </c>
      <c r="C48" s="24">
        <f t="shared" si="5"/>
        <v>99.571428571428569</v>
      </c>
      <c r="D48" s="188">
        <v>2839</v>
      </c>
      <c r="E48" s="188">
        <v>3</v>
      </c>
      <c r="F48" s="24">
        <f t="shared" si="6"/>
        <v>6.1428571428571432</v>
      </c>
      <c r="G48" s="188">
        <v>132</v>
      </c>
      <c r="H48" s="190">
        <f t="shared" si="1"/>
        <v>24</v>
      </c>
      <c r="I48" s="213">
        <v>709</v>
      </c>
      <c r="J48" s="188">
        <v>123</v>
      </c>
      <c r="K48" s="24">
        <f t="shared" si="7"/>
        <v>120.42857142857143</v>
      </c>
      <c r="L48" s="188">
        <v>1770</v>
      </c>
      <c r="M48" s="24">
        <f t="shared" si="7"/>
        <v>1850.5714285714287</v>
      </c>
      <c r="N48" s="1">
        <v>32712</v>
      </c>
      <c r="O48" s="15">
        <v>503</v>
      </c>
      <c r="P48" s="15">
        <v>24756</v>
      </c>
      <c r="Q48" s="1">
        <v>25259</v>
      </c>
      <c r="R48" s="1">
        <v>856</v>
      </c>
      <c r="S48" s="1">
        <v>1184</v>
      </c>
      <c r="T48" s="1">
        <v>496</v>
      </c>
      <c r="U48" s="13">
        <f t="shared" si="4"/>
        <v>303</v>
      </c>
      <c r="V48" s="156">
        <f t="shared" si="0"/>
        <v>1998</v>
      </c>
      <c r="W48" s="53">
        <f t="shared" si="2"/>
        <v>6.1561561561561562E-2</v>
      </c>
      <c r="X48" s="43">
        <f t="shared" si="3"/>
        <v>4.6495244804508631E-2</v>
      </c>
    </row>
    <row r="49" spans="1:28" x14ac:dyDescent="0.25">
      <c r="A49" s="2">
        <v>43940</v>
      </c>
      <c r="B49" s="188">
        <v>102</v>
      </c>
      <c r="C49" s="24">
        <f t="shared" si="5"/>
        <v>104.71428571428571</v>
      </c>
      <c r="D49" s="188">
        <v>2941</v>
      </c>
      <c r="E49" s="188">
        <v>2</v>
      </c>
      <c r="F49" s="24">
        <f t="shared" si="6"/>
        <v>5.5714285714285712</v>
      </c>
      <c r="G49" s="188">
        <v>134</v>
      </c>
      <c r="H49" s="190">
        <f t="shared" si="1"/>
        <v>28</v>
      </c>
      <c r="I49" s="213">
        <v>737</v>
      </c>
      <c r="J49" s="188">
        <v>126</v>
      </c>
      <c r="K49" s="24">
        <f t="shared" si="7"/>
        <v>122.28571428571429</v>
      </c>
      <c r="L49" s="188">
        <v>1856</v>
      </c>
      <c r="M49" s="24">
        <f t="shared" si="7"/>
        <v>1910.7142857142858</v>
      </c>
      <c r="N49" s="1">
        <v>34568</v>
      </c>
      <c r="O49" s="15">
        <v>536</v>
      </c>
      <c r="P49" s="15">
        <v>26122</v>
      </c>
      <c r="Q49" s="1">
        <v>26658</v>
      </c>
      <c r="R49" s="1">
        <v>858</v>
      </c>
      <c r="S49" s="1">
        <v>1235</v>
      </c>
      <c r="T49" s="1">
        <v>538</v>
      </c>
      <c r="U49" s="13">
        <f t="shared" si="4"/>
        <v>310</v>
      </c>
      <c r="V49" s="156">
        <f t="shared" si="0"/>
        <v>2070</v>
      </c>
      <c r="W49" s="53">
        <f t="shared" si="2"/>
        <v>6.0869565217391307E-2</v>
      </c>
      <c r="X49" s="43">
        <f t="shared" si="3"/>
        <v>4.5562733764025844E-2</v>
      </c>
    </row>
    <row r="50" spans="1:28" x14ac:dyDescent="0.25">
      <c r="A50" s="2">
        <v>43941</v>
      </c>
      <c r="B50" s="188">
        <v>90</v>
      </c>
      <c r="C50" s="24">
        <f t="shared" si="5"/>
        <v>107.71428571428571</v>
      </c>
      <c r="D50" s="188">
        <v>3031</v>
      </c>
      <c r="E50" s="188">
        <v>8</v>
      </c>
      <c r="F50" s="24">
        <f t="shared" si="6"/>
        <v>6.2857142857142856</v>
      </c>
      <c r="G50" s="188">
        <v>142</v>
      </c>
      <c r="H50" s="190">
        <f t="shared" si="1"/>
        <v>103</v>
      </c>
      <c r="I50" s="213">
        <v>840</v>
      </c>
      <c r="J50" s="188">
        <v>129</v>
      </c>
      <c r="K50" s="24">
        <f t="shared" si="7"/>
        <v>124.14285714285714</v>
      </c>
      <c r="L50" s="188">
        <v>2043</v>
      </c>
      <c r="M50" s="24">
        <f t="shared" si="7"/>
        <v>1972.2857142857142</v>
      </c>
      <c r="N50" s="1">
        <v>36611</v>
      </c>
      <c r="O50" s="15">
        <v>566</v>
      </c>
      <c r="P50" s="15">
        <v>27732</v>
      </c>
      <c r="Q50" s="1">
        <v>28298</v>
      </c>
      <c r="R50" s="1">
        <v>863</v>
      </c>
      <c r="S50" s="1">
        <v>1293</v>
      </c>
      <c r="T50" s="1">
        <v>576</v>
      </c>
      <c r="U50" s="13">
        <f t="shared" si="4"/>
        <v>299</v>
      </c>
      <c r="V50" s="156">
        <f t="shared" si="0"/>
        <v>2049</v>
      </c>
      <c r="W50" s="53">
        <f t="shared" si="2"/>
        <v>6.2957540263543194E-2</v>
      </c>
      <c r="X50" s="43">
        <f t="shared" si="3"/>
        <v>4.6849224678323982E-2</v>
      </c>
    </row>
    <row r="51" spans="1:28" x14ac:dyDescent="0.25">
      <c r="A51" s="2">
        <v>43942</v>
      </c>
      <c r="B51" s="188">
        <v>113</v>
      </c>
      <c r="C51" s="24">
        <f t="shared" si="5"/>
        <v>100.14285714285714</v>
      </c>
      <c r="D51" s="188">
        <v>3144</v>
      </c>
      <c r="E51" s="188">
        <v>9</v>
      </c>
      <c r="F51" s="24">
        <f t="shared" si="6"/>
        <v>6.5714285714285712</v>
      </c>
      <c r="G51" s="188">
        <v>151</v>
      </c>
      <c r="H51" s="190">
        <f t="shared" si="1"/>
        <v>32</v>
      </c>
      <c r="I51" s="213">
        <v>872</v>
      </c>
      <c r="J51" s="188">
        <v>131</v>
      </c>
      <c r="K51" s="24">
        <f t="shared" si="7"/>
        <v>126.14285714285714</v>
      </c>
      <c r="L51" s="188">
        <v>2617</v>
      </c>
      <c r="M51" s="24">
        <f t="shared" si="7"/>
        <v>2122</v>
      </c>
      <c r="N51" s="1">
        <v>39228</v>
      </c>
      <c r="O51" s="15">
        <v>533</v>
      </c>
      <c r="P51" s="15">
        <v>29829</v>
      </c>
      <c r="Q51" s="1">
        <v>30362</v>
      </c>
      <c r="R51" s="1">
        <v>866</v>
      </c>
      <c r="S51" s="1">
        <v>1346</v>
      </c>
      <c r="T51" s="1">
        <v>618</v>
      </c>
      <c r="U51" s="13">
        <f t="shared" si="4"/>
        <v>314</v>
      </c>
      <c r="V51" s="156">
        <f t="shared" si="0"/>
        <v>2121</v>
      </c>
      <c r="W51" s="53">
        <f t="shared" si="2"/>
        <v>6.1763319189061763E-2</v>
      </c>
      <c r="X51" s="43">
        <f t="shared" si="3"/>
        <v>4.8027989821882951E-2</v>
      </c>
    </row>
    <row r="52" spans="1:28" x14ac:dyDescent="0.25">
      <c r="A52" s="2">
        <v>43943</v>
      </c>
      <c r="B52" s="188">
        <v>144</v>
      </c>
      <c r="C52" s="24">
        <f t="shared" si="5"/>
        <v>102.42857142857143</v>
      </c>
      <c r="D52" s="188">
        <v>3288</v>
      </c>
      <c r="E52" s="188">
        <v>8</v>
      </c>
      <c r="F52" s="24">
        <f t="shared" si="6"/>
        <v>6.7142857142857144</v>
      </c>
      <c r="G52" s="188">
        <v>159</v>
      </c>
      <c r="H52" s="190">
        <f t="shared" si="1"/>
        <v>47</v>
      </c>
      <c r="I52" s="213">
        <v>919</v>
      </c>
      <c r="J52" s="188">
        <v>136</v>
      </c>
      <c r="K52" s="24">
        <f t="shared" si="7"/>
        <v>128.28571428571428</v>
      </c>
      <c r="L52" s="188">
        <v>2558</v>
      </c>
      <c r="M52" s="24">
        <f t="shared" si="7"/>
        <v>2189.8571428571427</v>
      </c>
      <c r="N52" s="1">
        <v>41786</v>
      </c>
      <c r="O52" s="15">
        <v>569</v>
      </c>
      <c r="P52" s="15">
        <v>31845</v>
      </c>
      <c r="Q52" s="1">
        <v>32414</v>
      </c>
      <c r="R52" s="1">
        <v>870</v>
      </c>
      <c r="S52" s="1">
        <v>1408</v>
      </c>
      <c r="T52" s="1">
        <v>669</v>
      </c>
      <c r="U52" s="13">
        <f t="shared" si="4"/>
        <v>341</v>
      </c>
      <c r="V52" s="156">
        <f t="shared" si="0"/>
        <v>2210</v>
      </c>
      <c r="W52" s="53">
        <f t="shared" si="2"/>
        <v>6.1538461538461542E-2</v>
      </c>
      <c r="X52" s="43">
        <f t="shared" si="3"/>
        <v>4.8357664233576646E-2</v>
      </c>
    </row>
    <row r="53" spans="1:28" x14ac:dyDescent="0.25">
      <c r="A53" s="2">
        <v>43944</v>
      </c>
      <c r="B53" s="188">
        <v>147</v>
      </c>
      <c r="C53" s="24">
        <f t="shared" si="5"/>
        <v>109.42857142857143</v>
      </c>
      <c r="D53" s="188">
        <v>3435</v>
      </c>
      <c r="E53" s="188">
        <v>6</v>
      </c>
      <c r="F53" s="24">
        <f t="shared" si="6"/>
        <v>6.1428571428571432</v>
      </c>
      <c r="G53" s="188">
        <v>165</v>
      </c>
      <c r="H53" s="190">
        <f t="shared" si="1"/>
        <v>57</v>
      </c>
      <c r="I53" s="213">
        <v>976</v>
      </c>
      <c r="J53" s="188">
        <v>141</v>
      </c>
      <c r="K53" s="24">
        <f t="shared" si="7"/>
        <v>130.42857142857142</v>
      </c>
      <c r="L53" s="188">
        <v>2868</v>
      </c>
      <c r="M53" s="24">
        <f t="shared" si="7"/>
        <v>2286.2857142857142</v>
      </c>
      <c r="N53" s="1">
        <v>44654</v>
      </c>
      <c r="O53" s="15">
        <v>557</v>
      </c>
      <c r="P53" s="15">
        <v>33874</v>
      </c>
      <c r="Q53" s="1">
        <v>34431</v>
      </c>
      <c r="R53" s="1">
        <v>875</v>
      </c>
      <c r="S53" s="1">
        <v>1490</v>
      </c>
      <c r="T53" s="1">
        <v>722</v>
      </c>
      <c r="U53" s="13">
        <f t="shared" si="4"/>
        <v>348</v>
      </c>
      <c r="V53" s="156">
        <f t="shared" si="0"/>
        <v>2294</v>
      </c>
      <c r="W53" s="53">
        <f t="shared" si="2"/>
        <v>6.1464690496948561E-2</v>
      </c>
      <c r="X53" s="43">
        <f t="shared" si="3"/>
        <v>4.8034934497816595E-2</v>
      </c>
    </row>
    <row r="54" spans="1:28" x14ac:dyDescent="0.25">
      <c r="A54" s="2">
        <v>43945</v>
      </c>
      <c r="B54" s="188">
        <v>172</v>
      </c>
      <c r="C54" s="24">
        <f t="shared" si="5"/>
        <v>121.28571428571429</v>
      </c>
      <c r="D54" s="188">
        <v>3607</v>
      </c>
      <c r="E54" s="188">
        <v>11</v>
      </c>
      <c r="F54" s="24">
        <f t="shared" si="6"/>
        <v>6.7142857142857144</v>
      </c>
      <c r="G54" s="188">
        <v>176</v>
      </c>
      <c r="H54" s="190">
        <f t="shared" si="1"/>
        <v>54</v>
      </c>
      <c r="I54" s="213">
        <v>1030</v>
      </c>
      <c r="J54" s="188">
        <v>144</v>
      </c>
      <c r="K54" s="24">
        <f t="shared" si="7"/>
        <v>132.85714285714286</v>
      </c>
      <c r="L54" s="188">
        <v>2752</v>
      </c>
      <c r="M54" s="24">
        <f t="shared" si="7"/>
        <v>2352</v>
      </c>
      <c r="N54" s="1">
        <v>47406</v>
      </c>
      <c r="O54" s="15">
        <v>543</v>
      </c>
      <c r="P54" s="15">
        <v>36067</v>
      </c>
      <c r="Q54" s="1">
        <v>36610</v>
      </c>
      <c r="R54" s="1">
        <v>887</v>
      </c>
      <c r="S54" s="1">
        <v>1562</v>
      </c>
      <c r="T54" s="1">
        <v>755</v>
      </c>
      <c r="U54" s="13">
        <f t="shared" si="4"/>
        <v>403</v>
      </c>
      <c r="V54" s="156">
        <f t="shared" si="0"/>
        <v>2401</v>
      </c>
      <c r="W54" s="53">
        <f t="shared" si="2"/>
        <v>5.9975010412328195E-2</v>
      </c>
      <c r="X54" s="43">
        <f t="shared" si="3"/>
        <v>4.8794011644025505E-2</v>
      </c>
      <c r="Y54" s="110"/>
    </row>
    <row r="55" spans="1:28" x14ac:dyDescent="0.25">
      <c r="A55" s="2">
        <v>43946</v>
      </c>
      <c r="B55" s="188">
        <v>173</v>
      </c>
      <c r="C55" s="24">
        <f t="shared" si="5"/>
        <v>134.42857142857142</v>
      </c>
      <c r="D55" s="188">
        <v>3780</v>
      </c>
      <c r="E55" s="188">
        <v>9</v>
      </c>
      <c r="F55" s="24">
        <f t="shared" si="6"/>
        <v>7.5714285714285712</v>
      </c>
      <c r="G55" s="188">
        <v>185</v>
      </c>
      <c r="H55" s="190">
        <f t="shared" si="1"/>
        <v>77</v>
      </c>
      <c r="I55" s="213">
        <v>1107</v>
      </c>
      <c r="J55" s="188">
        <v>139</v>
      </c>
      <c r="K55" s="24">
        <f t="shared" si="7"/>
        <v>135.14285714285714</v>
      </c>
      <c r="L55" s="188">
        <v>2499</v>
      </c>
      <c r="M55" s="24">
        <f t="shared" si="7"/>
        <v>2456.1428571428573</v>
      </c>
      <c r="N55" s="1">
        <v>49905</v>
      </c>
      <c r="O55" s="15">
        <v>561</v>
      </c>
      <c r="P55" s="15">
        <v>37654</v>
      </c>
      <c r="Q55" s="1">
        <v>38215</v>
      </c>
      <c r="R55" s="1">
        <v>888</v>
      </c>
      <c r="S55" s="1">
        <v>1641</v>
      </c>
      <c r="T55" s="1">
        <v>797</v>
      </c>
      <c r="U55" s="13">
        <f t="shared" si="4"/>
        <v>454</v>
      </c>
      <c r="V55" s="156">
        <f t="shared" si="0"/>
        <v>2488</v>
      </c>
      <c r="W55" s="53">
        <f t="shared" si="2"/>
        <v>5.5868167202572344E-2</v>
      </c>
      <c r="X55" s="43">
        <f t="shared" si="3"/>
        <v>4.8941798941798939E-2</v>
      </c>
      <c r="Y55" s="110"/>
    </row>
    <row r="56" spans="1:28" x14ac:dyDescent="0.25">
      <c r="A56" s="2">
        <v>43947</v>
      </c>
      <c r="B56" s="188">
        <v>112</v>
      </c>
      <c r="C56" s="24">
        <f t="shared" si="5"/>
        <v>135.85714285714286</v>
      </c>
      <c r="D56" s="188">
        <v>3892</v>
      </c>
      <c r="E56" s="188">
        <v>7</v>
      </c>
      <c r="F56" s="24">
        <f t="shared" si="6"/>
        <v>8.2857142857142865</v>
      </c>
      <c r="G56" s="188">
        <v>192</v>
      </c>
      <c r="H56" s="190">
        <f t="shared" si="1"/>
        <v>33</v>
      </c>
      <c r="I56" s="213">
        <v>1140</v>
      </c>
      <c r="J56" s="188">
        <v>151</v>
      </c>
      <c r="K56" s="24">
        <f t="shared" si="7"/>
        <v>138.71428571428572</v>
      </c>
      <c r="L56" s="188">
        <v>1995</v>
      </c>
      <c r="M56" s="24">
        <f t="shared" si="7"/>
        <v>2476</v>
      </c>
      <c r="N56" s="1">
        <v>51900</v>
      </c>
      <c r="O56" s="15">
        <v>570</v>
      </c>
      <c r="P56" s="15">
        <v>39420</v>
      </c>
      <c r="Q56" s="1">
        <v>39990</v>
      </c>
      <c r="R56" s="1">
        <v>900</v>
      </c>
      <c r="S56" s="1">
        <v>1684</v>
      </c>
      <c r="T56" s="1">
        <v>829</v>
      </c>
      <c r="U56" s="13">
        <f t="shared" si="4"/>
        <v>479</v>
      </c>
      <c r="V56" s="156">
        <f t="shared" si="0"/>
        <v>2560</v>
      </c>
      <c r="W56" s="53">
        <f t="shared" si="2"/>
        <v>5.8984374999999999E-2</v>
      </c>
      <c r="X56" s="43">
        <f t="shared" si="3"/>
        <v>4.9331963001027747E-2</v>
      </c>
      <c r="Y56" s="110"/>
    </row>
    <row r="57" spans="1:28" x14ac:dyDescent="0.25">
      <c r="A57" s="2">
        <v>43948</v>
      </c>
      <c r="B57" s="188">
        <v>111</v>
      </c>
      <c r="C57" s="24">
        <f t="shared" si="5"/>
        <v>138.85714285714286</v>
      </c>
      <c r="D57" s="188">
        <v>4003</v>
      </c>
      <c r="E57" s="188">
        <v>5</v>
      </c>
      <c r="F57" s="24">
        <f t="shared" si="6"/>
        <v>7.8571428571428568</v>
      </c>
      <c r="G57" s="188">
        <v>197</v>
      </c>
      <c r="H57" s="190">
        <f t="shared" si="1"/>
        <v>22</v>
      </c>
      <c r="I57" s="213">
        <v>1162</v>
      </c>
      <c r="J57" s="188">
        <v>155</v>
      </c>
      <c r="K57" s="24">
        <f t="shared" si="7"/>
        <v>142.42857142857142</v>
      </c>
      <c r="L57" s="188">
        <v>1700</v>
      </c>
      <c r="M57" s="24">
        <f t="shared" si="7"/>
        <v>2427</v>
      </c>
      <c r="N57" s="1">
        <v>53600</v>
      </c>
      <c r="O57" s="15">
        <v>600</v>
      </c>
      <c r="P57" s="15">
        <v>40959</v>
      </c>
      <c r="Q57" s="1">
        <v>41559</v>
      </c>
      <c r="R57" s="1">
        <v>905</v>
      </c>
      <c r="S57" s="1">
        <v>1725</v>
      </c>
      <c r="T57" s="1">
        <v>897</v>
      </c>
      <c r="U57" s="13">
        <f t="shared" si="4"/>
        <v>476</v>
      </c>
      <c r="V57" s="156">
        <f t="shared" si="0"/>
        <v>2644</v>
      </c>
      <c r="W57" s="53">
        <f t="shared" si="2"/>
        <v>5.8623298033282902E-2</v>
      </c>
      <c r="X57" s="43">
        <f t="shared" si="3"/>
        <v>4.921309018236323E-2</v>
      </c>
      <c r="Y57" s="110"/>
    </row>
    <row r="58" spans="1:28" x14ac:dyDescent="0.25">
      <c r="A58" s="2">
        <v>43949</v>
      </c>
      <c r="B58" s="188">
        <v>124</v>
      </c>
      <c r="C58" s="24">
        <f t="shared" si="5"/>
        <v>140.42857142857142</v>
      </c>
      <c r="D58" s="188">
        <v>4127</v>
      </c>
      <c r="E58" s="188">
        <v>10</v>
      </c>
      <c r="F58" s="24">
        <f t="shared" si="6"/>
        <v>8</v>
      </c>
      <c r="G58" s="188">
        <v>207</v>
      </c>
      <c r="H58" s="190">
        <f t="shared" si="1"/>
        <v>30</v>
      </c>
      <c r="I58" s="213">
        <v>1192</v>
      </c>
      <c r="J58" s="188">
        <v>154</v>
      </c>
      <c r="K58" s="24">
        <f t="shared" si="7"/>
        <v>145.71428571428572</v>
      </c>
      <c r="L58" s="188">
        <v>2458</v>
      </c>
      <c r="M58" s="24">
        <f t="shared" si="7"/>
        <v>2404.2857142857142</v>
      </c>
      <c r="N58" s="1">
        <v>56058</v>
      </c>
      <c r="O58" s="15">
        <v>612</v>
      </c>
      <c r="P58" s="15">
        <v>42710</v>
      </c>
      <c r="Q58" s="1">
        <v>43322</v>
      </c>
      <c r="R58" s="1">
        <v>909</v>
      </c>
      <c r="S58" s="1">
        <v>1766</v>
      </c>
      <c r="T58" s="1">
        <v>984</v>
      </c>
      <c r="U58" s="13">
        <f t="shared" si="4"/>
        <v>468</v>
      </c>
      <c r="V58" s="156">
        <f t="shared" si="0"/>
        <v>2728</v>
      </c>
      <c r="W58" s="53">
        <f t="shared" si="2"/>
        <v>5.6451612903225805E-2</v>
      </c>
      <c r="X58" s="43">
        <f t="shared" si="3"/>
        <v>5.0157499394233099E-2</v>
      </c>
      <c r="Y58" s="110"/>
      <c r="AB58" s="110">
        <f t="shared" ref="AB58:AB121" si="8">SUM(B52:B58)/SUM(L52:L58)</f>
        <v>5.8407605466428994E-2</v>
      </c>
    </row>
    <row r="59" spans="1:28" x14ac:dyDescent="0.25">
      <c r="A59" s="2">
        <v>43950</v>
      </c>
      <c r="B59" s="188">
        <v>158</v>
      </c>
      <c r="C59" s="24">
        <f t="shared" si="5"/>
        <v>142.42857142857142</v>
      </c>
      <c r="D59" s="188">
        <v>4285</v>
      </c>
      <c r="E59" s="188">
        <v>7</v>
      </c>
      <c r="F59" s="24">
        <f t="shared" si="6"/>
        <v>7.8571428571428568</v>
      </c>
      <c r="G59" s="188">
        <v>214</v>
      </c>
      <c r="H59" s="190">
        <f t="shared" si="1"/>
        <v>64</v>
      </c>
      <c r="I59" s="213">
        <v>1256</v>
      </c>
      <c r="J59" s="188">
        <v>157</v>
      </c>
      <c r="K59" s="24">
        <f t="shared" si="7"/>
        <v>148.71428571428572</v>
      </c>
      <c r="L59" s="188">
        <v>2627</v>
      </c>
      <c r="M59" s="24">
        <f t="shared" si="7"/>
        <v>2414.1428571428573</v>
      </c>
      <c r="N59" s="1">
        <v>58685</v>
      </c>
      <c r="O59" s="15">
        <v>618</v>
      </c>
      <c r="P59" s="15">
        <v>44828</v>
      </c>
      <c r="Q59" s="1">
        <v>45446</v>
      </c>
      <c r="R59" s="1">
        <v>912</v>
      </c>
      <c r="S59" s="1">
        <v>1835</v>
      </c>
      <c r="T59" s="1">
        <v>1041</v>
      </c>
      <c r="U59" s="13">
        <f t="shared" si="4"/>
        <v>497</v>
      </c>
      <c r="V59" s="156">
        <f t="shared" si="0"/>
        <v>2815</v>
      </c>
      <c r="W59" s="53">
        <f t="shared" si="2"/>
        <v>5.5772646536412077E-2</v>
      </c>
      <c r="X59" s="43">
        <f t="shared" si="3"/>
        <v>4.9941656942823806E-2</v>
      </c>
      <c r="Y59" s="110"/>
      <c r="Z59" s="110">
        <f t="shared" ref="Z59:Z122" si="9">C59/C53-1</f>
        <v>0.30156657963446465</v>
      </c>
      <c r="AB59" s="110">
        <f t="shared" si="8"/>
        <v>5.899757382093615E-2</v>
      </c>
    </row>
    <row r="60" spans="1:28" x14ac:dyDescent="0.25">
      <c r="A60" s="2">
        <v>43951</v>
      </c>
      <c r="B60" s="188">
        <v>143</v>
      </c>
      <c r="C60" s="24">
        <f t="shared" si="5"/>
        <v>141.85714285714286</v>
      </c>
      <c r="D60" s="188">
        <v>4428</v>
      </c>
      <c r="E60" s="188">
        <v>4</v>
      </c>
      <c r="F60" s="24">
        <f t="shared" si="6"/>
        <v>7.5714285714285712</v>
      </c>
      <c r="G60" s="188">
        <v>218</v>
      </c>
      <c r="H60" s="190">
        <f t="shared" si="1"/>
        <v>36</v>
      </c>
      <c r="I60" s="213">
        <v>1292</v>
      </c>
      <c r="J60" s="188">
        <v>157</v>
      </c>
      <c r="K60" s="24">
        <f t="shared" si="7"/>
        <v>151</v>
      </c>
      <c r="L60" s="188">
        <v>2845</v>
      </c>
      <c r="M60" s="24">
        <f t="shared" si="7"/>
        <v>2410.8571428571427</v>
      </c>
      <c r="N60" s="1">
        <v>61530</v>
      </c>
      <c r="O60" s="15">
        <v>638</v>
      </c>
      <c r="P60" s="15">
        <v>46829</v>
      </c>
      <c r="Q60" s="1">
        <v>47467</v>
      </c>
      <c r="R60" s="1">
        <v>915</v>
      </c>
      <c r="S60" s="1">
        <v>1904</v>
      </c>
      <c r="T60" s="1">
        <v>1149</v>
      </c>
      <c r="U60" s="13">
        <f t="shared" si="4"/>
        <v>460</v>
      </c>
      <c r="V60" s="156">
        <f t="shared" si="0"/>
        <v>2918</v>
      </c>
      <c r="W60" s="53">
        <f t="shared" si="2"/>
        <v>5.3803975325565453E-2</v>
      </c>
      <c r="X60" s="43">
        <f t="shared" si="3"/>
        <v>4.9232158988256551E-2</v>
      </c>
      <c r="Y60" s="110"/>
      <c r="Z60" s="110">
        <f t="shared" si="9"/>
        <v>0.16961130742049457</v>
      </c>
      <c r="AB60" s="110">
        <f t="shared" si="8"/>
        <v>5.8840957572884572E-2</v>
      </c>
    </row>
    <row r="61" spans="1:28" x14ac:dyDescent="0.25">
      <c r="A61" s="2">
        <v>43952</v>
      </c>
      <c r="B61" s="188">
        <v>105</v>
      </c>
      <c r="C61" s="24">
        <f t="shared" si="5"/>
        <v>132.28571428571428</v>
      </c>
      <c r="D61" s="188">
        <v>4532</v>
      </c>
      <c r="E61" s="188">
        <v>7</v>
      </c>
      <c r="F61" s="24">
        <f t="shared" si="6"/>
        <v>7</v>
      </c>
      <c r="G61" s="188">
        <v>225</v>
      </c>
      <c r="H61" s="190">
        <f t="shared" si="1"/>
        <v>28</v>
      </c>
      <c r="I61" s="213">
        <v>1320</v>
      </c>
      <c r="J61" s="188">
        <v>164</v>
      </c>
      <c r="K61" s="24">
        <f t="shared" si="7"/>
        <v>153.85714285714286</v>
      </c>
      <c r="L61" s="188">
        <v>2336</v>
      </c>
      <c r="M61" s="24">
        <f t="shared" si="7"/>
        <v>2351.4285714285716</v>
      </c>
      <c r="N61" s="1">
        <v>63866</v>
      </c>
      <c r="O61" s="15">
        <v>656</v>
      </c>
      <c r="P61" s="15">
        <v>48591</v>
      </c>
      <c r="Q61" s="1">
        <v>49247</v>
      </c>
      <c r="R61" s="1">
        <v>916</v>
      </c>
      <c r="S61" s="1">
        <v>1949</v>
      </c>
      <c r="T61" s="1">
        <v>1224</v>
      </c>
      <c r="U61" s="13">
        <f t="shared" si="4"/>
        <v>443</v>
      </c>
      <c r="V61" s="156">
        <f t="shared" si="0"/>
        <v>2987</v>
      </c>
      <c r="W61" s="53">
        <f t="shared" si="2"/>
        <v>5.4904586541680615E-2</v>
      </c>
      <c r="X61" s="43">
        <f t="shared" si="3"/>
        <v>4.9646954986760812E-2</v>
      </c>
      <c r="Y61" s="110"/>
      <c r="Z61" s="110">
        <f t="shared" si="9"/>
        <v>-1.5940488841657774E-2</v>
      </c>
      <c r="AB61" s="110">
        <f t="shared" si="8"/>
        <v>5.6257594167679226E-2</v>
      </c>
    </row>
    <row r="62" spans="1:28" x14ac:dyDescent="0.25">
      <c r="A62" s="2">
        <v>43953</v>
      </c>
      <c r="B62" s="188">
        <v>149</v>
      </c>
      <c r="C62" s="24">
        <f t="shared" si="5"/>
        <v>128.85714285714286</v>
      </c>
      <c r="D62" s="188">
        <v>4681</v>
      </c>
      <c r="E62" s="188">
        <v>12</v>
      </c>
      <c r="F62" s="24">
        <f t="shared" si="6"/>
        <v>7.4285714285714288</v>
      </c>
      <c r="G62" s="188">
        <v>237</v>
      </c>
      <c r="H62" s="190">
        <f t="shared" si="1"/>
        <v>34</v>
      </c>
      <c r="I62" s="213">
        <v>1354</v>
      </c>
      <c r="J62" s="188">
        <v>164</v>
      </c>
      <c r="K62" s="24">
        <f t="shared" si="7"/>
        <v>157.42857142857142</v>
      </c>
      <c r="L62" s="188">
        <v>1947</v>
      </c>
      <c r="M62" s="24">
        <f t="shared" si="7"/>
        <v>2272.5714285714284</v>
      </c>
      <c r="N62" s="1">
        <v>65813</v>
      </c>
      <c r="O62" s="15">
        <v>681</v>
      </c>
      <c r="P62" s="15">
        <v>50098</v>
      </c>
      <c r="Q62" s="1">
        <v>50779</v>
      </c>
      <c r="R62" s="1">
        <v>917</v>
      </c>
      <c r="S62" s="1">
        <v>2012</v>
      </c>
      <c r="T62" s="1">
        <v>1267</v>
      </c>
      <c r="U62" s="13">
        <f t="shared" si="4"/>
        <v>485</v>
      </c>
      <c r="V62" s="156">
        <f t="shared" si="0"/>
        <v>3090</v>
      </c>
      <c r="W62" s="53">
        <f t="shared" si="2"/>
        <v>5.307443365695793E-2</v>
      </c>
      <c r="X62" s="43">
        <f t="shared" si="3"/>
        <v>5.0630207220679339E-2</v>
      </c>
      <c r="Y62" s="110"/>
      <c r="Z62" s="110">
        <f t="shared" si="9"/>
        <v>-5.1524710830704534E-2</v>
      </c>
      <c r="AB62" s="110">
        <f t="shared" si="8"/>
        <v>5.6701030927835051E-2</v>
      </c>
    </row>
    <row r="63" spans="1:28" x14ac:dyDescent="0.25">
      <c r="A63" s="2">
        <v>43954</v>
      </c>
      <c r="B63" s="188">
        <v>103</v>
      </c>
      <c r="C63" s="24">
        <f t="shared" si="5"/>
        <v>127.57142857142857</v>
      </c>
      <c r="D63" s="188">
        <v>4784</v>
      </c>
      <c r="E63" s="188">
        <v>9</v>
      </c>
      <c r="F63" s="24">
        <f t="shared" si="6"/>
        <v>7.7142857142857144</v>
      </c>
      <c r="G63" s="188">
        <v>246</v>
      </c>
      <c r="H63" s="190">
        <f t="shared" si="1"/>
        <v>88</v>
      </c>
      <c r="I63" s="213">
        <v>1442</v>
      </c>
      <c r="J63" s="188">
        <v>146</v>
      </c>
      <c r="K63" s="24">
        <f t="shared" si="7"/>
        <v>156.71428571428572</v>
      </c>
      <c r="L63" s="188">
        <v>1497</v>
      </c>
      <c r="M63" s="24">
        <f t="shared" si="7"/>
        <v>2201.4285714285716</v>
      </c>
      <c r="N63" s="1">
        <v>67920</v>
      </c>
      <c r="O63" s="15">
        <v>674</v>
      </c>
      <c r="P63" s="15">
        <v>51590</v>
      </c>
      <c r="Q63" s="1">
        <v>52264</v>
      </c>
      <c r="R63" s="1">
        <v>920</v>
      </c>
      <c r="S63" s="1">
        <v>2076</v>
      </c>
      <c r="T63" s="1">
        <v>1314</v>
      </c>
      <c r="U63" s="13">
        <f t="shared" si="4"/>
        <v>474</v>
      </c>
      <c r="V63" s="156">
        <f t="shared" si="0"/>
        <v>3096</v>
      </c>
      <c r="W63" s="53">
        <f t="shared" si="2"/>
        <v>4.7157622739018086E-2</v>
      </c>
      <c r="X63" s="43">
        <f t="shared" si="3"/>
        <v>5.1421404682274248E-2</v>
      </c>
      <c r="Y63" s="110"/>
      <c r="Z63" s="110">
        <f t="shared" si="9"/>
        <v>-8.1275720164609044E-2</v>
      </c>
      <c r="AB63" s="110">
        <f t="shared" si="8"/>
        <v>5.7949383517196626E-2</v>
      </c>
    </row>
    <row r="64" spans="1:28" x14ac:dyDescent="0.25">
      <c r="A64" s="2">
        <v>43955</v>
      </c>
      <c r="B64" s="188">
        <v>104</v>
      </c>
      <c r="C64" s="24">
        <f t="shared" si="5"/>
        <v>126.57142857142857</v>
      </c>
      <c r="D64" s="188">
        <v>4887</v>
      </c>
      <c r="E64" s="188">
        <v>14</v>
      </c>
      <c r="F64" s="24">
        <f t="shared" si="6"/>
        <v>9</v>
      </c>
      <c r="G64" s="188">
        <v>260</v>
      </c>
      <c r="H64" s="190">
        <f t="shared" si="1"/>
        <v>30</v>
      </c>
      <c r="I64" s="213">
        <v>1472</v>
      </c>
      <c r="J64" s="188">
        <v>148</v>
      </c>
      <c r="K64" s="24">
        <f t="shared" si="7"/>
        <v>155.71428571428572</v>
      </c>
      <c r="L64" s="188">
        <v>1798</v>
      </c>
      <c r="M64" s="24">
        <f t="shared" si="7"/>
        <v>2215.4285714285716</v>
      </c>
      <c r="N64" s="1">
        <v>69718</v>
      </c>
      <c r="O64" s="15">
        <v>692</v>
      </c>
      <c r="P64" s="15">
        <v>53203</v>
      </c>
      <c r="Q64" s="1">
        <v>53895</v>
      </c>
      <c r="R64" s="1">
        <v>924</v>
      </c>
      <c r="S64" s="1">
        <v>2136</v>
      </c>
      <c r="T64" s="1">
        <v>1378</v>
      </c>
      <c r="U64" s="13">
        <f t="shared" si="4"/>
        <v>449</v>
      </c>
      <c r="V64" s="156">
        <f t="shared" si="0"/>
        <v>3155</v>
      </c>
      <c r="W64" s="53">
        <f t="shared" si="2"/>
        <v>4.6909667194928686E-2</v>
      </c>
      <c r="X64" s="43">
        <f t="shared" si="3"/>
        <v>5.3202373644362595E-2</v>
      </c>
      <c r="Y64" s="110"/>
      <c r="Z64" s="110">
        <f t="shared" si="9"/>
        <v>-9.8677517802644887E-2</v>
      </c>
      <c r="AB64" s="110">
        <f t="shared" si="8"/>
        <v>5.713180294041785E-2</v>
      </c>
    </row>
    <row r="65" spans="1:28" x14ac:dyDescent="0.25">
      <c r="A65" s="2">
        <v>43956</v>
      </c>
      <c r="B65" s="188">
        <v>134</v>
      </c>
      <c r="C65" s="24">
        <f t="shared" si="5"/>
        <v>128</v>
      </c>
      <c r="D65" s="188">
        <v>5020</v>
      </c>
      <c r="E65" s="188">
        <v>4</v>
      </c>
      <c r="F65" s="24">
        <f t="shared" si="6"/>
        <v>8.1428571428571423</v>
      </c>
      <c r="G65" s="188">
        <v>264</v>
      </c>
      <c r="H65" s="190">
        <f t="shared" si="1"/>
        <v>52</v>
      </c>
      <c r="I65" s="213">
        <v>1524</v>
      </c>
      <c r="J65" s="188">
        <v>143</v>
      </c>
      <c r="K65" s="24">
        <f t="shared" si="7"/>
        <v>154.14285714285714</v>
      </c>
      <c r="L65" s="188">
        <v>2597</v>
      </c>
      <c r="M65" s="24">
        <f t="shared" si="7"/>
        <v>2235.2857142857142</v>
      </c>
      <c r="N65" s="1">
        <v>72315</v>
      </c>
      <c r="O65" s="15">
        <v>666</v>
      </c>
      <c r="P65" s="15">
        <v>55227</v>
      </c>
      <c r="Q65" s="1">
        <v>55893</v>
      </c>
      <c r="R65" s="1">
        <v>929</v>
      </c>
      <c r="S65" s="1">
        <v>2204</v>
      </c>
      <c r="T65" s="1">
        <v>1446</v>
      </c>
      <c r="U65" s="13">
        <f t="shared" si="4"/>
        <v>441</v>
      </c>
      <c r="V65" s="156">
        <f t="shared" si="0"/>
        <v>3232</v>
      </c>
      <c r="W65" s="53">
        <f t="shared" si="2"/>
        <v>4.4245049504950493E-2</v>
      </c>
      <c r="X65" s="43">
        <f t="shared" si="3"/>
        <v>5.2589641434262951E-2</v>
      </c>
      <c r="Y65" s="110"/>
      <c r="Z65" s="110">
        <f t="shared" si="9"/>
        <v>-0.10130391173520559</v>
      </c>
      <c r="AB65" s="110">
        <f t="shared" si="8"/>
        <v>5.7263373170575831E-2</v>
      </c>
    </row>
    <row r="66" spans="1:28" x14ac:dyDescent="0.25">
      <c r="A66" s="2">
        <v>43957</v>
      </c>
      <c r="B66" s="188">
        <v>188</v>
      </c>
      <c r="C66" s="24">
        <f t="shared" si="5"/>
        <v>132.28571428571428</v>
      </c>
      <c r="D66" s="188">
        <v>5208</v>
      </c>
      <c r="E66" s="188">
        <v>9</v>
      </c>
      <c r="F66" s="24">
        <f t="shared" si="6"/>
        <v>8.4285714285714288</v>
      </c>
      <c r="G66" s="188">
        <v>273</v>
      </c>
      <c r="H66" s="190">
        <f t="shared" si="1"/>
        <v>77</v>
      </c>
      <c r="I66" s="213">
        <v>1601</v>
      </c>
      <c r="J66" s="188">
        <v>151</v>
      </c>
      <c r="K66" s="24">
        <f t="shared" si="7"/>
        <v>153.28571428571428</v>
      </c>
      <c r="L66" s="188">
        <v>2883</v>
      </c>
      <c r="M66" s="24">
        <f t="shared" si="7"/>
        <v>2271.8571428571427</v>
      </c>
      <c r="N66" s="1">
        <v>75198</v>
      </c>
      <c r="O66" s="15">
        <v>652</v>
      </c>
      <c r="P66" s="15">
        <v>57176</v>
      </c>
      <c r="Q66" s="1">
        <v>57828</v>
      </c>
      <c r="R66" s="1">
        <v>927</v>
      </c>
      <c r="S66" s="1">
        <v>2292</v>
      </c>
      <c r="T66" s="1">
        <v>1510</v>
      </c>
      <c r="U66" s="13">
        <f t="shared" si="4"/>
        <v>479</v>
      </c>
      <c r="V66" s="156">
        <f t="shared" ref="V66:V129" si="10">D66-G66-I66</f>
        <v>3334</v>
      </c>
      <c r="W66" s="53">
        <f t="shared" si="2"/>
        <v>4.5290941811637675E-2</v>
      </c>
      <c r="X66" s="43">
        <f t="shared" si="3"/>
        <v>5.2419354838709679E-2</v>
      </c>
      <c r="Y66" s="110"/>
      <c r="Z66" s="110">
        <f t="shared" si="9"/>
        <v>-6.7472306143001037E-2</v>
      </c>
      <c r="AB66" s="110">
        <f t="shared" si="8"/>
        <v>5.8228007294221215E-2</v>
      </c>
    </row>
    <row r="67" spans="1:28" x14ac:dyDescent="0.25">
      <c r="A67" s="2">
        <v>43958</v>
      </c>
      <c r="B67" s="188">
        <v>163</v>
      </c>
      <c r="C67" s="24">
        <f t="shared" si="5"/>
        <v>135.14285714285714</v>
      </c>
      <c r="D67" s="188">
        <v>5371</v>
      </c>
      <c r="E67" s="188">
        <v>9</v>
      </c>
      <c r="F67" s="24">
        <f t="shared" si="6"/>
        <v>9.1428571428571423</v>
      </c>
      <c r="G67" s="188">
        <v>282</v>
      </c>
      <c r="H67" s="190">
        <f t="shared" ref="H67:H130" si="11">I67-I66</f>
        <v>0</v>
      </c>
      <c r="I67" s="213">
        <v>1601</v>
      </c>
      <c r="J67" s="188">
        <v>151</v>
      </c>
      <c r="K67" s="24">
        <f t="shared" si="7"/>
        <v>152.42857142857142</v>
      </c>
      <c r="L67" s="188">
        <v>2703</v>
      </c>
      <c r="M67" s="24">
        <f t="shared" si="7"/>
        <v>2251.5714285714284</v>
      </c>
      <c r="N67" s="1">
        <v>77901</v>
      </c>
      <c r="O67" s="15">
        <v>688</v>
      </c>
      <c r="P67" s="15">
        <v>59080</v>
      </c>
      <c r="Q67" s="1">
        <v>59768</v>
      </c>
      <c r="R67" s="1">
        <v>929</v>
      </c>
      <c r="S67" s="1">
        <v>2374</v>
      </c>
      <c r="T67" s="1">
        <v>1595</v>
      </c>
      <c r="U67" s="13">
        <f t="shared" si="4"/>
        <v>473</v>
      </c>
      <c r="V67" s="156">
        <f t="shared" si="10"/>
        <v>3488</v>
      </c>
      <c r="W67" s="53">
        <f t="shared" si="2"/>
        <v>4.3291284403669722E-2</v>
      </c>
      <c r="X67" s="43">
        <f t="shared" si="3"/>
        <v>5.2504189164029047E-2</v>
      </c>
      <c r="Y67" s="110"/>
      <c r="Z67" s="110">
        <f t="shared" si="9"/>
        <v>2.1598272138229069E-2</v>
      </c>
      <c r="AB67" s="110">
        <f t="shared" si="8"/>
        <v>6.0021572235264262E-2</v>
      </c>
    </row>
    <row r="68" spans="1:28" x14ac:dyDescent="0.25">
      <c r="A68" s="2">
        <v>43959</v>
      </c>
      <c r="B68" s="188">
        <v>240</v>
      </c>
      <c r="C68" s="24">
        <f t="shared" si="5"/>
        <v>154.42857142857142</v>
      </c>
      <c r="D68" s="188">
        <v>5611</v>
      </c>
      <c r="E68" s="188">
        <v>11</v>
      </c>
      <c r="F68" s="24">
        <f t="shared" si="6"/>
        <v>9.7142857142857135</v>
      </c>
      <c r="G68" s="188">
        <v>293</v>
      </c>
      <c r="H68" s="190">
        <f t="shared" si="11"/>
        <v>127</v>
      </c>
      <c r="I68" s="213">
        <v>1728</v>
      </c>
      <c r="J68" s="188">
        <v>157</v>
      </c>
      <c r="K68" s="24">
        <f t="shared" si="7"/>
        <v>151.42857142857142</v>
      </c>
      <c r="L68" s="188">
        <v>2828</v>
      </c>
      <c r="M68" s="24">
        <f t="shared" si="7"/>
        <v>2321.8571428571427</v>
      </c>
      <c r="N68" s="1">
        <v>80729</v>
      </c>
      <c r="O68" s="15">
        <v>678</v>
      </c>
      <c r="P68" s="15">
        <v>61025</v>
      </c>
      <c r="Q68" s="1">
        <v>61703</v>
      </c>
      <c r="R68" s="1">
        <v>931</v>
      </c>
      <c r="S68" s="1">
        <v>2469</v>
      </c>
      <c r="T68" s="1">
        <v>1644</v>
      </c>
      <c r="U68" s="13">
        <f t="shared" si="4"/>
        <v>567</v>
      </c>
      <c r="V68" s="156">
        <f t="shared" si="10"/>
        <v>3590</v>
      </c>
      <c r="W68" s="53">
        <f t="shared" si="2"/>
        <v>4.3732590529247911E-2</v>
      </c>
      <c r="X68" s="43">
        <f t="shared" si="3"/>
        <v>5.2218855818927108E-2</v>
      </c>
      <c r="Y68" s="110"/>
      <c r="Z68" s="110">
        <f t="shared" si="9"/>
        <v>0.1984478935698446</v>
      </c>
      <c r="AB68" s="110">
        <f t="shared" si="8"/>
        <v>6.6510798006521876E-2</v>
      </c>
    </row>
    <row r="69" spans="1:28" x14ac:dyDescent="0.25">
      <c r="A69" s="2">
        <v>43960</v>
      </c>
      <c r="B69" s="188">
        <v>165</v>
      </c>
      <c r="C69" s="24">
        <f t="shared" si="5"/>
        <v>156.71428571428572</v>
      </c>
      <c r="D69" s="188">
        <v>5776</v>
      </c>
      <c r="E69" s="188">
        <v>7</v>
      </c>
      <c r="F69" s="24">
        <f t="shared" si="6"/>
        <v>9</v>
      </c>
      <c r="G69" s="188">
        <v>300</v>
      </c>
      <c r="H69" s="190">
        <f t="shared" si="11"/>
        <v>29</v>
      </c>
      <c r="I69" s="213">
        <v>1757</v>
      </c>
      <c r="J69" s="188">
        <v>160</v>
      </c>
      <c r="K69" s="24">
        <f t="shared" si="7"/>
        <v>150.85714285714286</v>
      </c>
      <c r="L69" s="188">
        <v>2289</v>
      </c>
      <c r="M69" s="24">
        <f t="shared" si="7"/>
        <v>2370.7142857142858</v>
      </c>
      <c r="N69" s="1">
        <v>83018</v>
      </c>
      <c r="O69" s="15">
        <v>698</v>
      </c>
      <c r="P69" s="15">
        <v>62760</v>
      </c>
      <c r="Q69" s="1">
        <v>63458</v>
      </c>
      <c r="R69" s="1">
        <v>930</v>
      </c>
      <c r="S69" s="1">
        <v>2530</v>
      </c>
      <c r="T69" s="1">
        <v>1703</v>
      </c>
      <c r="U69" s="13">
        <f t="shared" si="4"/>
        <v>613</v>
      </c>
      <c r="V69" s="156">
        <f t="shared" si="10"/>
        <v>3719</v>
      </c>
      <c r="W69" s="53">
        <f t="shared" si="2"/>
        <v>4.3022317827372952E-2</v>
      </c>
      <c r="X69" s="43">
        <f t="shared" si="3"/>
        <v>5.1939058171745149E-2</v>
      </c>
      <c r="Y69" s="110"/>
      <c r="Z69" s="110">
        <f t="shared" si="9"/>
        <v>0.22844344904815239</v>
      </c>
      <c r="AB69" s="110">
        <f t="shared" si="8"/>
        <v>6.6104248267550472E-2</v>
      </c>
    </row>
    <row r="70" spans="1:28" x14ac:dyDescent="0.25">
      <c r="A70" s="2">
        <v>43961</v>
      </c>
      <c r="B70" s="188">
        <v>258</v>
      </c>
      <c r="C70" s="24">
        <f t="shared" si="5"/>
        <v>178.85714285714286</v>
      </c>
      <c r="D70" s="188">
        <v>6034</v>
      </c>
      <c r="E70" s="188">
        <v>5</v>
      </c>
      <c r="F70" s="24">
        <f t="shared" si="6"/>
        <v>8.4285714285714288</v>
      </c>
      <c r="G70" s="188">
        <v>305</v>
      </c>
      <c r="H70" s="190">
        <f t="shared" si="11"/>
        <v>80</v>
      </c>
      <c r="I70" s="213">
        <v>1837</v>
      </c>
      <c r="J70" s="188">
        <v>164</v>
      </c>
      <c r="K70" s="24">
        <f t="shared" si="7"/>
        <v>153.42857142857142</v>
      </c>
      <c r="L70" s="188">
        <v>2140</v>
      </c>
      <c r="M70" s="24">
        <f t="shared" si="7"/>
        <v>2462.5714285714284</v>
      </c>
      <c r="N70" s="1">
        <v>85158</v>
      </c>
      <c r="O70" s="15">
        <v>713</v>
      </c>
      <c r="P70" s="15">
        <v>64104</v>
      </c>
      <c r="Q70" s="1">
        <v>64817</v>
      </c>
      <c r="R70" s="1">
        <v>929</v>
      </c>
      <c r="S70" s="1">
        <v>2667</v>
      </c>
      <c r="T70" s="1">
        <v>1768</v>
      </c>
      <c r="U70" s="13">
        <f t="shared" si="4"/>
        <v>670</v>
      </c>
      <c r="V70" s="156">
        <f t="shared" si="10"/>
        <v>3892</v>
      </c>
      <c r="W70" s="53">
        <f t="shared" si="2"/>
        <v>4.2137718396711203E-2</v>
      </c>
      <c r="X70" s="43">
        <f t="shared" si="3"/>
        <v>5.0546900894928734E-2</v>
      </c>
      <c r="Y70" s="110"/>
      <c r="Z70" s="110">
        <f t="shared" si="9"/>
        <v>0.41309255079006779</v>
      </c>
      <c r="AB70" s="110">
        <f t="shared" si="8"/>
        <v>7.2630235526163128E-2</v>
      </c>
    </row>
    <row r="71" spans="1:28" x14ac:dyDescent="0.25">
      <c r="A71" s="2">
        <v>43962</v>
      </c>
      <c r="B71" s="188">
        <v>244</v>
      </c>
      <c r="C71" s="24">
        <f t="shared" si="5"/>
        <v>198.85714285714286</v>
      </c>
      <c r="D71" s="188">
        <v>6278</v>
      </c>
      <c r="E71" s="188">
        <v>9</v>
      </c>
      <c r="F71" s="24">
        <f t="shared" si="6"/>
        <v>7.7142857142857144</v>
      </c>
      <c r="G71" s="188">
        <v>314</v>
      </c>
      <c r="H71" s="190">
        <f t="shared" si="11"/>
        <v>25</v>
      </c>
      <c r="I71" s="213">
        <v>1862</v>
      </c>
      <c r="J71" s="188">
        <v>170</v>
      </c>
      <c r="K71" s="24">
        <f t="shared" si="7"/>
        <v>156.57142857142858</v>
      </c>
      <c r="L71" s="188">
        <v>2389</v>
      </c>
      <c r="M71" s="24">
        <f t="shared" si="7"/>
        <v>2547</v>
      </c>
      <c r="N71" s="1">
        <v>87547</v>
      </c>
      <c r="O71" s="15">
        <v>733</v>
      </c>
      <c r="P71" s="15">
        <v>65976</v>
      </c>
      <c r="Q71" s="1">
        <v>66709</v>
      </c>
      <c r="R71" s="1">
        <v>929</v>
      </c>
      <c r="S71" s="1">
        <v>2800</v>
      </c>
      <c r="T71" s="1">
        <v>1833</v>
      </c>
      <c r="U71" s="13">
        <f t="shared" si="4"/>
        <v>716</v>
      </c>
      <c r="V71" s="156">
        <f t="shared" si="10"/>
        <v>4102</v>
      </c>
      <c r="W71" s="53">
        <f t="shared" si="2"/>
        <v>4.1443198439785472E-2</v>
      </c>
      <c r="X71" s="43">
        <f t="shared" si="3"/>
        <v>5.0015928639694167E-2</v>
      </c>
      <c r="Y71" s="110"/>
      <c r="Z71" s="110">
        <f t="shared" si="9"/>
        <v>0.5535714285714286</v>
      </c>
      <c r="AB71" s="110">
        <f t="shared" si="8"/>
        <v>7.8075046272926135E-2</v>
      </c>
    </row>
    <row r="72" spans="1:28" x14ac:dyDescent="0.25">
      <c r="A72" s="2">
        <v>43963</v>
      </c>
      <c r="B72" s="188">
        <v>285</v>
      </c>
      <c r="C72" s="24">
        <f t="shared" si="5"/>
        <v>220.42857142857142</v>
      </c>
      <c r="D72" s="188">
        <v>6563</v>
      </c>
      <c r="E72" s="188">
        <v>5</v>
      </c>
      <c r="F72" s="24">
        <f t="shared" si="6"/>
        <v>7.8571428571428568</v>
      </c>
      <c r="G72" s="188">
        <v>319</v>
      </c>
      <c r="H72" s="190">
        <f t="shared" si="11"/>
        <v>404</v>
      </c>
      <c r="I72" s="213">
        <v>2266</v>
      </c>
      <c r="J72" s="188">
        <v>147</v>
      </c>
      <c r="K72" s="24">
        <f t="shared" si="7"/>
        <v>157.14285714285714</v>
      </c>
      <c r="L72" s="188">
        <v>2927</v>
      </c>
      <c r="M72" s="24">
        <f t="shared" si="7"/>
        <v>2594.1428571428573</v>
      </c>
      <c r="N72" s="1">
        <v>90474</v>
      </c>
      <c r="O72" s="15">
        <v>689</v>
      </c>
      <c r="P72" s="15">
        <v>68237</v>
      </c>
      <c r="Q72" s="1">
        <v>68926</v>
      </c>
      <c r="R72" s="1">
        <v>932</v>
      </c>
      <c r="S72" s="1">
        <v>2973</v>
      </c>
      <c r="T72" s="1">
        <v>1923</v>
      </c>
      <c r="U72" s="13">
        <f t="shared" si="4"/>
        <v>735</v>
      </c>
      <c r="V72" s="156">
        <f t="shared" si="10"/>
        <v>3978</v>
      </c>
      <c r="W72" s="53">
        <f t="shared" si="2"/>
        <v>3.6953242835595777E-2</v>
      </c>
      <c r="X72" s="43">
        <f t="shared" si="3"/>
        <v>4.8605820508913607E-2</v>
      </c>
      <c r="Y72" s="110"/>
      <c r="Z72" s="110">
        <f t="shared" si="9"/>
        <v>0.66630669546436283</v>
      </c>
      <c r="AB72" s="110">
        <f t="shared" si="8"/>
        <v>8.4971639407456362E-2</v>
      </c>
    </row>
    <row r="73" spans="1:28" x14ac:dyDescent="0.25">
      <c r="A73" s="2">
        <v>43964</v>
      </c>
      <c r="B73" s="188">
        <v>316</v>
      </c>
      <c r="C73" s="24">
        <f t="shared" si="5"/>
        <v>238.71428571428572</v>
      </c>
      <c r="D73" s="188">
        <v>6879</v>
      </c>
      <c r="E73" s="188">
        <v>10</v>
      </c>
      <c r="F73" s="24">
        <f t="shared" si="6"/>
        <v>8</v>
      </c>
      <c r="G73" s="188">
        <v>329</v>
      </c>
      <c r="H73" s="190">
        <f t="shared" si="11"/>
        <v>119</v>
      </c>
      <c r="I73" s="213">
        <v>2385</v>
      </c>
      <c r="J73" s="188">
        <v>147</v>
      </c>
      <c r="K73" s="24">
        <f t="shared" si="7"/>
        <v>156.57142857142858</v>
      </c>
      <c r="L73" s="188">
        <v>3199</v>
      </c>
      <c r="M73" s="24">
        <f t="shared" si="7"/>
        <v>2639.2857142857142</v>
      </c>
      <c r="N73" s="1">
        <v>93673</v>
      </c>
      <c r="O73" s="15">
        <v>712</v>
      </c>
      <c r="P73" s="15">
        <v>70497</v>
      </c>
      <c r="Q73" s="1">
        <v>71209</v>
      </c>
      <c r="R73" s="1">
        <v>936</v>
      </c>
      <c r="S73" s="1">
        <v>3109</v>
      </c>
      <c r="T73" s="1">
        <v>2036</v>
      </c>
      <c r="U73" s="13">
        <f t="shared" si="4"/>
        <v>798</v>
      </c>
      <c r="V73" s="156">
        <f t="shared" si="10"/>
        <v>4165</v>
      </c>
      <c r="W73" s="53">
        <f t="shared" si="2"/>
        <v>3.5294117647058823E-2</v>
      </c>
      <c r="X73" s="43">
        <f t="shared" si="3"/>
        <v>4.7826718999854627E-2</v>
      </c>
      <c r="Y73" s="110"/>
      <c r="Z73" s="110">
        <f t="shared" si="9"/>
        <v>0.76638477801268512</v>
      </c>
      <c r="AB73" s="110">
        <f t="shared" si="8"/>
        <v>9.0446549391069012E-2</v>
      </c>
    </row>
    <row r="74" spans="1:28" x14ac:dyDescent="0.25">
      <c r="A74" s="2">
        <v>43965</v>
      </c>
      <c r="B74" s="188">
        <v>255</v>
      </c>
      <c r="C74" s="24">
        <f t="shared" si="5"/>
        <v>251.85714285714286</v>
      </c>
      <c r="D74" s="188">
        <v>7134</v>
      </c>
      <c r="E74" s="188">
        <v>24</v>
      </c>
      <c r="F74" s="24">
        <f t="shared" si="6"/>
        <v>10.142857142857142</v>
      </c>
      <c r="G74" s="188">
        <v>353</v>
      </c>
      <c r="H74" s="190">
        <f t="shared" si="11"/>
        <v>112</v>
      </c>
      <c r="I74" s="213">
        <v>2497</v>
      </c>
      <c r="J74" s="188">
        <v>149</v>
      </c>
      <c r="K74" s="24">
        <f t="shared" si="7"/>
        <v>156.28571428571428</v>
      </c>
      <c r="L74" s="188">
        <v>3220</v>
      </c>
      <c r="M74" s="24">
        <f t="shared" si="7"/>
        <v>2713.1428571428573</v>
      </c>
      <c r="N74" s="1">
        <v>96893</v>
      </c>
      <c r="O74" s="15">
        <v>737</v>
      </c>
      <c r="P74" s="15">
        <v>72972</v>
      </c>
      <c r="Q74" s="1">
        <v>73709</v>
      </c>
      <c r="R74" s="1">
        <v>935</v>
      </c>
      <c r="S74" s="1">
        <v>3225</v>
      </c>
      <c r="T74" s="1">
        <v>2169</v>
      </c>
      <c r="U74" s="13">
        <f t="shared" si="4"/>
        <v>805</v>
      </c>
      <c r="V74" s="156">
        <f t="shared" si="10"/>
        <v>4284</v>
      </c>
      <c r="W74" s="53">
        <f t="shared" si="2"/>
        <v>3.4780578898225958E-2</v>
      </c>
      <c r="X74" s="43">
        <f t="shared" si="3"/>
        <v>4.9481356882534341E-2</v>
      </c>
      <c r="Y74" s="110"/>
      <c r="Z74" s="110">
        <f t="shared" si="9"/>
        <v>0.6308973172987975</v>
      </c>
      <c r="AB74" s="110">
        <f t="shared" si="8"/>
        <v>9.2828559393428808E-2</v>
      </c>
    </row>
    <row r="75" spans="1:28" x14ac:dyDescent="0.25">
      <c r="A75" s="2">
        <v>43966</v>
      </c>
      <c r="B75" s="188">
        <v>345</v>
      </c>
      <c r="C75" s="24">
        <f t="shared" si="5"/>
        <v>266.85714285714283</v>
      </c>
      <c r="D75" s="188">
        <v>7479</v>
      </c>
      <c r="E75" s="188">
        <v>3</v>
      </c>
      <c r="F75" s="24">
        <f t="shared" si="6"/>
        <v>9</v>
      </c>
      <c r="G75" s="188">
        <v>356</v>
      </c>
      <c r="H75" s="190">
        <f t="shared" si="11"/>
        <v>37</v>
      </c>
      <c r="I75" s="213">
        <v>2534</v>
      </c>
      <c r="J75" s="188">
        <v>151</v>
      </c>
      <c r="K75" s="24">
        <f t="shared" si="7"/>
        <v>155.42857142857142</v>
      </c>
      <c r="L75" s="188">
        <v>3469</v>
      </c>
      <c r="M75" s="24">
        <f t="shared" si="7"/>
        <v>2804.7142857142858</v>
      </c>
      <c r="N75" s="1">
        <v>100362</v>
      </c>
      <c r="O75" s="15">
        <v>610</v>
      </c>
      <c r="P75" s="15">
        <v>75647</v>
      </c>
      <c r="Q75" s="1">
        <v>76257</v>
      </c>
      <c r="R75" s="1">
        <v>937</v>
      </c>
      <c r="S75" s="1">
        <v>3367</v>
      </c>
      <c r="T75" s="1">
        <v>2272</v>
      </c>
      <c r="U75" s="13">
        <f t="shared" si="4"/>
        <v>903</v>
      </c>
      <c r="V75" s="156">
        <f t="shared" si="10"/>
        <v>4589</v>
      </c>
      <c r="W75" s="53">
        <f t="shared" si="2"/>
        <v>3.2904772281542823E-2</v>
      </c>
      <c r="X75" s="43">
        <f t="shared" si="3"/>
        <v>4.7599946516914023E-2</v>
      </c>
      <c r="Y75" s="110"/>
      <c r="Z75" s="110">
        <f t="shared" si="9"/>
        <v>0.70282588878760222</v>
      </c>
      <c r="AB75" s="110">
        <f t="shared" si="8"/>
        <v>9.5145927774665101E-2</v>
      </c>
    </row>
    <row r="76" spans="1:28" x14ac:dyDescent="0.25">
      <c r="A76" s="2">
        <v>43967</v>
      </c>
      <c r="B76" s="188">
        <v>327</v>
      </c>
      <c r="C76" s="24">
        <f t="shared" si="5"/>
        <v>290</v>
      </c>
      <c r="D76" s="188">
        <v>7805</v>
      </c>
      <c r="E76" s="188">
        <v>7</v>
      </c>
      <c r="F76" s="24">
        <f t="shared" si="6"/>
        <v>9</v>
      </c>
      <c r="G76" s="188">
        <v>363</v>
      </c>
      <c r="H76" s="190">
        <f t="shared" si="11"/>
        <v>35</v>
      </c>
      <c r="I76" s="213">
        <v>2569</v>
      </c>
      <c r="J76" s="188">
        <v>154</v>
      </c>
      <c r="K76" s="24">
        <f t="shared" si="7"/>
        <v>154.57142857142858</v>
      </c>
      <c r="L76" s="188">
        <v>2858</v>
      </c>
      <c r="M76" s="24">
        <f t="shared" si="7"/>
        <v>2886</v>
      </c>
      <c r="N76" s="1">
        <v>103220</v>
      </c>
      <c r="O76" s="15">
        <v>626</v>
      </c>
      <c r="P76" s="15">
        <v>77581</v>
      </c>
      <c r="Q76" s="1">
        <v>78207</v>
      </c>
      <c r="R76" s="1">
        <v>987</v>
      </c>
      <c r="S76" s="1">
        <v>3482</v>
      </c>
      <c r="T76" s="1">
        <v>2372</v>
      </c>
      <c r="U76" s="13">
        <f t="shared" si="4"/>
        <v>964</v>
      </c>
      <c r="V76" s="156">
        <f t="shared" si="10"/>
        <v>4873</v>
      </c>
      <c r="W76" s="53">
        <f t="shared" si="2"/>
        <v>3.160270880361174E-2</v>
      </c>
      <c r="X76" s="43">
        <f t="shared" si="3"/>
        <v>4.6508648302370274E-2</v>
      </c>
      <c r="Y76" s="110"/>
      <c r="Z76" s="110">
        <f t="shared" si="9"/>
        <v>0.62140575079872207</v>
      </c>
      <c r="AB76" s="110">
        <f t="shared" si="8"/>
        <v>0.10048510048510048</v>
      </c>
    </row>
    <row r="77" spans="1:28" x14ac:dyDescent="0.25">
      <c r="A77" s="2">
        <v>43968</v>
      </c>
      <c r="B77" s="188">
        <v>263</v>
      </c>
      <c r="C77" s="24">
        <f t="shared" si="5"/>
        <v>290.71428571428572</v>
      </c>
      <c r="D77" s="188">
        <v>8086</v>
      </c>
      <c r="E77" s="188">
        <v>10</v>
      </c>
      <c r="F77" s="24">
        <f t="shared" si="6"/>
        <v>9.7142857142857135</v>
      </c>
      <c r="G77" s="188">
        <v>373</v>
      </c>
      <c r="H77" s="190">
        <f t="shared" si="11"/>
        <v>56</v>
      </c>
      <c r="I77" s="213">
        <v>2625</v>
      </c>
      <c r="J77" s="188">
        <v>159</v>
      </c>
      <c r="K77" s="24">
        <f t="shared" si="7"/>
        <v>153.85714285714286</v>
      </c>
      <c r="L77" s="188">
        <v>2609</v>
      </c>
      <c r="M77" s="24">
        <f t="shared" si="7"/>
        <v>2953</v>
      </c>
      <c r="N77" s="1">
        <v>105829</v>
      </c>
      <c r="O77" s="15">
        <v>640</v>
      </c>
      <c r="P77" s="15">
        <v>79462</v>
      </c>
      <c r="Q77" s="1">
        <v>80102</v>
      </c>
      <c r="R77" s="1">
        <v>939</v>
      </c>
      <c r="S77" s="1">
        <v>3561</v>
      </c>
      <c r="T77" s="1">
        <v>2468</v>
      </c>
      <c r="U77" s="13">
        <f t="shared" si="4"/>
        <v>1118</v>
      </c>
      <c r="V77" s="156">
        <f t="shared" si="10"/>
        <v>5088</v>
      </c>
      <c r="W77" s="53">
        <f t="shared" si="2"/>
        <v>3.125E-2</v>
      </c>
      <c r="X77" s="43">
        <f t="shared" si="3"/>
        <v>4.6129112045510762E-2</v>
      </c>
      <c r="Y77" s="110"/>
      <c r="Z77" s="110">
        <f t="shared" si="9"/>
        <v>0.46192528735632177</v>
      </c>
      <c r="AB77" s="110">
        <f t="shared" si="8"/>
        <v>9.8447099801654489E-2</v>
      </c>
    </row>
    <row r="78" spans="1:28" x14ac:dyDescent="0.25">
      <c r="A78" s="2">
        <v>43969</v>
      </c>
      <c r="B78" s="188">
        <v>303</v>
      </c>
      <c r="C78" s="24">
        <f t="shared" si="5"/>
        <v>299.14285714285717</v>
      </c>
      <c r="D78" s="188">
        <v>8371</v>
      </c>
      <c r="E78" s="188">
        <v>9</v>
      </c>
      <c r="F78" s="24">
        <f t="shared" si="6"/>
        <v>9.7142857142857135</v>
      </c>
      <c r="G78" s="188">
        <v>382</v>
      </c>
      <c r="H78" s="190">
        <f t="shared" si="11"/>
        <v>247</v>
      </c>
      <c r="I78" s="213">
        <v>2872</v>
      </c>
      <c r="J78" s="188">
        <v>156</v>
      </c>
      <c r="K78" s="24">
        <f t="shared" si="7"/>
        <v>151.85714285714286</v>
      </c>
      <c r="L78" s="188">
        <v>2805</v>
      </c>
      <c r="M78" s="24">
        <f t="shared" si="7"/>
        <v>3012.4285714285716</v>
      </c>
      <c r="N78" s="1">
        <v>108634</v>
      </c>
      <c r="O78" s="15">
        <v>657</v>
      </c>
      <c r="P78" s="15">
        <v>81466</v>
      </c>
      <c r="Q78" s="1">
        <v>82123</v>
      </c>
      <c r="R78" s="1">
        <v>939</v>
      </c>
      <c r="S78" s="1">
        <v>3718</v>
      </c>
      <c r="T78" s="1">
        <v>2607</v>
      </c>
      <c r="U78" s="13">
        <f t="shared" si="4"/>
        <v>1107</v>
      </c>
      <c r="V78" s="156">
        <f t="shared" si="10"/>
        <v>5117</v>
      </c>
      <c r="W78" s="53">
        <f t="shared" ref="W78:W141" si="12">J78/(D78-G78-I78)</f>
        <v>3.0486613249951142E-2</v>
      </c>
      <c r="X78" s="43">
        <f t="shared" si="3"/>
        <v>4.5633735515470078E-2</v>
      </c>
      <c r="Y78" s="110"/>
      <c r="Z78" s="110">
        <f t="shared" si="9"/>
        <v>0.35709656513285815</v>
      </c>
      <c r="AB78" s="110">
        <f t="shared" si="8"/>
        <v>9.9302888035282408E-2</v>
      </c>
    </row>
    <row r="79" spans="1:28" x14ac:dyDescent="0.25">
      <c r="A79" s="2">
        <v>43970</v>
      </c>
      <c r="B79" s="188">
        <v>438</v>
      </c>
      <c r="C79" s="24">
        <f t="shared" si="5"/>
        <v>321</v>
      </c>
      <c r="D79" s="188">
        <v>8809</v>
      </c>
      <c r="E79" s="188">
        <v>11</v>
      </c>
      <c r="F79" s="24">
        <f t="shared" si="6"/>
        <v>10.571428571428571</v>
      </c>
      <c r="G79" s="188">
        <v>393</v>
      </c>
      <c r="H79" s="190">
        <f t="shared" si="11"/>
        <v>61</v>
      </c>
      <c r="I79" s="213">
        <v>2933</v>
      </c>
      <c r="J79" s="188">
        <v>161</v>
      </c>
      <c r="K79" s="24">
        <f t="shared" si="7"/>
        <v>153.85714285714286</v>
      </c>
      <c r="L79" s="188">
        <v>3736</v>
      </c>
      <c r="M79" s="24">
        <f t="shared" si="7"/>
        <v>3128</v>
      </c>
      <c r="N79" s="1">
        <v>112370</v>
      </c>
      <c r="O79" s="15">
        <v>681</v>
      </c>
      <c r="P79" s="15">
        <v>84449</v>
      </c>
      <c r="Q79" s="1">
        <v>85130</v>
      </c>
      <c r="R79" s="1">
        <v>940</v>
      </c>
      <c r="S79" s="1">
        <v>3879</v>
      </c>
      <c r="T79" s="1">
        <v>2758</v>
      </c>
      <c r="U79" s="13">
        <f t="shared" si="4"/>
        <v>1232</v>
      </c>
      <c r="V79" s="156">
        <f t="shared" si="10"/>
        <v>5483</v>
      </c>
      <c r="W79" s="53">
        <f t="shared" si="12"/>
        <v>2.9363487142075505E-2</v>
      </c>
      <c r="X79" s="43">
        <f t="shared" ref="X79:X142" si="13">G79/D79</f>
        <v>4.4613463503235327E-2</v>
      </c>
      <c r="Y79" s="110"/>
      <c r="Z79" s="110">
        <f t="shared" si="9"/>
        <v>0.34470377019748644</v>
      </c>
      <c r="AB79" s="110">
        <f t="shared" si="8"/>
        <v>0.10262148337595908</v>
      </c>
    </row>
    <row r="80" spans="1:28" x14ac:dyDescent="0.25">
      <c r="A80" s="2">
        <v>43971</v>
      </c>
      <c r="B80" s="188">
        <v>474</v>
      </c>
      <c r="C80" s="24">
        <f t="shared" si="5"/>
        <v>343.57142857142856</v>
      </c>
      <c r="D80" s="188">
        <v>9283</v>
      </c>
      <c r="E80" s="188">
        <v>10</v>
      </c>
      <c r="F80" s="24">
        <f t="shared" si="6"/>
        <v>10.571428571428571</v>
      </c>
      <c r="G80" s="188">
        <v>403</v>
      </c>
      <c r="H80" s="190">
        <f t="shared" si="11"/>
        <v>99</v>
      </c>
      <c r="I80" s="213">
        <v>3032</v>
      </c>
      <c r="J80" s="188">
        <v>171</v>
      </c>
      <c r="K80" s="24">
        <f t="shared" si="7"/>
        <v>157.28571428571428</v>
      </c>
      <c r="L80" s="188">
        <v>4319</v>
      </c>
      <c r="M80" s="24">
        <f t="shared" si="7"/>
        <v>3288</v>
      </c>
      <c r="N80" s="1">
        <v>116689</v>
      </c>
      <c r="O80" s="15">
        <v>705</v>
      </c>
      <c r="P80" s="15">
        <v>87447</v>
      </c>
      <c r="Q80" s="1">
        <v>88152</v>
      </c>
      <c r="R80" s="1">
        <v>945</v>
      </c>
      <c r="S80" s="1">
        <v>4068</v>
      </c>
      <c r="T80" s="1">
        <v>2919</v>
      </c>
      <c r="U80" s="13">
        <f t="shared" si="4"/>
        <v>1351</v>
      </c>
      <c r="V80" s="156">
        <f t="shared" si="10"/>
        <v>5848</v>
      </c>
      <c r="W80" s="53">
        <f t="shared" si="12"/>
        <v>2.924076607387141E-2</v>
      </c>
      <c r="X80" s="43">
        <f t="shared" si="13"/>
        <v>4.341268986319078E-2</v>
      </c>
      <c r="Y80" s="110"/>
      <c r="Z80" s="110">
        <f t="shared" si="9"/>
        <v>0.3641520136131593</v>
      </c>
      <c r="AB80" s="110">
        <f t="shared" si="8"/>
        <v>0.10449252693778241</v>
      </c>
    </row>
    <row r="81" spans="1:30" x14ac:dyDescent="0.25">
      <c r="A81" s="2">
        <v>43972</v>
      </c>
      <c r="B81" s="188">
        <v>648</v>
      </c>
      <c r="C81" s="24">
        <f t="shared" si="5"/>
        <v>399.71428571428572</v>
      </c>
      <c r="D81" s="188">
        <v>9931</v>
      </c>
      <c r="E81" s="188">
        <v>13</v>
      </c>
      <c r="F81" s="24">
        <f t="shared" si="6"/>
        <v>9</v>
      </c>
      <c r="G81" s="188">
        <v>416</v>
      </c>
      <c r="H81" s="190">
        <f t="shared" si="11"/>
        <v>30</v>
      </c>
      <c r="I81" s="213">
        <v>3062</v>
      </c>
      <c r="J81" s="188">
        <v>172</v>
      </c>
      <c r="K81" s="24">
        <f t="shared" si="7"/>
        <v>160.57142857142858</v>
      </c>
      <c r="L81" s="188">
        <v>4589</v>
      </c>
      <c r="M81" s="24">
        <f t="shared" si="7"/>
        <v>3483.5714285714284</v>
      </c>
      <c r="N81" s="1">
        <v>121278</v>
      </c>
      <c r="O81" s="15">
        <v>731</v>
      </c>
      <c r="P81" s="15">
        <v>90667</v>
      </c>
      <c r="Q81" s="1">
        <v>91398</v>
      </c>
      <c r="R81" s="1">
        <v>947</v>
      </c>
      <c r="S81" s="1">
        <v>4334</v>
      </c>
      <c r="T81" s="1">
        <v>3154</v>
      </c>
      <c r="U81" s="13">
        <f t="shared" ref="U81:U95" si="14">D81-T81-S81-R81</f>
        <v>1496</v>
      </c>
      <c r="V81" s="156">
        <f t="shared" si="10"/>
        <v>6453</v>
      </c>
      <c r="W81" s="53">
        <f t="shared" si="12"/>
        <v>2.66542693320936E-2</v>
      </c>
      <c r="X81" s="43">
        <f t="shared" si="13"/>
        <v>4.1889034336924778E-2</v>
      </c>
      <c r="Y81" s="110"/>
      <c r="Z81" s="110">
        <f t="shared" si="9"/>
        <v>0.49785867237687387</v>
      </c>
      <c r="AB81" s="110">
        <f t="shared" si="8"/>
        <v>0.11474266967397991</v>
      </c>
      <c r="AD81" s="110">
        <f t="shared" ref="AD81:AD144" si="15">V81/V74-1</f>
        <v>0.50630252100840334</v>
      </c>
    </row>
    <row r="82" spans="1:30" x14ac:dyDescent="0.25">
      <c r="A82" s="2">
        <v>43973</v>
      </c>
      <c r="B82" s="188">
        <v>718</v>
      </c>
      <c r="C82" s="24">
        <f t="shared" si="5"/>
        <v>453</v>
      </c>
      <c r="D82" s="188">
        <v>10649</v>
      </c>
      <c r="E82" s="188">
        <v>18</v>
      </c>
      <c r="F82" s="24">
        <f t="shared" si="6"/>
        <v>11.142857142857142</v>
      </c>
      <c r="G82" s="188">
        <v>433</v>
      </c>
      <c r="H82" s="190">
        <f t="shared" si="11"/>
        <v>468</v>
      </c>
      <c r="I82" s="213">
        <v>3530</v>
      </c>
      <c r="J82" s="188">
        <v>173</v>
      </c>
      <c r="K82" s="24">
        <f t="shared" si="7"/>
        <v>163.71428571428572</v>
      </c>
      <c r="L82" s="188">
        <v>4615</v>
      </c>
      <c r="M82" s="24">
        <f t="shared" si="7"/>
        <v>3647.2857142857142</v>
      </c>
      <c r="N82" s="1">
        <v>125893</v>
      </c>
      <c r="O82" s="15">
        <v>754</v>
      </c>
      <c r="P82" s="15">
        <v>93528</v>
      </c>
      <c r="Q82" s="1">
        <v>94282</v>
      </c>
      <c r="R82" s="1">
        <v>948</v>
      </c>
      <c r="S82" s="1">
        <v>4648</v>
      </c>
      <c r="T82" s="1">
        <v>3314</v>
      </c>
      <c r="U82" s="13">
        <f t="shared" si="14"/>
        <v>1739</v>
      </c>
      <c r="V82" s="156">
        <f t="shared" si="10"/>
        <v>6686</v>
      </c>
      <c r="W82" s="53">
        <f t="shared" si="12"/>
        <v>2.5874962608435536E-2</v>
      </c>
      <c r="X82" s="43">
        <f t="shared" si="13"/>
        <v>4.0661094938491876E-2</v>
      </c>
      <c r="Y82" s="110"/>
      <c r="Z82" s="110">
        <f t="shared" si="9"/>
        <v>0.56206896551724128</v>
      </c>
      <c r="AB82" s="110">
        <f t="shared" si="8"/>
        <v>0.12420195056989543</v>
      </c>
      <c r="AD82" s="110">
        <f t="shared" si="15"/>
        <v>0.45696230115493575</v>
      </c>
    </row>
    <row r="83" spans="1:30" x14ac:dyDescent="0.25">
      <c r="A83" s="2">
        <v>43974</v>
      </c>
      <c r="B83" s="188">
        <v>704</v>
      </c>
      <c r="C83" s="24">
        <f t="shared" si="5"/>
        <v>506.85714285714283</v>
      </c>
      <c r="D83" s="188">
        <v>11353</v>
      </c>
      <c r="E83" s="188">
        <v>12</v>
      </c>
      <c r="F83" s="24">
        <f t="shared" si="6"/>
        <v>11.857142857142858</v>
      </c>
      <c r="G83" s="188">
        <v>445</v>
      </c>
      <c r="H83" s="190">
        <f t="shared" si="11"/>
        <v>202</v>
      </c>
      <c r="I83" s="213">
        <v>3732</v>
      </c>
      <c r="J83" s="188">
        <v>181</v>
      </c>
      <c r="K83" s="24">
        <f t="shared" si="7"/>
        <v>167.57142857142858</v>
      </c>
      <c r="L83" s="188">
        <v>3525</v>
      </c>
      <c r="M83" s="24">
        <f t="shared" si="7"/>
        <v>3742.5714285714284</v>
      </c>
      <c r="N83" s="1">
        <v>129418</v>
      </c>
      <c r="O83" s="15">
        <v>773</v>
      </c>
      <c r="P83" s="15">
        <v>95859</v>
      </c>
      <c r="Q83" s="1">
        <v>96632</v>
      </c>
      <c r="R83" s="1">
        <v>951</v>
      </c>
      <c r="S83" s="1">
        <v>4955</v>
      </c>
      <c r="T83" s="1">
        <v>3540</v>
      </c>
      <c r="U83" s="13">
        <f t="shared" si="14"/>
        <v>1907</v>
      </c>
      <c r="V83" s="156">
        <f t="shared" si="10"/>
        <v>7176</v>
      </c>
      <c r="W83" s="53">
        <f t="shared" si="12"/>
        <v>2.5222965440356744E-2</v>
      </c>
      <c r="X83" s="43">
        <f t="shared" si="13"/>
        <v>3.9196688100061661E-2</v>
      </c>
      <c r="Y83" s="110"/>
      <c r="Z83" s="110">
        <f t="shared" si="9"/>
        <v>0.74348894348894334</v>
      </c>
      <c r="AB83" s="110">
        <f t="shared" si="8"/>
        <v>0.1354301855103443</v>
      </c>
      <c r="AD83" s="110">
        <f t="shared" si="15"/>
        <v>0.47260414529037553</v>
      </c>
    </row>
    <row r="84" spans="1:30" x14ac:dyDescent="0.25">
      <c r="A84" s="2">
        <v>43975</v>
      </c>
      <c r="B84" s="188">
        <v>723</v>
      </c>
      <c r="C84" s="24">
        <f t="shared" si="5"/>
        <v>572.57142857142856</v>
      </c>
      <c r="D84" s="188">
        <v>12076</v>
      </c>
      <c r="E84" s="188">
        <v>8</v>
      </c>
      <c r="F84" s="24">
        <f t="shared" si="6"/>
        <v>11.571428571428571</v>
      </c>
      <c r="G84" s="188">
        <v>452</v>
      </c>
      <c r="H84" s="190">
        <f t="shared" si="11"/>
        <v>267</v>
      </c>
      <c r="I84" s="213">
        <v>3999</v>
      </c>
      <c r="J84" s="188">
        <v>181</v>
      </c>
      <c r="K84" s="24">
        <f t="shared" si="7"/>
        <v>170.71428571428572</v>
      </c>
      <c r="L84" s="188">
        <v>4050</v>
      </c>
      <c r="M84" s="24">
        <f t="shared" si="7"/>
        <v>3948.4285714285716</v>
      </c>
      <c r="N84" s="1">
        <v>133468</v>
      </c>
      <c r="O84" s="15">
        <v>793</v>
      </c>
      <c r="P84" s="15">
        <v>98352</v>
      </c>
      <c r="Q84" s="1">
        <v>99145</v>
      </c>
      <c r="R84" s="1">
        <v>955</v>
      </c>
      <c r="S84" s="1">
        <v>5302</v>
      </c>
      <c r="T84" s="1">
        <v>3766</v>
      </c>
      <c r="U84" s="13">
        <f t="shared" si="14"/>
        <v>2053</v>
      </c>
      <c r="V84" s="156">
        <f t="shared" si="10"/>
        <v>7625</v>
      </c>
      <c r="W84" s="53">
        <f t="shared" si="12"/>
        <v>2.3737704918032787E-2</v>
      </c>
      <c r="X84" s="43">
        <f t="shared" si="13"/>
        <v>3.742961245445512E-2</v>
      </c>
      <c r="Y84" s="110"/>
      <c r="Z84" s="110">
        <f t="shared" si="9"/>
        <v>0.91404011461318024</v>
      </c>
      <c r="AB84" s="110">
        <f t="shared" si="8"/>
        <v>0.14501248236187994</v>
      </c>
      <c r="AD84" s="110">
        <f t="shared" si="15"/>
        <v>0.49862421383647804</v>
      </c>
    </row>
    <row r="85" spans="1:30" x14ac:dyDescent="0.25">
      <c r="A85" s="2">
        <v>43976</v>
      </c>
      <c r="B85" s="188">
        <v>552</v>
      </c>
      <c r="C85" s="24">
        <f t="shared" si="5"/>
        <v>608.14285714285711</v>
      </c>
      <c r="D85" s="188">
        <v>12628</v>
      </c>
      <c r="E85" s="188">
        <v>15</v>
      </c>
      <c r="F85" s="24">
        <f t="shared" si="6"/>
        <v>12.428571428571429</v>
      </c>
      <c r="G85" s="188">
        <v>467</v>
      </c>
      <c r="H85" s="190">
        <f t="shared" si="11"/>
        <v>168</v>
      </c>
      <c r="I85" s="213">
        <v>4167</v>
      </c>
      <c r="J85" s="188">
        <v>203</v>
      </c>
      <c r="K85" s="24">
        <f t="shared" si="7"/>
        <v>177.42857142857142</v>
      </c>
      <c r="L85" s="188">
        <v>3194</v>
      </c>
      <c r="M85" s="24">
        <f t="shared" si="7"/>
        <v>4004</v>
      </c>
      <c r="N85" s="1">
        <v>136662</v>
      </c>
      <c r="O85" s="15">
        <v>709</v>
      </c>
      <c r="P85" s="15">
        <v>100639</v>
      </c>
      <c r="Q85" s="1">
        <v>101348</v>
      </c>
      <c r="R85" s="1">
        <v>956</v>
      </c>
      <c r="S85" s="1">
        <v>5563</v>
      </c>
      <c r="T85" s="1">
        <v>4057</v>
      </c>
      <c r="U85" s="13">
        <f t="shared" si="14"/>
        <v>2052</v>
      </c>
      <c r="V85" s="156">
        <f t="shared" si="10"/>
        <v>7994</v>
      </c>
      <c r="W85" s="53">
        <f t="shared" si="12"/>
        <v>2.5394045534150613E-2</v>
      </c>
      <c r="X85" s="43">
        <f t="shared" si="13"/>
        <v>3.6981311371555275E-2</v>
      </c>
      <c r="Y85" s="110"/>
      <c r="Z85" s="110">
        <f t="shared" si="9"/>
        <v>0.89452603471295045</v>
      </c>
      <c r="AB85" s="110">
        <f t="shared" si="8"/>
        <v>0.15188383045525902</v>
      </c>
      <c r="AD85" s="110">
        <f t="shared" si="15"/>
        <v>0.56224350205198359</v>
      </c>
    </row>
    <row r="86" spans="1:30" x14ac:dyDescent="0.25">
      <c r="A86" s="2">
        <v>43977</v>
      </c>
      <c r="B86" s="188">
        <v>600</v>
      </c>
      <c r="C86" s="24">
        <f t="shared" si="5"/>
        <v>631.28571428571433</v>
      </c>
      <c r="D86" s="188">
        <v>13228</v>
      </c>
      <c r="E86" s="188">
        <v>23</v>
      </c>
      <c r="F86" s="24">
        <f t="shared" si="6"/>
        <v>14.142857142857142</v>
      </c>
      <c r="G86" s="188">
        <v>490</v>
      </c>
      <c r="H86" s="190">
        <f t="shared" si="11"/>
        <v>182</v>
      </c>
      <c r="I86" s="213">
        <v>4349</v>
      </c>
      <c r="J86" s="188">
        <v>250</v>
      </c>
      <c r="K86" s="24">
        <f t="shared" si="7"/>
        <v>190.14285714285714</v>
      </c>
      <c r="L86" s="188">
        <v>3556</v>
      </c>
      <c r="M86" s="24">
        <f t="shared" si="7"/>
        <v>3978.2857142857142</v>
      </c>
      <c r="N86" s="1">
        <v>140218</v>
      </c>
      <c r="O86" s="15">
        <v>727</v>
      </c>
      <c r="P86" s="15">
        <v>103173</v>
      </c>
      <c r="Q86" s="1">
        <v>103900</v>
      </c>
      <c r="R86" s="3">
        <v>959</v>
      </c>
      <c r="S86" s="3">
        <v>5813</v>
      </c>
      <c r="T86" s="3">
        <v>4354</v>
      </c>
      <c r="U86" s="13">
        <f t="shared" si="14"/>
        <v>2102</v>
      </c>
      <c r="V86" s="156">
        <f t="shared" si="10"/>
        <v>8389</v>
      </c>
      <c r="W86" s="53">
        <f t="shared" si="12"/>
        <v>2.9800929789009417E-2</v>
      </c>
      <c r="X86" s="43">
        <f t="shared" si="13"/>
        <v>3.704263683096462E-2</v>
      </c>
      <c r="Y86" s="110"/>
      <c r="Z86" s="110">
        <f t="shared" si="9"/>
        <v>0.83742203742203758</v>
      </c>
      <c r="AB86" s="110">
        <f t="shared" si="8"/>
        <v>0.15868284975581728</v>
      </c>
      <c r="AD86" s="110">
        <f t="shared" si="15"/>
        <v>0.53000182381907712</v>
      </c>
    </row>
    <row r="87" spans="1:30" x14ac:dyDescent="0.25">
      <c r="A87" s="2">
        <v>43978</v>
      </c>
      <c r="B87" s="188">
        <v>706</v>
      </c>
      <c r="C87" s="24">
        <f t="shared" si="5"/>
        <v>664.42857142857144</v>
      </c>
      <c r="D87" s="188">
        <v>13933</v>
      </c>
      <c r="E87" s="188">
        <v>10</v>
      </c>
      <c r="F87" s="24">
        <f t="shared" si="6"/>
        <v>14.142857142857142</v>
      </c>
      <c r="G87" s="188">
        <v>500</v>
      </c>
      <c r="H87" s="190">
        <f t="shared" si="11"/>
        <v>268</v>
      </c>
      <c r="I87" s="213">
        <v>4617</v>
      </c>
      <c r="J87" s="188">
        <v>254</v>
      </c>
      <c r="K87" s="24">
        <f t="shared" si="7"/>
        <v>202</v>
      </c>
      <c r="L87" s="188">
        <v>4863</v>
      </c>
      <c r="M87" s="24">
        <f t="shared" si="7"/>
        <v>4056</v>
      </c>
      <c r="N87" s="1">
        <v>145081</v>
      </c>
      <c r="O87" s="15">
        <v>642</v>
      </c>
      <c r="P87" s="15">
        <v>106456</v>
      </c>
      <c r="Q87" s="1">
        <v>107098</v>
      </c>
      <c r="R87" s="1">
        <v>961</v>
      </c>
      <c r="S87" s="1">
        <v>6091</v>
      </c>
      <c r="T87" s="1">
        <v>4694</v>
      </c>
      <c r="U87" s="13">
        <f t="shared" si="14"/>
        <v>2187</v>
      </c>
      <c r="V87" s="156">
        <f t="shared" si="10"/>
        <v>8816</v>
      </c>
      <c r="W87" s="53">
        <f t="shared" si="12"/>
        <v>2.8811252268602542E-2</v>
      </c>
      <c r="X87" s="43">
        <f t="shared" si="13"/>
        <v>3.5886025981482814E-2</v>
      </c>
      <c r="Y87" s="110"/>
      <c r="Z87" s="110">
        <f t="shared" si="9"/>
        <v>0.66225875625446751</v>
      </c>
      <c r="AB87" s="110">
        <f t="shared" si="8"/>
        <v>0.16381375035221188</v>
      </c>
      <c r="AD87" s="110">
        <f t="shared" si="15"/>
        <v>0.50752393980848143</v>
      </c>
    </row>
    <row r="88" spans="1:30" x14ac:dyDescent="0.25">
      <c r="A88" s="2">
        <v>43979</v>
      </c>
      <c r="B88" s="188">
        <v>769</v>
      </c>
      <c r="C88" s="24">
        <f t="shared" si="5"/>
        <v>681.71428571428567</v>
      </c>
      <c r="D88" s="188">
        <v>14702</v>
      </c>
      <c r="E88" s="188">
        <v>8</v>
      </c>
      <c r="F88" s="24">
        <f t="shared" si="6"/>
        <v>13.428571428571429</v>
      </c>
      <c r="G88" s="188">
        <v>508</v>
      </c>
      <c r="H88" s="190">
        <f t="shared" si="11"/>
        <v>171</v>
      </c>
      <c r="I88" s="213">
        <v>4788</v>
      </c>
      <c r="J88" s="188">
        <v>259</v>
      </c>
      <c r="K88" s="24">
        <f t="shared" si="7"/>
        <v>214.42857142857142</v>
      </c>
      <c r="L88" s="188">
        <v>5405</v>
      </c>
      <c r="M88" s="24">
        <f t="shared" si="7"/>
        <v>4172.5714285714284</v>
      </c>
      <c r="N88" s="1">
        <v>150486</v>
      </c>
      <c r="O88" s="15">
        <v>664</v>
      </c>
      <c r="P88" s="15">
        <v>110132</v>
      </c>
      <c r="Q88" s="4">
        <v>110796</v>
      </c>
      <c r="R88" s="1">
        <v>967</v>
      </c>
      <c r="S88" s="1">
        <v>6450</v>
      </c>
      <c r="T88" s="1">
        <v>5051</v>
      </c>
      <c r="U88" s="13">
        <f t="shared" si="14"/>
        <v>2234</v>
      </c>
      <c r="V88" s="156">
        <f t="shared" si="10"/>
        <v>9406</v>
      </c>
      <c r="W88" s="53">
        <f t="shared" si="12"/>
        <v>2.7535615564533277E-2</v>
      </c>
      <c r="X88" s="43">
        <f t="shared" si="13"/>
        <v>3.4553122024214393E-2</v>
      </c>
      <c r="Y88" s="110"/>
      <c r="Z88" s="110">
        <f t="shared" si="9"/>
        <v>0.50488804793440534</v>
      </c>
      <c r="AB88" s="110">
        <f t="shared" si="8"/>
        <v>0.16337989591892632</v>
      </c>
      <c r="AD88" s="110">
        <f t="shared" si="15"/>
        <v>0.45761661242832785</v>
      </c>
    </row>
    <row r="89" spans="1:30" x14ac:dyDescent="0.25">
      <c r="A89" s="2">
        <v>43980</v>
      </c>
      <c r="B89" s="190">
        <v>717</v>
      </c>
      <c r="C89" s="24">
        <f t="shared" si="5"/>
        <v>681.57142857142856</v>
      </c>
      <c r="D89" s="190">
        <v>15419</v>
      </c>
      <c r="E89" s="190">
        <v>12</v>
      </c>
      <c r="F89" s="24">
        <f t="shared" si="6"/>
        <v>12.571428571428571</v>
      </c>
      <c r="G89" s="188">
        <v>520</v>
      </c>
      <c r="H89" s="190">
        <f t="shared" si="11"/>
        <v>312</v>
      </c>
      <c r="I89" s="213">
        <v>5100</v>
      </c>
      <c r="J89" s="188">
        <v>244</v>
      </c>
      <c r="K89" s="24">
        <f t="shared" si="7"/>
        <v>224.57142857142858</v>
      </c>
      <c r="L89" s="190">
        <v>4921</v>
      </c>
      <c r="M89" s="24">
        <f t="shared" si="7"/>
        <v>4216.2857142857147</v>
      </c>
      <c r="N89" s="4">
        <v>155400</v>
      </c>
      <c r="O89" s="7">
        <v>798</v>
      </c>
      <c r="P89" s="7">
        <v>113314</v>
      </c>
      <c r="Q89" s="4">
        <v>114112</v>
      </c>
      <c r="R89" s="4">
        <v>968</v>
      </c>
      <c r="S89" s="4">
        <v>6727</v>
      </c>
      <c r="T89" s="4">
        <v>5408</v>
      </c>
      <c r="U89" s="13">
        <f t="shared" si="14"/>
        <v>2316</v>
      </c>
      <c r="V89" s="156">
        <f t="shared" si="10"/>
        <v>9799</v>
      </c>
      <c r="W89" s="53">
        <f t="shared" si="12"/>
        <v>2.4900500051025613E-2</v>
      </c>
      <c r="X89" s="43">
        <f t="shared" si="13"/>
        <v>3.3724625462092227E-2</v>
      </c>
      <c r="Y89" s="110"/>
      <c r="Z89" s="110">
        <f t="shared" si="9"/>
        <v>0.34470124013528758</v>
      </c>
      <c r="AB89" s="110">
        <f t="shared" si="8"/>
        <v>0.1616520973097513</v>
      </c>
      <c r="AD89" s="110">
        <f t="shared" si="15"/>
        <v>0.46559976069398745</v>
      </c>
    </row>
    <row r="90" spans="1:30" x14ac:dyDescent="0.25">
      <c r="A90" s="2">
        <v>43981</v>
      </c>
      <c r="B90" s="188">
        <v>795</v>
      </c>
      <c r="C90" s="24">
        <f t="shared" si="5"/>
        <v>694.57142857142856</v>
      </c>
      <c r="D90" s="188">
        <v>16214</v>
      </c>
      <c r="E90" s="188">
        <v>8</v>
      </c>
      <c r="F90" s="24">
        <f t="shared" si="6"/>
        <v>12</v>
      </c>
      <c r="G90" s="188">
        <v>528</v>
      </c>
      <c r="H90" s="190">
        <f t="shared" si="11"/>
        <v>236</v>
      </c>
      <c r="I90" s="213">
        <v>5336</v>
      </c>
      <c r="J90" s="188">
        <v>256</v>
      </c>
      <c r="K90" s="24">
        <f t="shared" si="7"/>
        <v>235.28571428571428</v>
      </c>
      <c r="L90" s="190">
        <v>4663</v>
      </c>
      <c r="M90" s="24">
        <f t="shared" si="7"/>
        <v>4378.8571428571431</v>
      </c>
      <c r="N90" s="4">
        <v>160070</v>
      </c>
      <c r="O90" s="7">
        <v>819</v>
      </c>
      <c r="P90" s="7">
        <v>116215</v>
      </c>
      <c r="Q90" s="4">
        <v>117034</v>
      </c>
      <c r="R90" s="1">
        <v>969</v>
      </c>
      <c r="S90" s="1">
        <v>7030</v>
      </c>
      <c r="T90" s="1">
        <v>5724</v>
      </c>
      <c r="U90" s="13">
        <f t="shared" si="14"/>
        <v>2491</v>
      </c>
      <c r="V90" s="156">
        <f t="shared" si="10"/>
        <v>10350</v>
      </c>
      <c r="W90" s="53">
        <f t="shared" si="12"/>
        <v>2.4734299516908212E-2</v>
      </c>
      <c r="X90" s="43">
        <f t="shared" si="13"/>
        <v>3.2564450474898234E-2</v>
      </c>
      <c r="Y90" s="110"/>
      <c r="Z90" s="110">
        <f t="shared" si="9"/>
        <v>0.21307385229540921</v>
      </c>
      <c r="AB90" s="110">
        <f t="shared" si="8"/>
        <v>0.15861933968419678</v>
      </c>
      <c r="AD90" s="110">
        <f t="shared" si="15"/>
        <v>0.44230769230769229</v>
      </c>
    </row>
    <row r="91" spans="1:30" x14ac:dyDescent="0.25">
      <c r="A91" s="2">
        <v>43982</v>
      </c>
      <c r="B91" s="188">
        <v>637</v>
      </c>
      <c r="C91" s="24">
        <f t="shared" si="5"/>
        <v>682.28571428571433</v>
      </c>
      <c r="D91" s="188">
        <v>16851</v>
      </c>
      <c r="E91" s="188">
        <v>11</v>
      </c>
      <c r="F91" s="24">
        <f t="shared" si="6"/>
        <v>12.428571428571429</v>
      </c>
      <c r="G91" s="188">
        <v>539</v>
      </c>
      <c r="H91" s="190">
        <f t="shared" si="11"/>
        <v>185</v>
      </c>
      <c r="I91" s="213">
        <v>5521</v>
      </c>
      <c r="J91" s="188">
        <v>272</v>
      </c>
      <c r="K91" s="24">
        <f t="shared" si="7"/>
        <v>248.28571428571428</v>
      </c>
      <c r="L91" s="190">
        <v>4014</v>
      </c>
      <c r="M91" s="24">
        <f t="shared" si="7"/>
        <v>4373.7142857142853</v>
      </c>
      <c r="N91" s="4">
        <v>164084</v>
      </c>
      <c r="O91" s="7">
        <v>837.57099999999627</v>
      </c>
      <c r="P91" s="7">
        <v>118815.429</v>
      </c>
      <c r="Q91" s="4">
        <v>119653</v>
      </c>
      <c r="R91" s="4">
        <v>970</v>
      </c>
      <c r="S91" s="4">
        <v>7308</v>
      </c>
      <c r="T91" s="4">
        <v>5975</v>
      </c>
      <c r="U91" s="13">
        <f t="shared" si="14"/>
        <v>2598</v>
      </c>
      <c r="V91" s="156">
        <f t="shared" si="10"/>
        <v>10791</v>
      </c>
      <c r="W91" s="53">
        <f t="shared" si="12"/>
        <v>2.5206190343805022E-2</v>
      </c>
      <c r="X91" s="43">
        <f t="shared" si="13"/>
        <v>3.1986232271081834E-2</v>
      </c>
      <c r="Y91" s="110"/>
      <c r="Z91" s="110">
        <f t="shared" si="9"/>
        <v>0.1219168428470756</v>
      </c>
      <c r="AB91" s="110">
        <f t="shared" si="8"/>
        <v>0.15599686438463548</v>
      </c>
      <c r="AD91" s="110">
        <f t="shared" si="15"/>
        <v>0.41521311475409828</v>
      </c>
    </row>
    <row r="92" spans="1:30" x14ac:dyDescent="0.25">
      <c r="A92" s="2">
        <v>43983</v>
      </c>
      <c r="B92" s="188">
        <v>564</v>
      </c>
      <c r="C92" s="24">
        <f t="shared" si="5"/>
        <v>684</v>
      </c>
      <c r="D92" s="188">
        <v>17415</v>
      </c>
      <c r="E92" s="188">
        <v>17</v>
      </c>
      <c r="F92" s="24">
        <f t="shared" si="6"/>
        <v>12.714285714285714</v>
      </c>
      <c r="G92" s="188">
        <v>556</v>
      </c>
      <c r="H92" s="190">
        <f t="shared" si="11"/>
        <v>188</v>
      </c>
      <c r="I92" s="213">
        <v>5709</v>
      </c>
      <c r="J92" s="188">
        <v>271</v>
      </c>
      <c r="K92" s="24">
        <f t="shared" si="7"/>
        <v>258</v>
      </c>
      <c r="L92" s="190">
        <v>3715</v>
      </c>
      <c r="M92" s="24">
        <f t="shared" si="7"/>
        <v>4448.1428571428569</v>
      </c>
      <c r="N92" s="4">
        <v>167799</v>
      </c>
      <c r="O92" s="7">
        <v>732</v>
      </c>
      <c r="P92" s="7">
        <v>121411</v>
      </c>
      <c r="Q92" s="4">
        <v>122143</v>
      </c>
      <c r="R92" s="1">
        <v>974</v>
      </c>
      <c r="S92" s="1">
        <v>7532</v>
      </c>
      <c r="T92" s="1">
        <v>6263</v>
      </c>
      <c r="U92" s="13">
        <f t="shared" si="14"/>
        <v>2646</v>
      </c>
      <c r="V92" s="156">
        <f t="shared" si="10"/>
        <v>11150</v>
      </c>
      <c r="W92" s="53">
        <f t="shared" si="12"/>
        <v>2.430493273542601E-2</v>
      </c>
      <c r="X92" s="43">
        <f t="shared" si="13"/>
        <v>3.1926500143554408E-2</v>
      </c>
      <c r="Y92" s="110"/>
      <c r="Z92" s="110">
        <f t="shared" si="9"/>
        <v>8.3503054989816583E-2</v>
      </c>
      <c r="AB92" s="110">
        <f t="shared" si="8"/>
        <v>0.15377203969553907</v>
      </c>
      <c r="AD92" s="110">
        <f t="shared" si="15"/>
        <v>0.39479609707280461</v>
      </c>
    </row>
    <row r="93" spans="1:30" x14ac:dyDescent="0.25">
      <c r="A93" s="2">
        <v>43984</v>
      </c>
      <c r="B93" s="188">
        <v>904</v>
      </c>
      <c r="C93" s="24">
        <f t="shared" si="5"/>
        <v>727.42857142857144</v>
      </c>
      <c r="D93" s="188">
        <v>18319</v>
      </c>
      <c r="E93" s="188">
        <v>13</v>
      </c>
      <c r="F93" s="24">
        <f t="shared" si="6"/>
        <v>11.285714285714286</v>
      </c>
      <c r="G93" s="188">
        <v>569</v>
      </c>
      <c r="H93" s="190">
        <f t="shared" si="11"/>
        <v>187</v>
      </c>
      <c r="I93" s="213">
        <v>5896</v>
      </c>
      <c r="J93" s="188">
        <v>288</v>
      </c>
      <c r="K93" s="24">
        <f t="shared" si="7"/>
        <v>263.42857142857144</v>
      </c>
      <c r="L93" s="190">
        <v>5148</v>
      </c>
      <c r="M93" s="24">
        <f t="shared" si="7"/>
        <v>4675.5714285714284</v>
      </c>
      <c r="N93" s="4">
        <v>172947</v>
      </c>
      <c r="O93" s="7">
        <v>879</v>
      </c>
      <c r="P93" s="7">
        <v>124692</v>
      </c>
      <c r="Q93" s="4">
        <v>125571</v>
      </c>
      <c r="R93" s="1">
        <v>974</v>
      </c>
      <c r="S93" s="4">
        <v>7854</v>
      </c>
      <c r="T93" s="4">
        <v>6596</v>
      </c>
      <c r="U93" s="13">
        <f t="shared" si="14"/>
        <v>2895</v>
      </c>
      <c r="V93" s="156">
        <f t="shared" si="10"/>
        <v>11854</v>
      </c>
      <c r="W93" s="53">
        <f t="shared" si="12"/>
        <v>2.4295596423148304E-2</v>
      </c>
      <c r="X93" s="43">
        <f t="shared" si="13"/>
        <v>3.1060647415251923E-2</v>
      </c>
      <c r="Y93" s="110"/>
      <c r="Z93" s="110">
        <f t="shared" si="9"/>
        <v>9.4818318641152421E-2</v>
      </c>
      <c r="AB93" s="110">
        <f t="shared" si="8"/>
        <v>0.15558067768645545</v>
      </c>
      <c r="AD93" s="110">
        <f t="shared" si="15"/>
        <v>0.41304088687567053</v>
      </c>
    </row>
    <row r="94" spans="1:30" x14ac:dyDescent="0.25">
      <c r="A94" s="2">
        <v>43985</v>
      </c>
      <c r="B94" s="188">
        <v>949</v>
      </c>
      <c r="C94" s="24">
        <f t="shared" si="5"/>
        <v>762.14285714285711</v>
      </c>
      <c r="D94" s="188">
        <v>19268</v>
      </c>
      <c r="E94" s="190">
        <v>14</v>
      </c>
      <c r="F94" s="24">
        <f t="shared" si="6"/>
        <v>11.857142857142858</v>
      </c>
      <c r="G94" s="190">
        <v>583</v>
      </c>
      <c r="H94" s="190">
        <f t="shared" si="11"/>
        <v>97</v>
      </c>
      <c r="I94" s="213">
        <v>5993</v>
      </c>
      <c r="J94" s="188">
        <v>293</v>
      </c>
      <c r="K94" s="24">
        <f t="shared" si="7"/>
        <v>269</v>
      </c>
      <c r="L94" s="190">
        <v>5501</v>
      </c>
      <c r="M94" s="24">
        <f t="shared" si="7"/>
        <v>4766.7142857142853</v>
      </c>
      <c r="N94" s="4">
        <v>178448</v>
      </c>
      <c r="O94" s="7">
        <v>902</v>
      </c>
      <c r="P94" s="7">
        <v>128031</v>
      </c>
      <c r="Q94" s="4">
        <v>128933</v>
      </c>
      <c r="R94" s="1">
        <v>977</v>
      </c>
      <c r="S94" s="1">
        <v>8217</v>
      </c>
      <c r="T94" s="1">
        <v>6941</v>
      </c>
      <c r="U94" s="13">
        <f t="shared" si="14"/>
        <v>3133</v>
      </c>
      <c r="V94" s="156">
        <f t="shared" si="10"/>
        <v>12692</v>
      </c>
      <c r="W94" s="53">
        <f t="shared" si="12"/>
        <v>2.3085408131106207E-2</v>
      </c>
      <c r="X94" s="43">
        <f t="shared" si="13"/>
        <v>3.0257421631720988E-2</v>
      </c>
      <c r="Y94" s="110"/>
      <c r="Z94" s="110">
        <f t="shared" si="9"/>
        <v>0.11797988264878456</v>
      </c>
      <c r="AB94" s="110">
        <f t="shared" si="8"/>
        <v>0.15988851260227172</v>
      </c>
      <c r="AD94" s="110">
        <f t="shared" si="15"/>
        <v>0.43965517241379315</v>
      </c>
    </row>
    <row r="95" spans="1:30" x14ac:dyDescent="0.25">
      <c r="A95" s="2">
        <v>43986</v>
      </c>
      <c r="B95" s="188">
        <v>929</v>
      </c>
      <c r="C95" s="24">
        <f t="shared" si="5"/>
        <v>785</v>
      </c>
      <c r="D95" s="190">
        <v>20197</v>
      </c>
      <c r="E95" s="190">
        <v>25</v>
      </c>
      <c r="F95" s="24">
        <f t="shared" si="6"/>
        <v>14.285714285714286</v>
      </c>
      <c r="G95" s="190">
        <v>608</v>
      </c>
      <c r="H95" s="190">
        <f t="shared" si="11"/>
        <v>95</v>
      </c>
      <c r="I95" s="213">
        <v>6088</v>
      </c>
      <c r="J95" s="188">
        <v>248</v>
      </c>
      <c r="K95" s="24">
        <f t="shared" si="7"/>
        <v>267.42857142857144</v>
      </c>
      <c r="L95" s="190">
        <v>5414</v>
      </c>
      <c r="M95" s="24">
        <f t="shared" si="7"/>
        <v>4768</v>
      </c>
      <c r="N95" s="4">
        <v>183862</v>
      </c>
      <c r="O95" s="7">
        <v>794</v>
      </c>
      <c r="P95" s="7">
        <v>131608</v>
      </c>
      <c r="Q95" s="4">
        <v>132402</v>
      </c>
      <c r="R95" s="1">
        <v>978</v>
      </c>
      <c r="S95" s="4">
        <v>8541</v>
      </c>
      <c r="T95" s="4">
        <v>7349</v>
      </c>
      <c r="U95" s="13">
        <f t="shared" si="14"/>
        <v>3329</v>
      </c>
      <c r="V95" s="156">
        <f t="shared" si="10"/>
        <v>13501</v>
      </c>
      <c r="W95" s="53">
        <f t="shared" si="12"/>
        <v>1.8369009702984964E-2</v>
      </c>
      <c r="X95" s="43">
        <f t="shared" si="13"/>
        <v>3.0103480714957668E-2</v>
      </c>
      <c r="Y95" s="110"/>
      <c r="Z95" s="110">
        <f t="shared" si="9"/>
        <v>0.1517501571997486</v>
      </c>
      <c r="AB95" s="110">
        <f t="shared" si="8"/>
        <v>0.16463926174496643</v>
      </c>
      <c r="AD95" s="110">
        <f t="shared" si="15"/>
        <v>0.43536040825005307</v>
      </c>
    </row>
    <row r="96" spans="1:30" x14ac:dyDescent="0.25">
      <c r="A96" s="2">
        <v>43987</v>
      </c>
      <c r="B96" s="188">
        <v>840</v>
      </c>
      <c r="C96" s="24">
        <f t="shared" si="5"/>
        <v>802.57142857142856</v>
      </c>
      <c r="D96" s="188">
        <v>21037</v>
      </c>
      <c r="E96" s="188">
        <v>24</v>
      </c>
      <c r="F96" s="24">
        <f t="shared" si="6"/>
        <v>16</v>
      </c>
      <c r="G96" s="190">
        <v>632</v>
      </c>
      <c r="H96" s="190">
        <f t="shared" si="11"/>
        <v>92</v>
      </c>
      <c r="I96" s="213">
        <v>6180</v>
      </c>
      <c r="J96" s="188">
        <v>249</v>
      </c>
      <c r="K96" s="24">
        <f t="shared" si="7"/>
        <v>268.14285714285717</v>
      </c>
      <c r="L96" s="190">
        <v>5416</v>
      </c>
      <c r="M96" s="24">
        <f t="shared" si="7"/>
        <v>4838.7142857142853</v>
      </c>
      <c r="N96" s="4">
        <v>189278</v>
      </c>
      <c r="O96" s="7">
        <v>812</v>
      </c>
      <c r="P96" s="7">
        <v>134642</v>
      </c>
      <c r="Q96" s="4">
        <v>135454</v>
      </c>
      <c r="R96" s="8">
        <v>980</v>
      </c>
      <c r="S96" s="8">
        <v>8883</v>
      </c>
      <c r="T96" s="8">
        <v>7770</v>
      </c>
      <c r="U96" s="13">
        <f>D96-T96-S96-R96</f>
        <v>3404</v>
      </c>
      <c r="V96" s="156">
        <f t="shared" si="10"/>
        <v>14225</v>
      </c>
      <c r="W96" s="53">
        <f t="shared" si="12"/>
        <v>1.750439367311072E-2</v>
      </c>
      <c r="X96" s="43">
        <f t="shared" si="13"/>
        <v>3.004230641251129E-2</v>
      </c>
      <c r="Y96" s="110"/>
      <c r="Z96" s="110">
        <f t="shared" si="9"/>
        <v>0.15549156725627311</v>
      </c>
      <c r="AB96" s="110">
        <f t="shared" si="8"/>
        <v>0.16586460393847244</v>
      </c>
      <c r="AD96" s="110">
        <f t="shared" si="15"/>
        <v>0.45167874272884978</v>
      </c>
    </row>
    <row r="97" spans="1:30" x14ac:dyDescent="0.25">
      <c r="A97" s="2">
        <v>43988</v>
      </c>
      <c r="B97" s="188">
        <v>983</v>
      </c>
      <c r="C97" s="24">
        <f t="shared" si="5"/>
        <v>829.42857142857144</v>
      </c>
      <c r="D97" s="188">
        <v>22020</v>
      </c>
      <c r="E97" s="190">
        <v>16</v>
      </c>
      <c r="F97" s="24">
        <f t="shared" si="6"/>
        <v>17.142857142857142</v>
      </c>
      <c r="G97" s="190">
        <v>648</v>
      </c>
      <c r="H97" s="190">
        <f t="shared" si="11"/>
        <v>729</v>
      </c>
      <c r="I97" s="213">
        <v>6909</v>
      </c>
      <c r="J97" s="188">
        <v>247</v>
      </c>
      <c r="K97" s="24">
        <f t="shared" si="7"/>
        <v>266.85714285714283</v>
      </c>
      <c r="L97" s="190">
        <v>4635</v>
      </c>
      <c r="M97" s="24">
        <f t="shared" si="7"/>
        <v>4834.7142857142853</v>
      </c>
      <c r="N97" s="4">
        <v>193923</v>
      </c>
      <c r="O97" s="7">
        <v>832</v>
      </c>
      <c r="P97" s="7">
        <v>137840</v>
      </c>
      <c r="Q97" s="4">
        <v>138672</v>
      </c>
      <c r="R97" s="4">
        <v>983</v>
      </c>
      <c r="S97" s="4">
        <v>9219</v>
      </c>
      <c r="T97" s="4">
        <v>8141</v>
      </c>
      <c r="U97" s="13">
        <f>D97-T97-S97-R97</f>
        <v>3677</v>
      </c>
      <c r="V97" s="156">
        <f t="shared" si="10"/>
        <v>14463</v>
      </c>
      <c r="W97" s="53">
        <f t="shared" si="12"/>
        <v>1.7078061259766301E-2</v>
      </c>
      <c r="X97" s="43">
        <f t="shared" si="13"/>
        <v>2.9427792915531336E-2</v>
      </c>
      <c r="Y97" s="110"/>
      <c r="Z97" s="110">
        <f t="shared" si="9"/>
        <v>0.2156616415410384</v>
      </c>
      <c r="AB97" s="110">
        <f t="shared" si="8"/>
        <v>0.17155689507431374</v>
      </c>
      <c r="AD97" s="110">
        <f t="shared" si="15"/>
        <v>0.3973913043478261</v>
      </c>
    </row>
    <row r="98" spans="1:30" x14ac:dyDescent="0.25">
      <c r="A98" s="2">
        <v>43989</v>
      </c>
      <c r="B98" s="188">
        <v>774</v>
      </c>
      <c r="C98" s="24">
        <f t="shared" si="5"/>
        <v>849</v>
      </c>
      <c r="D98" s="188">
        <v>22794</v>
      </c>
      <c r="E98" s="190">
        <v>15</v>
      </c>
      <c r="F98" s="24">
        <f t="shared" si="6"/>
        <v>17.714285714285715</v>
      </c>
      <c r="G98" s="190">
        <v>664</v>
      </c>
      <c r="H98" s="190">
        <f t="shared" si="11"/>
        <v>396</v>
      </c>
      <c r="I98" s="213">
        <v>7305</v>
      </c>
      <c r="J98" s="188">
        <v>235</v>
      </c>
      <c r="K98" s="24">
        <f t="shared" si="7"/>
        <v>261.57142857142856</v>
      </c>
      <c r="L98" s="190">
        <v>4607</v>
      </c>
      <c r="M98" s="24">
        <f t="shared" si="7"/>
        <v>4919.4285714285716</v>
      </c>
      <c r="N98" s="4">
        <v>198520</v>
      </c>
      <c r="O98" s="7">
        <v>847.49400000000605</v>
      </c>
      <c r="P98" s="7">
        <v>140401.50599999999</v>
      </c>
      <c r="Q98" s="4">
        <v>141249</v>
      </c>
      <c r="R98" s="4">
        <v>985</v>
      </c>
      <c r="S98" s="4">
        <v>9476</v>
      </c>
      <c r="T98" s="4">
        <v>8441</v>
      </c>
      <c r="U98" s="13">
        <f>D98-T98-S98-R98</f>
        <v>3892</v>
      </c>
      <c r="V98" s="156">
        <f t="shared" si="10"/>
        <v>14825</v>
      </c>
      <c r="W98" s="53">
        <f t="shared" si="12"/>
        <v>1.5851602023608771E-2</v>
      </c>
      <c r="X98" s="43">
        <f t="shared" si="13"/>
        <v>2.9130472931473195E-2</v>
      </c>
      <c r="Y98" s="110"/>
      <c r="Z98" s="110">
        <f t="shared" si="9"/>
        <v>0.24122807017543857</v>
      </c>
      <c r="AB98" s="110">
        <f t="shared" si="8"/>
        <v>0.17258101986293414</v>
      </c>
      <c r="AD98" s="110">
        <f t="shared" si="15"/>
        <v>0.37383004355481431</v>
      </c>
    </row>
    <row r="99" spans="1:30" x14ac:dyDescent="0.25">
      <c r="A99" s="2">
        <v>43990</v>
      </c>
      <c r="B99" s="191">
        <v>826</v>
      </c>
      <c r="C99" s="24">
        <f t="shared" si="5"/>
        <v>886.42857142857144</v>
      </c>
      <c r="D99" s="191">
        <v>23620</v>
      </c>
      <c r="E99" s="190">
        <v>29</v>
      </c>
      <c r="F99" s="24">
        <f t="shared" si="6"/>
        <v>19.428571428571427</v>
      </c>
      <c r="G99" s="190">
        <v>693</v>
      </c>
      <c r="H99" s="190">
        <f t="shared" si="11"/>
        <v>263</v>
      </c>
      <c r="I99" s="213">
        <v>7568</v>
      </c>
      <c r="J99" s="188">
        <v>265</v>
      </c>
      <c r="K99" s="24">
        <f t="shared" si="7"/>
        <v>260.71428571428572</v>
      </c>
      <c r="L99" s="190">
        <v>4531</v>
      </c>
      <c r="M99" s="24">
        <f t="shared" si="7"/>
        <v>5036</v>
      </c>
      <c r="N99" s="4">
        <v>203810</v>
      </c>
      <c r="O99" s="7">
        <v>866</v>
      </c>
      <c r="P99" s="7">
        <v>143482</v>
      </c>
      <c r="Q99" s="4">
        <v>144348</v>
      </c>
      <c r="R99" s="4">
        <v>986</v>
      </c>
      <c r="S99" s="4">
        <v>9822</v>
      </c>
      <c r="T99" s="4">
        <v>8919</v>
      </c>
      <c r="U99" s="13">
        <f>D99-T99-S99-R99</f>
        <v>3893</v>
      </c>
      <c r="V99" s="156">
        <f t="shared" si="10"/>
        <v>15359</v>
      </c>
      <c r="W99" s="53">
        <f t="shared" si="12"/>
        <v>1.7253727456214597E-2</v>
      </c>
      <c r="X99" s="43">
        <f t="shared" si="13"/>
        <v>2.9339542760372567E-2</v>
      </c>
      <c r="Y99" s="110"/>
      <c r="Z99" s="110">
        <f t="shared" si="9"/>
        <v>0.2185781618224667</v>
      </c>
      <c r="AB99" s="110">
        <f t="shared" si="8"/>
        <v>0.17601838193577668</v>
      </c>
      <c r="AD99" s="110">
        <f t="shared" si="15"/>
        <v>0.37748878923766815</v>
      </c>
    </row>
    <row r="100" spans="1:30" x14ac:dyDescent="0.25">
      <c r="A100" s="2">
        <v>43991</v>
      </c>
      <c r="B100" s="191">
        <v>1141</v>
      </c>
      <c r="C100" s="24">
        <f t="shared" si="5"/>
        <v>920.28571428571433</v>
      </c>
      <c r="D100" s="191">
        <v>24761</v>
      </c>
      <c r="E100" s="190">
        <v>24</v>
      </c>
      <c r="F100" s="24">
        <f t="shared" si="6"/>
        <v>21</v>
      </c>
      <c r="G100" s="193">
        <v>717</v>
      </c>
      <c r="H100" s="190">
        <f t="shared" si="11"/>
        <v>423</v>
      </c>
      <c r="I100" s="213">
        <v>7991</v>
      </c>
      <c r="J100" s="188">
        <v>263</v>
      </c>
      <c r="K100" s="24">
        <f t="shared" si="7"/>
        <v>257.14285714285717</v>
      </c>
      <c r="L100" s="190">
        <v>5468</v>
      </c>
      <c r="M100" s="24">
        <f t="shared" si="7"/>
        <v>5081.7142857142853</v>
      </c>
      <c r="N100" s="4">
        <v>208519</v>
      </c>
      <c r="O100" s="7">
        <v>739</v>
      </c>
      <c r="P100" s="7">
        <v>147178</v>
      </c>
      <c r="Q100" s="4">
        <v>147917</v>
      </c>
      <c r="R100" s="4">
        <v>992</v>
      </c>
      <c r="S100" s="4">
        <v>10260</v>
      </c>
      <c r="T100" s="4">
        <v>9406</v>
      </c>
      <c r="U100" s="13">
        <f>D100-T100-S100-R100</f>
        <v>4103</v>
      </c>
      <c r="V100" s="156">
        <f t="shared" si="10"/>
        <v>16053</v>
      </c>
      <c r="W100" s="53">
        <f t="shared" si="12"/>
        <v>1.6383230548807078E-2</v>
      </c>
      <c r="X100" s="43">
        <f t="shared" si="13"/>
        <v>2.8956827268688663E-2</v>
      </c>
      <c r="Y100" s="110"/>
      <c r="Z100" s="110">
        <f t="shared" si="9"/>
        <v>0.20749765698219313</v>
      </c>
      <c r="AB100" s="110">
        <f t="shared" si="8"/>
        <v>0.18109749240976047</v>
      </c>
      <c r="AD100" s="110">
        <f t="shared" si="15"/>
        <v>0.35422642146111016</v>
      </c>
    </row>
    <row r="101" spans="1:30" x14ac:dyDescent="0.25">
      <c r="A101" s="2">
        <v>43992</v>
      </c>
      <c r="B101" s="191">
        <v>1226</v>
      </c>
      <c r="C101" s="24">
        <f t="shared" ref="C101:C164" si="16">AVERAGE(B95:B101)</f>
        <v>959.85714285714289</v>
      </c>
      <c r="D101" s="190">
        <v>25987</v>
      </c>
      <c r="E101" s="190">
        <v>18</v>
      </c>
      <c r="F101" s="24">
        <f t="shared" ref="F101:F164" si="17">AVERAGE(E95:E101)</f>
        <v>21.571428571428573</v>
      </c>
      <c r="G101" s="193">
        <v>735</v>
      </c>
      <c r="H101" s="190">
        <f t="shared" si="11"/>
        <v>341</v>
      </c>
      <c r="I101" s="213">
        <v>8332</v>
      </c>
      <c r="J101" s="188">
        <v>325</v>
      </c>
      <c r="K101" s="24">
        <f t="shared" ref="K101:M120" si="18">AVERAGE(J95:J101)</f>
        <v>261.71428571428572</v>
      </c>
      <c r="L101" s="190">
        <v>6288</v>
      </c>
      <c r="M101" s="24">
        <f t="shared" si="18"/>
        <v>5194.1428571428569</v>
      </c>
      <c r="N101" s="4">
        <v>214807</v>
      </c>
      <c r="O101" s="7">
        <v>757</v>
      </c>
      <c r="P101" s="7">
        <v>150755</v>
      </c>
      <c r="Q101" s="4">
        <v>151512</v>
      </c>
      <c r="R101" s="4">
        <v>996</v>
      </c>
      <c r="S101" s="4">
        <v>10657</v>
      </c>
      <c r="T101" s="4">
        <v>9948</v>
      </c>
      <c r="U101" s="13">
        <f t="shared" ref="U101:U124" si="19">D101-T101-S101-R101</f>
        <v>4386</v>
      </c>
      <c r="V101" s="156">
        <f t="shared" si="10"/>
        <v>16920</v>
      </c>
      <c r="W101" s="53">
        <f t="shared" si="12"/>
        <v>1.9208037825059102E-2</v>
      </c>
      <c r="X101" s="43">
        <f t="shared" si="13"/>
        <v>2.8283372455458498E-2</v>
      </c>
      <c r="Y101" s="110"/>
      <c r="Z101" s="110">
        <f t="shared" si="9"/>
        <v>0.2227479526842584</v>
      </c>
      <c r="AB101" s="110">
        <f t="shared" si="8"/>
        <v>0.18479606149784097</v>
      </c>
      <c r="AD101" s="110">
        <f t="shared" si="15"/>
        <v>0.33312322722975107</v>
      </c>
    </row>
    <row r="102" spans="1:30" x14ac:dyDescent="0.25">
      <c r="A102" s="2">
        <v>43993</v>
      </c>
      <c r="B102" s="191">
        <v>1386</v>
      </c>
      <c r="C102" s="24">
        <f t="shared" si="16"/>
        <v>1025.1428571428571</v>
      </c>
      <c r="D102" s="190">
        <v>27373</v>
      </c>
      <c r="E102" s="190">
        <v>30</v>
      </c>
      <c r="F102" s="24">
        <f t="shared" si="17"/>
        <v>22.285714285714285</v>
      </c>
      <c r="G102" s="193">
        <v>765</v>
      </c>
      <c r="H102" s="190">
        <f t="shared" si="11"/>
        <v>411</v>
      </c>
      <c r="I102" s="213">
        <v>8743</v>
      </c>
      <c r="J102" s="188">
        <v>295</v>
      </c>
      <c r="K102" s="24">
        <f t="shared" si="18"/>
        <v>268.42857142857144</v>
      </c>
      <c r="L102" s="190">
        <v>6498</v>
      </c>
      <c r="M102" s="24">
        <f t="shared" si="18"/>
        <v>5349</v>
      </c>
      <c r="N102" s="4">
        <v>221305</v>
      </c>
      <c r="O102" s="7">
        <v>777</v>
      </c>
      <c r="P102" s="7">
        <v>154725</v>
      </c>
      <c r="Q102" s="4">
        <v>155502</v>
      </c>
      <c r="R102" s="4">
        <v>999</v>
      </c>
      <c r="S102" s="4">
        <v>11091</v>
      </c>
      <c r="T102" s="4">
        <v>10542</v>
      </c>
      <c r="U102" s="13">
        <f t="shared" si="19"/>
        <v>4741</v>
      </c>
      <c r="V102" s="156">
        <f t="shared" si="10"/>
        <v>17865</v>
      </c>
      <c r="W102" s="53">
        <f t="shared" si="12"/>
        <v>1.6512734396865379E-2</v>
      </c>
      <c r="X102" s="43">
        <f t="shared" si="13"/>
        <v>2.7947247287473057E-2</v>
      </c>
      <c r="Y102" s="110"/>
      <c r="Z102" s="110">
        <f t="shared" si="9"/>
        <v>0.27732289070843708</v>
      </c>
      <c r="AB102" s="110">
        <f t="shared" si="8"/>
        <v>0.1916513099911866</v>
      </c>
      <c r="AD102" s="110">
        <f t="shared" si="15"/>
        <v>0.32323531590252563</v>
      </c>
    </row>
    <row r="103" spans="1:30" x14ac:dyDescent="0.25">
      <c r="A103" s="2">
        <v>43994</v>
      </c>
      <c r="B103" s="191">
        <v>1391</v>
      </c>
      <c r="C103" s="24">
        <f t="shared" si="16"/>
        <v>1103.8571428571429</v>
      </c>
      <c r="D103" s="190">
        <v>28764</v>
      </c>
      <c r="E103" s="190">
        <v>20</v>
      </c>
      <c r="F103" s="24">
        <f t="shared" si="17"/>
        <v>21.714285714285715</v>
      </c>
      <c r="G103" s="193">
        <v>785</v>
      </c>
      <c r="H103" s="190">
        <f t="shared" si="11"/>
        <v>340</v>
      </c>
      <c r="I103" s="213">
        <v>9083</v>
      </c>
      <c r="J103" s="188">
        <v>280</v>
      </c>
      <c r="K103" s="24">
        <f t="shared" si="18"/>
        <v>272.85714285714283</v>
      </c>
      <c r="L103" s="190">
        <v>7019</v>
      </c>
      <c r="M103" s="24">
        <f t="shared" si="18"/>
        <v>5578</v>
      </c>
      <c r="N103" s="4">
        <v>228324</v>
      </c>
      <c r="O103" s="7">
        <v>797</v>
      </c>
      <c r="P103" s="25">
        <v>158691</v>
      </c>
      <c r="Q103" s="4">
        <v>159488</v>
      </c>
      <c r="R103" s="4">
        <v>1005</v>
      </c>
      <c r="S103" s="4">
        <v>11529</v>
      </c>
      <c r="T103" s="4">
        <v>11161</v>
      </c>
      <c r="U103" s="13">
        <f t="shared" si="19"/>
        <v>5069</v>
      </c>
      <c r="V103" s="156">
        <f t="shared" si="10"/>
        <v>18896</v>
      </c>
      <c r="W103" s="53">
        <f t="shared" si="12"/>
        <v>1.4817950889077053E-2</v>
      </c>
      <c r="X103" s="43">
        <f t="shared" si="13"/>
        <v>2.7291058267278543E-2</v>
      </c>
      <c r="Y103" s="110"/>
      <c r="Z103" s="110">
        <f t="shared" si="9"/>
        <v>0.33086462280399598</v>
      </c>
      <c r="AB103" s="110">
        <f t="shared" si="8"/>
        <v>0.19789479075961686</v>
      </c>
      <c r="AD103" s="110">
        <f t="shared" si="15"/>
        <v>0.32836555360281205</v>
      </c>
    </row>
    <row r="104" spans="1:30" x14ac:dyDescent="0.25">
      <c r="A104" s="2">
        <v>43995</v>
      </c>
      <c r="B104" s="192">
        <v>1531</v>
      </c>
      <c r="C104" s="24">
        <f t="shared" si="16"/>
        <v>1182.1428571428571</v>
      </c>
      <c r="D104" s="190">
        <v>30295</v>
      </c>
      <c r="E104" s="190">
        <v>30</v>
      </c>
      <c r="F104" s="24">
        <f t="shared" si="17"/>
        <v>23.714285714285715</v>
      </c>
      <c r="G104" s="190">
        <v>815</v>
      </c>
      <c r="H104" s="190">
        <f t="shared" si="11"/>
        <v>481</v>
      </c>
      <c r="I104" s="214">
        <v>9564</v>
      </c>
      <c r="J104" s="215">
        <v>293</v>
      </c>
      <c r="K104" s="24">
        <f t="shared" si="18"/>
        <v>279.42857142857144</v>
      </c>
      <c r="L104" s="190">
        <v>6046</v>
      </c>
      <c r="M104" s="24">
        <f t="shared" si="18"/>
        <v>5779.5714285714284</v>
      </c>
      <c r="N104" s="4">
        <v>234370</v>
      </c>
      <c r="O104" s="7">
        <v>815</v>
      </c>
      <c r="P104" s="25">
        <v>162346</v>
      </c>
      <c r="Q104" s="4">
        <v>163161</v>
      </c>
      <c r="R104" s="4">
        <v>1011</v>
      </c>
      <c r="S104" s="4">
        <v>11950</v>
      </c>
      <c r="T104" s="4">
        <v>11707</v>
      </c>
      <c r="U104" s="13">
        <f t="shared" si="19"/>
        <v>5627</v>
      </c>
      <c r="V104" s="156">
        <f t="shared" si="10"/>
        <v>19916</v>
      </c>
      <c r="W104" s="53">
        <f t="shared" si="12"/>
        <v>1.4711789515967062E-2</v>
      </c>
      <c r="X104" s="43">
        <f t="shared" si="13"/>
        <v>2.6902129064202012E-2</v>
      </c>
      <c r="Y104" s="110"/>
      <c r="Z104" s="110">
        <f t="shared" si="9"/>
        <v>0.39239441359582705</v>
      </c>
      <c r="AB104" s="110">
        <f t="shared" si="8"/>
        <v>0.20453815161776701</v>
      </c>
      <c r="AD104" s="110">
        <f t="shared" si="15"/>
        <v>0.37703104473484061</v>
      </c>
    </row>
    <row r="105" spans="1:30" x14ac:dyDescent="0.25">
      <c r="A105" s="2">
        <v>43996</v>
      </c>
      <c r="B105" s="191">
        <v>1282</v>
      </c>
      <c r="C105" s="24">
        <f t="shared" si="16"/>
        <v>1254.7142857142858</v>
      </c>
      <c r="D105" s="190">
        <v>31577</v>
      </c>
      <c r="E105" s="190">
        <v>18</v>
      </c>
      <c r="F105" s="24">
        <f t="shared" si="17"/>
        <v>24.142857142857142</v>
      </c>
      <c r="G105" s="190">
        <v>833</v>
      </c>
      <c r="H105" s="190">
        <f t="shared" si="11"/>
        <v>327</v>
      </c>
      <c r="I105" s="214">
        <v>9891</v>
      </c>
      <c r="J105" s="216">
        <v>316</v>
      </c>
      <c r="K105" s="24">
        <f t="shared" si="18"/>
        <v>291</v>
      </c>
      <c r="L105" s="190">
        <v>5571</v>
      </c>
      <c r="M105" s="24">
        <f t="shared" si="18"/>
        <v>5917.2857142857147</v>
      </c>
      <c r="N105" s="4">
        <v>239941</v>
      </c>
      <c r="O105" s="7">
        <v>832</v>
      </c>
      <c r="P105" s="7">
        <v>165611</v>
      </c>
      <c r="Q105" s="4">
        <v>166443</v>
      </c>
      <c r="R105" s="4">
        <v>1022</v>
      </c>
      <c r="S105" s="4">
        <v>12386</v>
      </c>
      <c r="T105" s="4">
        <v>12167</v>
      </c>
      <c r="U105" s="13">
        <f t="shared" si="19"/>
        <v>6002</v>
      </c>
      <c r="V105" s="156">
        <f t="shared" si="10"/>
        <v>20853</v>
      </c>
      <c r="W105" s="53">
        <f t="shared" si="12"/>
        <v>1.5153694912003069E-2</v>
      </c>
      <c r="X105" s="43">
        <f t="shared" si="13"/>
        <v>2.6379960097539349E-2</v>
      </c>
      <c r="Y105" s="110"/>
      <c r="Z105" s="110">
        <f t="shared" si="9"/>
        <v>0.4154713940370669</v>
      </c>
      <c r="AB105" s="110">
        <f t="shared" si="8"/>
        <v>0.21204220081601119</v>
      </c>
      <c r="AD105" s="110">
        <f t="shared" si="15"/>
        <v>0.40661045531197293</v>
      </c>
    </row>
    <row r="106" spans="1:30" x14ac:dyDescent="0.25">
      <c r="A106" s="2">
        <v>43997</v>
      </c>
      <c r="B106" s="191">
        <v>1208</v>
      </c>
      <c r="C106" s="24">
        <f t="shared" si="16"/>
        <v>1309.2857142857142</v>
      </c>
      <c r="D106" s="190">
        <v>32785</v>
      </c>
      <c r="E106" s="190">
        <v>21</v>
      </c>
      <c r="F106" s="24">
        <f t="shared" si="17"/>
        <v>23</v>
      </c>
      <c r="G106" s="190">
        <v>854</v>
      </c>
      <c r="H106" s="190">
        <f t="shared" si="11"/>
        <v>273</v>
      </c>
      <c r="I106" s="214">
        <v>10164</v>
      </c>
      <c r="J106" s="217">
        <v>324</v>
      </c>
      <c r="K106" s="24">
        <f t="shared" si="18"/>
        <v>299.42857142857144</v>
      </c>
      <c r="L106" s="190">
        <v>5118</v>
      </c>
      <c r="M106" s="24">
        <f t="shared" si="18"/>
        <v>6001.1428571428569</v>
      </c>
      <c r="N106" s="4">
        <v>245059</v>
      </c>
      <c r="O106" s="7">
        <v>847</v>
      </c>
      <c r="P106" s="7">
        <v>168596</v>
      </c>
      <c r="Q106" s="4">
        <v>169443</v>
      </c>
      <c r="R106" s="4">
        <v>1028</v>
      </c>
      <c r="S106" s="4">
        <v>12835</v>
      </c>
      <c r="T106" s="4">
        <v>12828</v>
      </c>
      <c r="U106" s="13">
        <f t="shared" si="19"/>
        <v>6094</v>
      </c>
      <c r="V106" s="156">
        <f t="shared" si="10"/>
        <v>21767</v>
      </c>
      <c r="W106" s="53">
        <f t="shared" si="12"/>
        <v>1.4884917535719208E-2</v>
      </c>
      <c r="X106" s="43">
        <f t="shared" si="13"/>
        <v>2.6048497788622844E-2</v>
      </c>
      <c r="Y106" s="110"/>
      <c r="Z106" s="110">
        <f t="shared" si="9"/>
        <v>0.42269481527475916</v>
      </c>
      <c r="AB106" s="110">
        <f t="shared" si="8"/>
        <v>0.21817272900399923</v>
      </c>
      <c r="AD106" s="110">
        <f t="shared" si="15"/>
        <v>0.4172146624129176</v>
      </c>
    </row>
    <row r="107" spans="1:30" x14ac:dyDescent="0.25">
      <c r="A107" s="2">
        <v>43998</v>
      </c>
      <c r="B107" s="191">
        <v>1374</v>
      </c>
      <c r="C107" s="24">
        <f t="shared" si="16"/>
        <v>1342.5714285714287</v>
      </c>
      <c r="D107" s="190">
        <v>34159</v>
      </c>
      <c r="E107" s="190">
        <v>24</v>
      </c>
      <c r="F107" s="24">
        <f t="shared" si="17"/>
        <v>23</v>
      </c>
      <c r="G107" s="193">
        <v>878</v>
      </c>
      <c r="H107" s="190">
        <f t="shared" si="11"/>
        <v>348</v>
      </c>
      <c r="I107" s="214">
        <v>10512</v>
      </c>
      <c r="J107" s="217">
        <v>345</v>
      </c>
      <c r="K107" s="24">
        <f t="shared" si="18"/>
        <v>311.14285714285717</v>
      </c>
      <c r="L107" s="193">
        <v>5556</v>
      </c>
      <c r="M107" s="24">
        <f t="shared" si="18"/>
        <v>6013.7142857142853</v>
      </c>
      <c r="N107" s="4">
        <v>250615</v>
      </c>
      <c r="O107" s="7">
        <v>863</v>
      </c>
      <c r="P107" s="7">
        <v>171855</v>
      </c>
      <c r="Q107" s="4">
        <v>172718</v>
      </c>
      <c r="R107" s="4">
        <v>1030</v>
      </c>
      <c r="S107" s="4">
        <v>13340</v>
      </c>
      <c r="T107" s="4">
        <v>13602</v>
      </c>
      <c r="U107" s="13">
        <f t="shared" si="19"/>
        <v>6187</v>
      </c>
      <c r="V107" s="156">
        <f t="shared" si="10"/>
        <v>22769</v>
      </c>
      <c r="W107" s="53">
        <f t="shared" si="12"/>
        <v>1.5152180596424964E-2</v>
      </c>
      <c r="X107" s="43">
        <f t="shared" si="13"/>
        <v>2.5703328551772594E-2</v>
      </c>
      <c r="Y107" s="110"/>
      <c r="Z107" s="110">
        <f t="shared" si="9"/>
        <v>0.398720047626135</v>
      </c>
      <c r="AB107" s="110">
        <f t="shared" si="8"/>
        <v>0.22325161535537819</v>
      </c>
      <c r="AD107" s="110">
        <f t="shared" si="15"/>
        <v>0.41836416869121029</v>
      </c>
    </row>
    <row r="108" spans="1:30" x14ac:dyDescent="0.25">
      <c r="A108" s="2">
        <v>43999</v>
      </c>
      <c r="B108" s="190">
        <v>1393</v>
      </c>
      <c r="C108" s="24">
        <f t="shared" si="16"/>
        <v>1366.4285714285713</v>
      </c>
      <c r="D108" s="190">
        <v>35552</v>
      </c>
      <c r="E108" s="190">
        <v>35</v>
      </c>
      <c r="F108" s="24">
        <f t="shared" si="17"/>
        <v>25.428571428571427</v>
      </c>
      <c r="G108" s="193">
        <v>913</v>
      </c>
      <c r="H108" s="190">
        <f t="shared" si="11"/>
        <v>209</v>
      </c>
      <c r="I108" s="214">
        <v>10721</v>
      </c>
      <c r="J108" s="217">
        <v>353</v>
      </c>
      <c r="K108" s="24">
        <f t="shared" si="18"/>
        <v>315.14285714285717</v>
      </c>
      <c r="L108" s="190">
        <v>6477</v>
      </c>
      <c r="M108" s="24">
        <f t="shared" si="18"/>
        <v>6040.7142857142853</v>
      </c>
      <c r="N108" s="4">
        <v>257092</v>
      </c>
      <c r="O108" s="7">
        <v>882</v>
      </c>
      <c r="P108" s="7">
        <v>175554</v>
      </c>
      <c r="Q108" s="4">
        <v>176436</v>
      </c>
      <c r="R108" s="4">
        <v>1036</v>
      </c>
      <c r="S108" s="4">
        <v>13805</v>
      </c>
      <c r="T108" s="4">
        <v>14433</v>
      </c>
      <c r="U108" s="13">
        <f t="shared" si="19"/>
        <v>6278</v>
      </c>
      <c r="V108" s="156">
        <f t="shared" si="10"/>
        <v>23918</v>
      </c>
      <c r="W108" s="53">
        <f t="shared" si="12"/>
        <v>1.4758759093569697E-2</v>
      </c>
      <c r="X108" s="43">
        <f t="shared" si="13"/>
        <v>2.5680693069306929E-2</v>
      </c>
      <c r="Y108" s="110"/>
      <c r="Z108" s="110">
        <f t="shared" si="9"/>
        <v>0.33291527313266434</v>
      </c>
      <c r="AB108" s="110">
        <f t="shared" si="8"/>
        <v>0.22620314532340074</v>
      </c>
      <c r="AD108" s="110">
        <f t="shared" si="15"/>
        <v>0.41359338061465722</v>
      </c>
    </row>
    <row r="109" spans="1:30" x14ac:dyDescent="0.25">
      <c r="A109" s="2">
        <v>44000</v>
      </c>
      <c r="B109" s="191">
        <v>1958</v>
      </c>
      <c r="C109" s="24">
        <f t="shared" si="16"/>
        <v>1448.1428571428571</v>
      </c>
      <c r="D109" s="190">
        <v>37510</v>
      </c>
      <c r="E109" s="190">
        <v>35</v>
      </c>
      <c r="F109" s="24">
        <f t="shared" si="17"/>
        <v>26.142857142857142</v>
      </c>
      <c r="G109" s="193">
        <v>948</v>
      </c>
      <c r="H109" s="190">
        <f t="shared" si="11"/>
        <v>1130</v>
      </c>
      <c r="I109" s="214">
        <v>11851</v>
      </c>
      <c r="J109" s="190">
        <v>364</v>
      </c>
      <c r="K109" s="24">
        <f t="shared" si="18"/>
        <v>325</v>
      </c>
      <c r="L109" s="190">
        <v>7512</v>
      </c>
      <c r="M109" s="24">
        <f t="shared" si="18"/>
        <v>6185.5714285714284</v>
      </c>
      <c r="N109" s="4">
        <v>264604</v>
      </c>
      <c r="O109" s="7">
        <v>906</v>
      </c>
      <c r="P109" s="7">
        <v>180447</v>
      </c>
      <c r="Q109" s="4">
        <v>181353</v>
      </c>
      <c r="R109" s="4">
        <v>1049</v>
      </c>
      <c r="S109" s="4">
        <v>14420</v>
      </c>
      <c r="T109" s="4">
        <v>15347</v>
      </c>
      <c r="U109" s="13">
        <f t="shared" si="19"/>
        <v>6694</v>
      </c>
      <c r="V109" s="156">
        <f t="shared" si="10"/>
        <v>24711</v>
      </c>
      <c r="W109" s="53">
        <f t="shared" si="12"/>
        <v>1.4730282060620777E-2</v>
      </c>
      <c r="X109" s="43">
        <f t="shared" si="13"/>
        <v>2.5273260463876301E-2</v>
      </c>
      <c r="Y109" s="110"/>
      <c r="Z109" s="110">
        <f t="shared" si="9"/>
        <v>0.31189336094215081</v>
      </c>
      <c r="AB109" s="110">
        <f t="shared" si="8"/>
        <v>0.2341162613455276</v>
      </c>
      <c r="AD109" s="110">
        <f t="shared" si="15"/>
        <v>0.38320738874895044</v>
      </c>
    </row>
    <row r="110" spans="1:30" x14ac:dyDescent="0.25">
      <c r="A110" s="2">
        <v>44001</v>
      </c>
      <c r="B110" s="191">
        <v>2060</v>
      </c>
      <c r="C110" s="24">
        <f t="shared" si="16"/>
        <v>1543.7142857142858</v>
      </c>
      <c r="D110" s="190">
        <v>39570</v>
      </c>
      <c r="E110" s="190">
        <v>31</v>
      </c>
      <c r="F110" s="24">
        <f t="shared" si="17"/>
        <v>27.714285714285715</v>
      </c>
      <c r="G110" s="193">
        <v>979</v>
      </c>
      <c r="H110" s="190">
        <f t="shared" si="11"/>
        <v>355</v>
      </c>
      <c r="I110" s="214">
        <v>12206</v>
      </c>
      <c r="J110" s="190">
        <v>364</v>
      </c>
      <c r="K110" s="24">
        <f t="shared" si="18"/>
        <v>337</v>
      </c>
      <c r="L110" s="190">
        <v>8625</v>
      </c>
      <c r="M110" s="24">
        <f t="shared" si="18"/>
        <v>6415</v>
      </c>
      <c r="N110" s="4">
        <v>273229</v>
      </c>
      <c r="O110" s="7">
        <v>931</v>
      </c>
      <c r="P110" s="7">
        <v>185302</v>
      </c>
      <c r="Q110" s="4">
        <v>186233</v>
      </c>
      <c r="R110" s="4">
        <v>1044</v>
      </c>
      <c r="S110" s="4">
        <v>15003</v>
      </c>
      <c r="T110" s="4">
        <v>16383</v>
      </c>
      <c r="U110" s="13">
        <f t="shared" si="19"/>
        <v>7140</v>
      </c>
      <c r="V110" s="156">
        <f t="shared" si="10"/>
        <v>26385</v>
      </c>
      <c r="W110" s="53">
        <f t="shared" si="12"/>
        <v>1.3795717263596741E-2</v>
      </c>
      <c r="X110" s="43">
        <f t="shared" si="13"/>
        <v>2.4740965377811473E-2</v>
      </c>
      <c r="Y110" s="110"/>
      <c r="Z110" s="110">
        <f t="shared" si="9"/>
        <v>0.30586102719033237</v>
      </c>
      <c r="AB110" s="110">
        <f t="shared" si="8"/>
        <v>0.24064135396949116</v>
      </c>
      <c r="AD110" s="110">
        <f t="shared" si="15"/>
        <v>0.39632726502963589</v>
      </c>
    </row>
    <row r="111" spans="1:30" x14ac:dyDescent="0.25">
      <c r="A111" s="2">
        <v>44002</v>
      </c>
      <c r="B111" s="191">
        <v>1634</v>
      </c>
      <c r="C111" s="24">
        <f t="shared" si="16"/>
        <v>1558.4285714285713</v>
      </c>
      <c r="D111" s="193">
        <v>41204</v>
      </c>
      <c r="E111" s="193">
        <v>12</v>
      </c>
      <c r="F111" s="24">
        <f t="shared" si="17"/>
        <v>25.142857142857142</v>
      </c>
      <c r="G111" s="193">
        <v>991</v>
      </c>
      <c r="H111" s="190">
        <f t="shared" si="11"/>
        <v>522</v>
      </c>
      <c r="I111" s="214">
        <v>12728</v>
      </c>
      <c r="J111" s="190">
        <v>381</v>
      </c>
      <c r="K111" s="24">
        <f t="shared" si="18"/>
        <v>349.57142857142856</v>
      </c>
      <c r="L111" s="190">
        <v>6443</v>
      </c>
      <c r="M111" s="24">
        <f t="shared" si="18"/>
        <v>6471.7142857142853</v>
      </c>
      <c r="N111" s="4">
        <v>279672</v>
      </c>
      <c r="O111" s="7">
        <v>950</v>
      </c>
      <c r="P111" s="7">
        <v>188951</v>
      </c>
      <c r="Q111" s="4">
        <v>189901</v>
      </c>
      <c r="R111" s="4">
        <v>1046</v>
      </c>
      <c r="S111" s="4">
        <v>15528</v>
      </c>
      <c r="T111" s="4">
        <v>17095</v>
      </c>
      <c r="U111" s="13">
        <f t="shared" si="19"/>
        <v>7535</v>
      </c>
      <c r="V111" s="156">
        <f t="shared" si="10"/>
        <v>27485</v>
      </c>
      <c r="W111" s="53">
        <f t="shared" si="12"/>
        <v>1.3862106603601964E-2</v>
      </c>
      <c r="X111" s="43">
        <f t="shared" si="13"/>
        <v>2.4051063003591885E-2</v>
      </c>
      <c r="Y111" s="110"/>
      <c r="Z111" s="110">
        <f t="shared" si="9"/>
        <v>0.24205852214505286</v>
      </c>
      <c r="AB111" s="110">
        <f t="shared" si="8"/>
        <v>0.24080614542404308</v>
      </c>
      <c r="AD111" s="110">
        <f t="shared" si="15"/>
        <v>0.3800461940148625</v>
      </c>
    </row>
    <row r="112" spans="1:30" x14ac:dyDescent="0.25">
      <c r="A112" s="2">
        <v>44003</v>
      </c>
      <c r="B112" s="191">
        <v>1581</v>
      </c>
      <c r="C112" s="24">
        <f t="shared" si="16"/>
        <v>1601.1428571428571</v>
      </c>
      <c r="D112" s="190">
        <v>42785</v>
      </c>
      <c r="E112" s="193">
        <v>19</v>
      </c>
      <c r="F112" s="24">
        <f t="shared" si="17"/>
        <v>25.285714285714285</v>
      </c>
      <c r="G112" s="190">
        <v>1011</v>
      </c>
      <c r="H112" s="190">
        <f t="shared" si="11"/>
        <v>425</v>
      </c>
      <c r="I112" s="218">
        <v>13153</v>
      </c>
      <c r="J112" s="190">
        <v>397</v>
      </c>
      <c r="K112" s="24">
        <f t="shared" si="18"/>
        <v>361.14285714285717</v>
      </c>
      <c r="L112" s="190">
        <v>5719</v>
      </c>
      <c r="M112" s="24">
        <f t="shared" si="18"/>
        <v>6492.8571428571431</v>
      </c>
      <c r="N112" s="7">
        <v>285391</v>
      </c>
      <c r="O112" s="7">
        <v>773.26800000001094</v>
      </c>
      <c r="P112" s="7">
        <v>192543.73199999999</v>
      </c>
      <c r="Q112" s="4">
        <v>193317</v>
      </c>
      <c r="R112" s="4">
        <v>1047</v>
      </c>
      <c r="S112" s="4">
        <v>16101</v>
      </c>
      <c r="T112" s="4">
        <v>17750</v>
      </c>
      <c r="U112" s="13">
        <f t="shared" si="19"/>
        <v>7887</v>
      </c>
      <c r="V112" s="156">
        <f t="shared" si="10"/>
        <v>28621</v>
      </c>
      <c r="W112" s="53">
        <f t="shared" si="12"/>
        <v>1.3870933929632089E-2</v>
      </c>
      <c r="X112" s="43">
        <f t="shared" si="13"/>
        <v>2.3629776790931402E-2</v>
      </c>
      <c r="Y112" s="259">
        <f t="shared" ref="Y112:Y175" si="20">J112/V112</f>
        <v>1.3870933929632089E-2</v>
      </c>
      <c r="Z112" s="110">
        <f t="shared" si="9"/>
        <v>0.2229132569558101</v>
      </c>
      <c r="AB112" s="110">
        <f t="shared" si="8"/>
        <v>0.24660066006600659</v>
      </c>
      <c r="AD112" s="110">
        <f t="shared" si="15"/>
        <v>0.37251234834316405</v>
      </c>
    </row>
    <row r="113" spans="1:30" x14ac:dyDescent="0.25">
      <c r="A113" s="2">
        <v>44004</v>
      </c>
      <c r="B113" s="191">
        <v>2146</v>
      </c>
      <c r="C113" s="24">
        <f t="shared" si="16"/>
        <v>1735.1428571428571</v>
      </c>
      <c r="D113" s="193">
        <v>44931</v>
      </c>
      <c r="E113" s="190">
        <v>32</v>
      </c>
      <c r="F113" s="24">
        <f t="shared" si="17"/>
        <v>26.857142857142858</v>
      </c>
      <c r="G113" s="190">
        <f>G112+E113</f>
        <v>1043</v>
      </c>
      <c r="H113" s="190">
        <f t="shared" si="11"/>
        <v>423</v>
      </c>
      <c r="I113" s="218">
        <v>13576</v>
      </c>
      <c r="J113" s="190">
        <v>414</v>
      </c>
      <c r="K113" s="24">
        <f t="shared" si="18"/>
        <v>374</v>
      </c>
      <c r="L113" s="190">
        <v>7120</v>
      </c>
      <c r="M113" s="24">
        <f t="shared" si="18"/>
        <v>6778.8571428571431</v>
      </c>
      <c r="N113" s="7">
        <v>292511</v>
      </c>
      <c r="O113" s="15">
        <v>790</v>
      </c>
      <c r="P113" s="15">
        <v>196839</v>
      </c>
      <c r="Q113" s="4">
        <v>197629</v>
      </c>
      <c r="R113" s="13">
        <v>1050</v>
      </c>
      <c r="S113" s="13">
        <v>16924</v>
      </c>
      <c r="T113" s="13">
        <v>18537</v>
      </c>
      <c r="U113" s="13">
        <f t="shared" si="19"/>
        <v>8420</v>
      </c>
      <c r="V113" s="156">
        <f t="shared" si="10"/>
        <v>30312</v>
      </c>
      <c r="W113" s="53">
        <f t="shared" si="12"/>
        <v>1.3657957244655582E-2</v>
      </c>
      <c r="X113" s="43">
        <f t="shared" si="13"/>
        <v>2.3213371614252964E-2</v>
      </c>
      <c r="Y113" s="259">
        <f t="shared" si="20"/>
        <v>1.3657957244655582E-2</v>
      </c>
      <c r="Z113" s="110">
        <f t="shared" si="9"/>
        <v>0.29240263885933171</v>
      </c>
      <c r="AB113" s="110">
        <f t="shared" si="8"/>
        <v>0.2559639214363989</v>
      </c>
      <c r="AD113" s="110">
        <f t="shared" si="15"/>
        <v>0.39256672945284143</v>
      </c>
    </row>
    <row r="114" spans="1:30" x14ac:dyDescent="0.25">
      <c r="A114" s="2">
        <v>44005</v>
      </c>
      <c r="B114" s="190">
        <v>2285</v>
      </c>
      <c r="C114" s="24">
        <f t="shared" si="16"/>
        <v>1865.2857142857142</v>
      </c>
      <c r="D114" s="190">
        <f>D113+B114</f>
        <v>47216</v>
      </c>
      <c r="E114" s="190">
        <v>35</v>
      </c>
      <c r="F114" s="24">
        <f t="shared" si="17"/>
        <v>28.428571428571427</v>
      </c>
      <c r="G114" s="190">
        <f>G113+E114</f>
        <v>1078</v>
      </c>
      <c r="H114" s="190">
        <f t="shared" si="11"/>
        <v>240</v>
      </c>
      <c r="I114" s="218">
        <v>13816</v>
      </c>
      <c r="J114" s="190">
        <v>433</v>
      </c>
      <c r="K114" s="24">
        <f t="shared" si="18"/>
        <v>386.57142857142856</v>
      </c>
      <c r="L114" s="190">
        <v>7832</v>
      </c>
      <c r="M114" s="24">
        <f t="shared" si="18"/>
        <v>7104</v>
      </c>
      <c r="N114" s="13">
        <v>300343</v>
      </c>
      <c r="O114" s="15">
        <v>812</v>
      </c>
      <c r="P114" s="48">
        <v>202380</v>
      </c>
      <c r="Q114" s="13">
        <v>203192</v>
      </c>
      <c r="R114" s="4">
        <v>1052</v>
      </c>
      <c r="S114" s="13">
        <v>17655</v>
      </c>
      <c r="T114" s="13">
        <v>19603</v>
      </c>
      <c r="U114" s="13">
        <f t="shared" si="19"/>
        <v>8906</v>
      </c>
      <c r="V114" s="156">
        <f t="shared" si="10"/>
        <v>32322</v>
      </c>
      <c r="W114" s="53">
        <f t="shared" si="12"/>
        <v>1.3396448239589135E-2</v>
      </c>
      <c r="X114" s="43">
        <f t="shared" si="13"/>
        <v>2.2831243646221619E-2</v>
      </c>
      <c r="Y114" s="259">
        <f t="shared" si="20"/>
        <v>1.3396448239589135E-2</v>
      </c>
      <c r="Z114" s="110">
        <f t="shared" si="9"/>
        <v>0.36508102456874014</v>
      </c>
      <c r="AB114" s="110">
        <f t="shared" si="8"/>
        <v>0.26256837194337196</v>
      </c>
      <c r="AD114" s="110">
        <f t="shared" si="15"/>
        <v>0.41956168474680489</v>
      </c>
    </row>
    <row r="115" spans="1:30" x14ac:dyDescent="0.25">
      <c r="A115" s="2">
        <v>44006</v>
      </c>
      <c r="B115" s="191">
        <v>2635</v>
      </c>
      <c r="C115" s="24">
        <f t="shared" si="16"/>
        <v>2042.7142857142858</v>
      </c>
      <c r="D115" s="190">
        <v>49851</v>
      </c>
      <c r="E115" s="190">
        <v>38</v>
      </c>
      <c r="F115" s="24">
        <f t="shared" si="17"/>
        <v>28.857142857142858</v>
      </c>
      <c r="G115" s="190">
        <v>1116</v>
      </c>
      <c r="H115" s="190">
        <f t="shared" si="11"/>
        <v>972</v>
      </c>
      <c r="I115" s="218">
        <v>14788</v>
      </c>
      <c r="J115" s="190">
        <v>457</v>
      </c>
      <c r="K115" s="24">
        <f t="shared" si="18"/>
        <v>401.42857142857144</v>
      </c>
      <c r="L115" s="190">
        <v>9258</v>
      </c>
      <c r="M115" s="24">
        <f t="shared" si="18"/>
        <v>7501.2857142857147</v>
      </c>
      <c r="N115" s="4">
        <v>309601</v>
      </c>
      <c r="O115" s="15">
        <v>832.92800000001444</v>
      </c>
      <c r="P115" s="15">
        <v>207399.07199999999</v>
      </c>
      <c r="Q115" s="1">
        <v>208232</v>
      </c>
      <c r="R115" s="1">
        <v>1060</v>
      </c>
      <c r="S115" s="1">
        <v>18460</v>
      </c>
      <c r="T115" s="1">
        <v>20816</v>
      </c>
      <c r="U115" s="13">
        <f t="shared" si="19"/>
        <v>9515</v>
      </c>
      <c r="V115" s="156">
        <f t="shared" si="10"/>
        <v>33947</v>
      </c>
      <c r="W115" s="53">
        <f t="shared" si="12"/>
        <v>1.3462161604854627E-2</v>
      </c>
      <c r="X115" s="43">
        <f t="shared" si="13"/>
        <v>2.2386712402960824E-2</v>
      </c>
      <c r="Y115" s="259">
        <f t="shared" si="20"/>
        <v>1.3462161604854627E-2</v>
      </c>
      <c r="Z115" s="110">
        <f t="shared" si="9"/>
        <v>0.41057512084443126</v>
      </c>
      <c r="AB115" s="110">
        <f t="shared" si="8"/>
        <v>0.2723152221523929</v>
      </c>
      <c r="AD115" s="110">
        <f t="shared" si="15"/>
        <v>0.41930763441759344</v>
      </c>
    </row>
    <row r="116" spans="1:30" x14ac:dyDescent="0.25">
      <c r="A116" s="2">
        <v>44007</v>
      </c>
      <c r="B116" s="190">
        <v>2606</v>
      </c>
      <c r="C116" s="24">
        <f t="shared" si="16"/>
        <v>2135.2857142857142</v>
      </c>
      <c r="D116" s="193">
        <v>52457</v>
      </c>
      <c r="E116" s="190">
        <v>34</v>
      </c>
      <c r="F116" s="24">
        <f t="shared" si="17"/>
        <v>28.714285714285715</v>
      </c>
      <c r="G116" s="190">
        <v>1150</v>
      </c>
      <c r="H116" s="190">
        <f t="shared" si="11"/>
        <v>3628</v>
      </c>
      <c r="I116" s="218">
        <v>18416</v>
      </c>
      <c r="J116" s="190">
        <v>472</v>
      </c>
      <c r="K116" s="24">
        <f t="shared" si="18"/>
        <v>416.85714285714283</v>
      </c>
      <c r="L116" s="190">
        <v>9120</v>
      </c>
      <c r="M116" s="24">
        <f t="shared" si="18"/>
        <v>7731</v>
      </c>
      <c r="N116" s="4">
        <v>318721</v>
      </c>
      <c r="O116" s="7">
        <v>852</v>
      </c>
      <c r="P116" s="7">
        <v>212323</v>
      </c>
      <c r="Q116" s="4">
        <v>213175</v>
      </c>
      <c r="R116" s="4">
        <v>1061</v>
      </c>
      <c r="S116" s="4">
        <v>19202</v>
      </c>
      <c r="T116" s="4">
        <v>22078</v>
      </c>
      <c r="U116" s="13">
        <f t="shared" si="19"/>
        <v>10116</v>
      </c>
      <c r="V116" s="156">
        <f t="shared" si="10"/>
        <v>32891</v>
      </c>
      <c r="W116" s="53">
        <f t="shared" si="12"/>
        <v>1.4350430208871728E-2</v>
      </c>
      <c r="X116" s="43">
        <f t="shared" si="13"/>
        <v>2.1922717654459842E-2</v>
      </c>
      <c r="Y116" s="259">
        <f t="shared" si="20"/>
        <v>1.4350430208871728E-2</v>
      </c>
      <c r="Z116" s="110">
        <f t="shared" si="9"/>
        <v>0.38321302979826011</v>
      </c>
      <c r="AB116" s="110">
        <f t="shared" si="8"/>
        <v>0.27619786758319936</v>
      </c>
      <c r="AD116" s="110">
        <f t="shared" si="15"/>
        <v>0.33102666828537908</v>
      </c>
    </row>
    <row r="117" spans="1:30" x14ac:dyDescent="0.25">
      <c r="A117" s="2">
        <v>44008</v>
      </c>
      <c r="B117" s="191">
        <v>2886</v>
      </c>
      <c r="C117" s="24">
        <f t="shared" si="16"/>
        <v>2253.2857142857142</v>
      </c>
      <c r="D117" s="190">
        <v>55343</v>
      </c>
      <c r="E117" s="193">
        <v>34</v>
      </c>
      <c r="F117" s="24">
        <f t="shared" si="17"/>
        <v>29.142857142857142</v>
      </c>
      <c r="G117" s="193">
        <v>1184</v>
      </c>
      <c r="H117" s="190">
        <f t="shared" si="11"/>
        <v>727</v>
      </c>
      <c r="I117" s="218">
        <v>19143</v>
      </c>
      <c r="J117" s="190">
        <v>507</v>
      </c>
      <c r="K117" s="24">
        <f t="shared" si="18"/>
        <v>437.28571428571428</v>
      </c>
      <c r="L117" s="190">
        <v>10315</v>
      </c>
      <c r="M117" s="24">
        <f t="shared" si="18"/>
        <v>7972.4285714285716</v>
      </c>
      <c r="N117" s="4">
        <v>329036</v>
      </c>
      <c r="O117" s="7">
        <v>874</v>
      </c>
      <c r="P117" s="7">
        <v>217766</v>
      </c>
      <c r="Q117" s="4">
        <v>218640</v>
      </c>
      <c r="R117" s="4">
        <v>1061</v>
      </c>
      <c r="S117" s="4">
        <v>20095</v>
      </c>
      <c r="T117" s="4">
        <v>23464</v>
      </c>
      <c r="U117" s="13">
        <f t="shared" si="19"/>
        <v>10723</v>
      </c>
      <c r="V117" s="156">
        <f t="shared" si="10"/>
        <v>35016</v>
      </c>
      <c r="W117" s="53">
        <f t="shared" si="12"/>
        <v>1.4479095270733379E-2</v>
      </c>
      <c r="X117" s="43">
        <f t="shared" si="13"/>
        <v>2.1393852881123176E-2</v>
      </c>
      <c r="Y117" s="259">
        <f t="shared" si="20"/>
        <v>1.4479095270733379E-2</v>
      </c>
      <c r="Z117" s="110">
        <f t="shared" si="9"/>
        <v>0.44587038225318554</v>
      </c>
      <c r="AB117" s="110">
        <f t="shared" si="8"/>
        <v>0.28263479491820021</v>
      </c>
      <c r="AD117" s="110">
        <f t="shared" si="15"/>
        <v>0.32711768050028422</v>
      </c>
    </row>
    <row r="118" spans="1:30" x14ac:dyDescent="0.25">
      <c r="A118" s="2">
        <v>44009</v>
      </c>
      <c r="B118" s="193">
        <v>2401</v>
      </c>
      <c r="C118" s="24">
        <f t="shared" si="16"/>
        <v>2362.8571428571427</v>
      </c>
      <c r="D118" s="190">
        <v>57744</v>
      </c>
      <c r="E118" s="190">
        <v>23</v>
      </c>
      <c r="F118" s="24">
        <f t="shared" si="17"/>
        <v>30.714285714285715</v>
      </c>
      <c r="G118" s="193">
        <v>1207</v>
      </c>
      <c r="H118" s="190">
        <f t="shared" si="11"/>
        <v>991</v>
      </c>
      <c r="I118" s="218">
        <v>20134</v>
      </c>
      <c r="J118" s="190">
        <v>542</v>
      </c>
      <c r="K118" s="24">
        <f t="shared" si="18"/>
        <v>460.28571428571428</v>
      </c>
      <c r="L118" s="190">
        <v>7915</v>
      </c>
      <c r="M118" s="24">
        <f t="shared" si="18"/>
        <v>8182.7142857142853</v>
      </c>
      <c r="N118" s="4">
        <v>336951</v>
      </c>
      <c r="O118" s="7">
        <v>892.88399999999092</v>
      </c>
      <c r="P118" s="7">
        <v>222328.11600000001</v>
      </c>
      <c r="Q118" s="4">
        <v>223221</v>
      </c>
      <c r="R118" s="4">
        <v>1062</v>
      </c>
      <c r="S118" s="4">
        <v>20807</v>
      </c>
      <c r="T118" s="4">
        <v>24743</v>
      </c>
      <c r="U118" s="13">
        <f t="shared" si="19"/>
        <v>11132</v>
      </c>
      <c r="V118" s="156">
        <f t="shared" si="10"/>
        <v>36403</v>
      </c>
      <c r="W118" s="53">
        <f t="shared" si="12"/>
        <v>1.4888882784385903E-2</v>
      </c>
      <c r="X118" s="43">
        <f t="shared" si="13"/>
        <v>2.090260459961208E-2</v>
      </c>
      <c r="Y118" s="259">
        <f t="shared" si="20"/>
        <v>1.4888882784385903E-2</v>
      </c>
      <c r="Z118" s="110">
        <f t="shared" si="9"/>
        <v>0.47573162027123472</v>
      </c>
      <c r="AB118" s="110">
        <f t="shared" si="8"/>
        <v>0.28876202447668431</v>
      </c>
      <c r="AD118" s="110">
        <f t="shared" si="15"/>
        <v>0.32446789157722389</v>
      </c>
    </row>
    <row r="119" spans="1:30" x14ac:dyDescent="0.25">
      <c r="A119" s="2">
        <v>44010</v>
      </c>
      <c r="B119" s="191">
        <v>2189</v>
      </c>
      <c r="C119" s="24">
        <f t="shared" si="16"/>
        <v>2449.7142857142858</v>
      </c>
      <c r="D119" s="190">
        <f>D118+B119</f>
        <v>59933</v>
      </c>
      <c r="E119" s="190">
        <v>26</v>
      </c>
      <c r="F119" s="24">
        <f t="shared" si="17"/>
        <v>31.714285714285715</v>
      </c>
      <c r="G119" s="190">
        <f>G118+E119</f>
        <v>1233</v>
      </c>
      <c r="H119" s="190">
        <f t="shared" si="11"/>
        <v>1004</v>
      </c>
      <c r="I119" s="218">
        <v>21138</v>
      </c>
      <c r="J119" s="190">
        <v>535</v>
      </c>
      <c r="K119" s="24">
        <f t="shared" si="18"/>
        <v>480</v>
      </c>
      <c r="L119" s="190">
        <v>7458</v>
      </c>
      <c r="M119" s="24">
        <f t="shared" si="18"/>
        <v>8431.1428571428569</v>
      </c>
      <c r="N119" s="4">
        <v>344409</v>
      </c>
      <c r="O119" s="7">
        <v>908</v>
      </c>
      <c r="P119" s="7">
        <v>226138</v>
      </c>
      <c r="Q119" s="4">
        <v>227046</v>
      </c>
      <c r="R119" s="4">
        <v>1063</v>
      </c>
      <c r="S119" s="4">
        <v>21599</v>
      </c>
      <c r="T119" s="4">
        <v>25600</v>
      </c>
      <c r="U119" s="13">
        <f t="shared" si="19"/>
        <v>11671</v>
      </c>
      <c r="V119" s="156">
        <f t="shared" si="10"/>
        <v>37562</v>
      </c>
      <c r="W119" s="53">
        <f t="shared" si="12"/>
        <v>1.4243118044832543E-2</v>
      </c>
      <c r="X119" s="43">
        <f t="shared" si="13"/>
        <v>2.057297315335458E-2</v>
      </c>
      <c r="Y119" s="259">
        <f t="shared" si="20"/>
        <v>1.4243118044832543E-2</v>
      </c>
      <c r="Z119" s="110">
        <f t="shared" si="9"/>
        <v>0.41182282232833867</v>
      </c>
      <c r="AB119" s="110">
        <f t="shared" si="8"/>
        <v>0.29055542376901961</v>
      </c>
      <c r="AD119" s="110">
        <f t="shared" si="15"/>
        <v>0.31239299814821275</v>
      </c>
    </row>
    <row r="120" spans="1:30" x14ac:dyDescent="0.25">
      <c r="A120" s="54">
        <v>44011</v>
      </c>
      <c r="B120" s="193">
        <v>2335</v>
      </c>
      <c r="C120" s="24">
        <f t="shared" si="16"/>
        <v>2476.7142857142858</v>
      </c>
      <c r="D120" s="190">
        <f>D119+B120</f>
        <v>62268</v>
      </c>
      <c r="E120" s="190">
        <v>48</v>
      </c>
      <c r="F120" s="24">
        <f t="shared" si="17"/>
        <v>34</v>
      </c>
      <c r="G120" s="190">
        <f>G119+E120</f>
        <v>1281</v>
      </c>
      <c r="H120" s="190">
        <f t="shared" si="11"/>
        <v>890</v>
      </c>
      <c r="I120" s="218">
        <v>22028</v>
      </c>
      <c r="J120" s="190">
        <v>555</v>
      </c>
      <c r="K120" s="24">
        <f t="shared" si="18"/>
        <v>500.14285714285717</v>
      </c>
      <c r="L120" s="190">
        <v>7933</v>
      </c>
      <c r="M120" s="24">
        <f t="shared" si="18"/>
        <v>8547.2857142857138</v>
      </c>
      <c r="N120" s="4">
        <v>350402</v>
      </c>
      <c r="O120" s="7">
        <v>928</v>
      </c>
      <c r="P120" s="7">
        <f>Q120-O120</f>
        <v>231088</v>
      </c>
      <c r="Q120" s="4">
        <v>232016</v>
      </c>
      <c r="R120" s="4">
        <v>1064</v>
      </c>
      <c r="S120" s="4">
        <v>22481</v>
      </c>
      <c r="T120" s="4">
        <v>27136</v>
      </c>
      <c r="U120" s="13">
        <f t="shared" si="19"/>
        <v>11587</v>
      </c>
      <c r="V120" s="156">
        <f t="shared" si="10"/>
        <v>38959</v>
      </c>
      <c r="W120" s="53">
        <f t="shared" si="12"/>
        <v>1.4245745527349264E-2</v>
      </c>
      <c r="X120" s="43">
        <f t="shared" si="13"/>
        <v>2.0572364617460013E-2</v>
      </c>
      <c r="Y120" s="259">
        <f t="shared" si="20"/>
        <v>1.4245745527349264E-2</v>
      </c>
      <c r="Z120" s="110">
        <f t="shared" si="9"/>
        <v>0.32779352071685697</v>
      </c>
      <c r="AB120" s="110">
        <f t="shared" si="8"/>
        <v>0.28976617472547678</v>
      </c>
      <c r="AD120" s="110">
        <f t="shared" si="15"/>
        <v>0.28526656109791504</v>
      </c>
    </row>
    <row r="121" spans="1:30" x14ac:dyDescent="0.25">
      <c r="A121" s="2">
        <v>44012</v>
      </c>
      <c r="B121" s="190">
        <v>2262</v>
      </c>
      <c r="C121" s="24">
        <f t="shared" si="16"/>
        <v>2473.4285714285716</v>
      </c>
      <c r="D121" s="190">
        <v>64530</v>
      </c>
      <c r="E121" s="190">
        <v>27</v>
      </c>
      <c r="F121" s="24">
        <f t="shared" si="17"/>
        <v>32.857142857142854</v>
      </c>
      <c r="G121" s="190">
        <v>1307</v>
      </c>
      <c r="H121" s="190">
        <f t="shared" si="11"/>
        <v>1012</v>
      </c>
      <c r="I121" s="218">
        <v>23040</v>
      </c>
      <c r="J121" s="190">
        <v>576</v>
      </c>
      <c r="K121" s="24">
        <f t="shared" ref="K121:M184" si="21">AVERAGE(J115:J121)</f>
        <v>520.57142857142856</v>
      </c>
      <c r="L121" s="190">
        <v>10506</v>
      </c>
      <c r="M121" s="24">
        <f t="shared" si="21"/>
        <v>8929.2857142857138</v>
      </c>
      <c r="N121" s="4">
        <v>362908</v>
      </c>
      <c r="O121" s="7">
        <v>946</v>
      </c>
      <c r="P121" s="7">
        <f>Q121-O121</f>
        <v>235617</v>
      </c>
      <c r="Q121" s="4">
        <v>236563</v>
      </c>
      <c r="R121" s="13">
        <v>1065</v>
      </c>
      <c r="S121" s="4">
        <v>23565</v>
      </c>
      <c r="T121" s="13">
        <v>28732</v>
      </c>
      <c r="U121" s="13">
        <f t="shared" si="19"/>
        <v>11168</v>
      </c>
      <c r="V121" s="156">
        <f t="shared" si="10"/>
        <v>40183</v>
      </c>
      <c r="W121" s="53">
        <f t="shared" si="12"/>
        <v>1.4334420028370206E-2</v>
      </c>
      <c r="X121" s="43">
        <f t="shared" si="13"/>
        <v>2.0254145358747869E-2</v>
      </c>
      <c r="Y121" s="259">
        <f t="shared" si="20"/>
        <v>1.4334420028370206E-2</v>
      </c>
      <c r="Z121" s="110">
        <f t="shared" si="9"/>
        <v>0.21085390586754316</v>
      </c>
      <c r="AB121" s="110">
        <f t="shared" si="8"/>
        <v>0.27700183985281179</v>
      </c>
      <c r="AD121" s="110">
        <f t="shared" si="15"/>
        <v>0.24320895984159385</v>
      </c>
    </row>
    <row r="122" spans="1:30" x14ac:dyDescent="0.25">
      <c r="A122" s="2">
        <v>44013</v>
      </c>
      <c r="B122" s="193">
        <v>2667</v>
      </c>
      <c r="C122" s="24">
        <f t="shared" si="16"/>
        <v>2478</v>
      </c>
      <c r="D122" s="190">
        <f>D121+B122</f>
        <v>67197</v>
      </c>
      <c r="E122" s="190">
        <v>44</v>
      </c>
      <c r="F122" s="24">
        <f t="shared" si="17"/>
        <v>33.714285714285715</v>
      </c>
      <c r="G122" s="190">
        <f>G121+E122</f>
        <v>1351</v>
      </c>
      <c r="H122" s="190">
        <f t="shared" si="11"/>
        <v>1146</v>
      </c>
      <c r="I122" s="218">
        <v>24186</v>
      </c>
      <c r="J122" s="190">
        <v>594</v>
      </c>
      <c r="K122" s="24">
        <f t="shared" si="21"/>
        <v>540.14285714285711</v>
      </c>
      <c r="L122" s="190">
        <v>9200</v>
      </c>
      <c r="M122" s="24">
        <f t="shared" si="21"/>
        <v>8921</v>
      </c>
      <c r="N122" s="4">
        <v>372108</v>
      </c>
      <c r="O122" s="7">
        <v>966</v>
      </c>
      <c r="P122" s="7">
        <v>240610</v>
      </c>
      <c r="Q122" s="4">
        <v>246576</v>
      </c>
      <c r="R122" s="4">
        <v>1066</v>
      </c>
      <c r="S122" s="4">
        <v>24124</v>
      </c>
      <c r="T122" s="4">
        <v>30493</v>
      </c>
      <c r="U122" s="13">
        <f t="shared" si="19"/>
        <v>11514</v>
      </c>
      <c r="V122" s="156">
        <f t="shared" si="10"/>
        <v>41660</v>
      </c>
      <c r="W122" s="53">
        <f t="shared" si="12"/>
        <v>1.4258281325012001E-2</v>
      </c>
      <c r="X122" s="43">
        <f t="shared" si="13"/>
        <v>2.0105064214176228E-2</v>
      </c>
      <c r="Y122" s="259">
        <f t="shared" si="20"/>
        <v>1.4258281325012001E-2</v>
      </c>
      <c r="Z122" s="110">
        <f t="shared" si="9"/>
        <v>0.16050043486987353</v>
      </c>
      <c r="AB122" s="110">
        <f t="shared" ref="AB122:AB185" si="22">SUM(B116:B122)/SUM(L116:L122)</f>
        <v>0.27777155027463291</v>
      </c>
      <c r="AD122" s="110">
        <f t="shared" si="15"/>
        <v>0.22720711697646334</v>
      </c>
    </row>
    <row r="123" spans="1:30" x14ac:dyDescent="0.25">
      <c r="A123" s="2">
        <v>44014</v>
      </c>
      <c r="B123" s="193">
        <v>2744</v>
      </c>
      <c r="C123" s="24">
        <f t="shared" si="16"/>
        <v>2497.7142857142858</v>
      </c>
      <c r="D123" s="190">
        <f>D122+B123</f>
        <v>69941</v>
      </c>
      <c r="E123" s="190">
        <v>34</v>
      </c>
      <c r="F123" s="24">
        <f t="shared" si="17"/>
        <v>33.714285714285715</v>
      </c>
      <c r="G123" s="190">
        <f>E123+G122</f>
        <v>1385</v>
      </c>
      <c r="H123" s="190">
        <f t="shared" si="11"/>
        <v>1038</v>
      </c>
      <c r="I123" s="218">
        <v>25224</v>
      </c>
      <c r="J123" s="190">
        <v>620</v>
      </c>
      <c r="K123" s="24">
        <f t="shared" si="21"/>
        <v>561.28571428571433</v>
      </c>
      <c r="L123" s="190">
        <v>9323</v>
      </c>
      <c r="M123" s="24">
        <f t="shared" si="21"/>
        <v>8950</v>
      </c>
      <c r="N123" s="4">
        <v>381431</v>
      </c>
      <c r="O123" s="7">
        <f>Q123-P123</f>
        <v>737.55600000001141</v>
      </c>
      <c r="P123" s="7">
        <f>Q123*0.997</f>
        <v>245114.44399999999</v>
      </c>
      <c r="Q123" s="4">
        <v>245852</v>
      </c>
      <c r="R123" s="4">
        <v>1067</v>
      </c>
      <c r="S123" s="4">
        <v>24969</v>
      </c>
      <c r="T123" s="4">
        <v>32144</v>
      </c>
      <c r="U123" s="13">
        <f t="shared" si="19"/>
        <v>11761</v>
      </c>
      <c r="V123" s="156">
        <f t="shared" si="10"/>
        <v>43332</v>
      </c>
      <c r="W123" s="53">
        <f t="shared" si="12"/>
        <v>1.4308132557924859E-2</v>
      </c>
      <c r="X123" s="43">
        <f t="shared" si="13"/>
        <v>1.9802404884116612E-2</v>
      </c>
      <c r="Y123" s="259">
        <f t="shared" si="20"/>
        <v>1.4308132557924859E-2</v>
      </c>
      <c r="Z123" s="110">
        <f t="shared" ref="Z123:Z186" si="23">C123/C117-1</f>
        <v>0.10847651049261398</v>
      </c>
      <c r="AB123" s="110">
        <f t="shared" si="22"/>
        <v>0.27907422186751796</v>
      </c>
      <c r="AD123" s="110">
        <f t="shared" si="15"/>
        <v>0.31744246146362221</v>
      </c>
    </row>
    <row r="124" spans="1:30" ht="16.5" customHeight="1" x14ac:dyDescent="0.25">
      <c r="A124" s="2">
        <v>44015</v>
      </c>
      <c r="B124" s="191">
        <v>2845</v>
      </c>
      <c r="C124" s="24">
        <f t="shared" si="16"/>
        <v>2491.8571428571427</v>
      </c>
      <c r="D124" s="188">
        <f>D123+B124</f>
        <v>72786</v>
      </c>
      <c r="E124" s="188">
        <v>52</v>
      </c>
      <c r="F124" s="24">
        <f t="shared" si="17"/>
        <v>36.285714285714285</v>
      </c>
      <c r="G124" s="188">
        <f>G123+E124</f>
        <v>1437</v>
      </c>
      <c r="H124" s="190">
        <f t="shared" si="11"/>
        <v>706</v>
      </c>
      <c r="I124" s="218">
        <v>25930</v>
      </c>
      <c r="J124" s="188">
        <v>637</v>
      </c>
      <c r="K124" s="24">
        <f t="shared" si="21"/>
        <v>579.85714285714289</v>
      </c>
      <c r="L124" s="190">
        <v>8951</v>
      </c>
      <c r="M124" s="24">
        <f t="shared" si="21"/>
        <v>8755.1428571428569</v>
      </c>
      <c r="N124" s="4">
        <v>390382</v>
      </c>
      <c r="O124" s="7">
        <v>751</v>
      </c>
      <c r="P124" s="7">
        <v>249794</v>
      </c>
      <c r="Q124" s="4">
        <f>P124+O124</f>
        <v>250545</v>
      </c>
      <c r="R124" s="4">
        <v>1068</v>
      </c>
      <c r="S124" s="4">
        <v>25848</v>
      </c>
      <c r="T124" s="4">
        <v>33867</v>
      </c>
      <c r="U124" s="13">
        <f t="shared" si="19"/>
        <v>12003</v>
      </c>
      <c r="V124" s="156">
        <f t="shared" si="10"/>
        <v>45419</v>
      </c>
      <c r="W124" s="53">
        <f t="shared" si="12"/>
        <v>1.4024967524604241E-2</v>
      </c>
      <c r="X124" s="43">
        <f t="shared" si="13"/>
        <v>1.9742807682796144E-2</v>
      </c>
      <c r="Y124" s="259">
        <f t="shared" si="20"/>
        <v>1.4024967524604241E-2</v>
      </c>
      <c r="Z124" s="110">
        <f t="shared" si="23"/>
        <v>5.4594921402660201E-2</v>
      </c>
      <c r="AB124" s="110">
        <f t="shared" si="22"/>
        <v>0.28461638873478445</v>
      </c>
      <c r="AD124" s="110">
        <f t="shared" si="15"/>
        <v>0.2970927575965272</v>
      </c>
    </row>
    <row r="125" spans="1:30" x14ac:dyDescent="0.25">
      <c r="A125" s="2">
        <v>44016</v>
      </c>
      <c r="B125" s="191">
        <v>2590</v>
      </c>
      <c r="C125" s="24">
        <f t="shared" si="16"/>
        <v>2518.8571428571427</v>
      </c>
      <c r="D125" s="188">
        <f>D124+B125</f>
        <v>75376</v>
      </c>
      <c r="E125" s="188">
        <v>44</v>
      </c>
      <c r="F125" s="24">
        <f t="shared" si="17"/>
        <v>39.285714285714285</v>
      </c>
      <c r="G125" s="188">
        <f>G124+E125</f>
        <v>1481</v>
      </c>
      <c r="H125" s="190">
        <f t="shared" si="11"/>
        <v>1667</v>
      </c>
      <c r="I125" s="218">
        <v>27597</v>
      </c>
      <c r="J125" s="188">
        <v>658</v>
      </c>
      <c r="K125" s="24">
        <f t="shared" si="21"/>
        <v>596.42857142857144</v>
      </c>
      <c r="L125" s="190">
        <v>9072</v>
      </c>
      <c r="M125" s="24">
        <f t="shared" si="21"/>
        <v>8920.4285714285706</v>
      </c>
      <c r="N125" s="4">
        <v>399454</v>
      </c>
      <c r="O125" s="7">
        <v>765</v>
      </c>
      <c r="P125" s="7">
        <v>254498</v>
      </c>
      <c r="Q125" s="4">
        <v>255263</v>
      </c>
      <c r="R125" s="4">
        <v>1069</v>
      </c>
      <c r="S125" s="4">
        <v>26548</v>
      </c>
      <c r="T125" s="4">
        <v>35186</v>
      </c>
      <c r="U125" s="13">
        <f>D125-T125-S125-R125</f>
        <v>12573</v>
      </c>
      <c r="V125" s="156">
        <f t="shared" si="10"/>
        <v>46298</v>
      </c>
      <c r="W125" s="53">
        <f t="shared" si="12"/>
        <v>1.4212276988206833E-2</v>
      </c>
      <c r="X125" s="43">
        <f t="shared" si="13"/>
        <v>1.9648163871789429E-2</v>
      </c>
      <c r="Y125" s="259">
        <f t="shared" si="20"/>
        <v>1.4212276988206833E-2</v>
      </c>
      <c r="Z125" s="110">
        <f t="shared" si="23"/>
        <v>2.8224865873571092E-2</v>
      </c>
      <c r="AB125" s="110">
        <f t="shared" si="22"/>
        <v>0.28236952100315488</v>
      </c>
      <c r="AD125" s="110">
        <f t="shared" si="15"/>
        <v>0.27181825673708215</v>
      </c>
    </row>
    <row r="126" spans="1:30" x14ac:dyDescent="0.25">
      <c r="A126" s="2">
        <v>44017</v>
      </c>
      <c r="B126" s="193">
        <v>2439</v>
      </c>
      <c r="C126" s="24">
        <f t="shared" si="16"/>
        <v>2554.5714285714284</v>
      </c>
      <c r="D126" s="190">
        <v>77815</v>
      </c>
      <c r="E126" s="190">
        <v>26</v>
      </c>
      <c r="F126" s="24">
        <f t="shared" si="17"/>
        <v>39.285714285714285</v>
      </c>
      <c r="G126" s="190">
        <f>G125+E126</f>
        <v>1507</v>
      </c>
      <c r="H126" s="190">
        <f t="shared" si="11"/>
        <v>934</v>
      </c>
      <c r="I126" s="218">
        <v>28531</v>
      </c>
      <c r="J126" s="188">
        <v>676</v>
      </c>
      <c r="K126" s="24">
        <f t="shared" si="21"/>
        <v>616.57142857142856</v>
      </c>
      <c r="L126" s="190">
        <v>6756</v>
      </c>
      <c r="M126" s="24">
        <f t="shared" si="21"/>
        <v>8820.1428571428569</v>
      </c>
      <c r="N126" s="4">
        <v>406210</v>
      </c>
      <c r="O126" s="7">
        <v>776</v>
      </c>
      <c r="P126" s="7">
        <v>258025</v>
      </c>
      <c r="Q126" s="4">
        <v>258801</v>
      </c>
      <c r="R126" s="4">
        <v>1072</v>
      </c>
      <c r="S126" s="4">
        <v>27239</v>
      </c>
      <c r="T126" s="4">
        <v>36235</v>
      </c>
      <c r="U126" s="4">
        <f>77815-T126-S126-R126</f>
        <v>13269</v>
      </c>
      <c r="V126" s="156">
        <f t="shared" si="10"/>
        <v>47777</v>
      </c>
      <c r="W126" s="53">
        <f t="shared" si="12"/>
        <v>1.4149067542960001E-2</v>
      </c>
      <c r="X126" s="43">
        <f t="shared" si="13"/>
        <v>1.9366446057957978E-2</v>
      </c>
      <c r="Y126" s="259">
        <f t="shared" si="20"/>
        <v>1.4149067542960001E-2</v>
      </c>
      <c r="Z126" s="110">
        <f t="shared" si="23"/>
        <v>3.1435657841610398E-2</v>
      </c>
      <c r="AB126" s="110">
        <f t="shared" si="22"/>
        <v>0.28962925770557651</v>
      </c>
      <c r="AD126" s="110">
        <f t="shared" si="15"/>
        <v>0.27195037537937283</v>
      </c>
    </row>
    <row r="127" spans="1:30" x14ac:dyDescent="0.25">
      <c r="A127" s="54">
        <v>44018</v>
      </c>
      <c r="B127" s="190">
        <v>2632</v>
      </c>
      <c r="C127" s="24">
        <f t="shared" si="16"/>
        <v>2597</v>
      </c>
      <c r="D127" s="190">
        <v>80447</v>
      </c>
      <c r="E127" s="190">
        <v>75</v>
      </c>
      <c r="F127" s="24">
        <f t="shared" si="17"/>
        <v>43.142857142857146</v>
      </c>
      <c r="G127" s="190">
        <v>1582</v>
      </c>
      <c r="H127" s="190">
        <f t="shared" si="11"/>
        <v>1564</v>
      </c>
      <c r="I127" s="218">
        <v>30095</v>
      </c>
      <c r="J127" s="188">
        <v>688</v>
      </c>
      <c r="K127" s="24">
        <f t="shared" si="21"/>
        <v>635.57142857142856</v>
      </c>
      <c r="L127" s="190">
        <v>8487</v>
      </c>
      <c r="M127" s="24">
        <f t="shared" si="21"/>
        <v>8899.2857142857138</v>
      </c>
      <c r="N127" s="14">
        <v>414697</v>
      </c>
      <c r="O127" s="7">
        <v>789</v>
      </c>
      <c r="P127" s="7">
        <f>Q127-O127</f>
        <v>262367</v>
      </c>
      <c r="Q127" s="4">
        <v>263156</v>
      </c>
      <c r="R127" s="4">
        <v>1073</v>
      </c>
      <c r="S127" s="4">
        <v>27991</v>
      </c>
      <c r="T127" s="4">
        <v>38006</v>
      </c>
      <c r="U127" s="4">
        <f>80447-T127-S127-R127</f>
        <v>13377</v>
      </c>
      <c r="V127" s="156">
        <f t="shared" si="10"/>
        <v>48770</v>
      </c>
      <c r="W127" s="53">
        <f t="shared" si="12"/>
        <v>1.41070330120976E-2</v>
      </c>
      <c r="X127" s="43">
        <f t="shared" si="13"/>
        <v>1.966512113565453E-2</v>
      </c>
      <c r="Y127" s="259">
        <f t="shared" si="20"/>
        <v>1.41070330120976E-2</v>
      </c>
      <c r="Z127" s="110">
        <f t="shared" si="23"/>
        <v>4.9959570289938693E-2</v>
      </c>
      <c r="AB127" s="110">
        <f t="shared" si="22"/>
        <v>0.29182117344891245</v>
      </c>
      <c r="AD127" s="110">
        <f t="shared" si="15"/>
        <v>0.25182884570959208</v>
      </c>
    </row>
    <row r="128" spans="1:30" x14ac:dyDescent="0.25">
      <c r="A128" s="2">
        <v>44019</v>
      </c>
      <c r="B128" s="190">
        <v>2979</v>
      </c>
      <c r="C128" s="24">
        <f t="shared" si="16"/>
        <v>2699.4285714285716</v>
      </c>
      <c r="D128" s="190">
        <v>83426</v>
      </c>
      <c r="E128" s="190">
        <v>62</v>
      </c>
      <c r="F128" s="24">
        <f t="shared" si="17"/>
        <v>48.142857142857146</v>
      </c>
      <c r="G128" s="193">
        <v>1644</v>
      </c>
      <c r="H128" s="190">
        <f t="shared" si="11"/>
        <v>6407</v>
      </c>
      <c r="I128" s="218">
        <v>36502</v>
      </c>
      <c r="J128" s="190">
        <v>646</v>
      </c>
      <c r="K128" s="24">
        <f t="shared" si="21"/>
        <v>645.57142857142856</v>
      </c>
      <c r="L128" s="190">
        <v>9805</v>
      </c>
      <c r="M128" s="24">
        <f t="shared" si="21"/>
        <v>8799.1428571428569</v>
      </c>
      <c r="N128" s="14">
        <v>423782</v>
      </c>
      <c r="O128" s="7">
        <v>803</v>
      </c>
      <c r="P128" s="7">
        <v>266938</v>
      </c>
      <c r="Q128" s="4">
        <v>267741</v>
      </c>
      <c r="R128" s="4">
        <v>1074</v>
      </c>
      <c r="S128" s="4">
        <v>28792</v>
      </c>
      <c r="T128" s="4">
        <v>39718</v>
      </c>
      <c r="U128" s="4">
        <f>83426-T128-S128-R128</f>
        <v>13842</v>
      </c>
      <c r="V128" s="156">
        <f t="shared" si="10"/>
        <v>45280</v>
      </c>
      <c r="W128" s="53">
        <f t="shared" si="12"/>
        <v>1.4266784452296819E-2</v>
      </c>
      <c r="X128" s="43">
        <f t="shared" si="13"/>
        <v>1.9706086831443436E-2</v>
      </c>
      <c r="Y128" s="259">
        <f t="shared" si="20"/>
        <v>1.4266784452296819E-2</v>
      </c>
      <c r="Z128" s="110">
        <f t="shared" si="23"/>
        <v>8.9357777009108741E-2</v>
      </c>
      <c r="AB128" s="110">
        <f t="shared" si="22"/>
        <v>0.30678312822677534</v>
      </c>
      <c r="AD128" s="110">
        <f t="shared" si="15"/>
        <v>0.12684468556354678</v>
      </c>
    </row>
    <row r="129" spans="1:30" x14ac:dyDescent="0.25">
      <c r="A129" s="2">
        <v>44020</v>
      </c>
      <c r="B129" s="190">
        <v>3604</v>
      </c>
      <c r="C129" s="24">
        <f t="shared" si="16"/>
        <v>2833.2857142857142</v>
      </c>
      <c r="D129" s="193">
        <v>87030</v>
      </c>
      <c r="E129" s="190">
        <v>51</v>
      </c>
      <c r="F129" s="24">
        <f t="shared" si="17"/>
        <v>49.142857142857146</v>
      </c>
      <c r="G129" s="208">
        <v>1695</v>
      </c>
      <c r="H129" s="190">
        <f t="shared" si="11"/>
        <v>1811</v>
      </c>
      <c r="I129" s="218">
        <v>38313</v>
      </c>
      <c r="J129" s="190">
        <v>671</v>
      </c>
      <c r="K129" s="24">
        <f t="shared" si="21"/>
        <v>656.57142857142856</v>
      </c>
      <c r="L129" s="190">
        <v>10910</v>
      </c>
      <c r="M129" s="24">
        <f t="shared" si="21"/>
        <v>9043.4285714285706</v>
      </c>
      <c r="N129" s="14">
        <v>434692</v>
      </c>
      <c r="O129" s="7">
        <v>819</v>
      </c>
      <c r="P129" s="7">
        <v>272349</v>
      </c>
      <c r="Q129" s="4">
        <v>273168</v>
      </c>
      <c r="R129" s="4">
        <v>1074</v>
      </c>
      <c r="S129" s="4">
        <v>29747</v>
      </c>
      <c r="T129" s="4">
        <v>41495</v>
      </c>
      <c r="U129" s="4">
        <f>87030-T129-S129-R129</f>
        <v>14714</v>
      </c>
      <c r="V129" s="156">
        <f t="shared" si="10"/>
        <v>47022</v>
      </c>
      <c r="W129" s="53">
        <f t="shared" si="12"/>
        <v>1.4269916209433882E-2</v>
      </c>
      <c r="X129" s="43">
        <f t="shared" si="13"/>
        <v>1.9476042743881421E-2</v>
      </c>
      <c r="Y129" s="259">
        <f t="shared" si="20"/>
        <v>1.4269916209433882E-2</v>
      </c>
      <c r="Z129" s="110">
        <f t="shared" si="23"/>
        <v>0.13435140700068637</v>
      </c>
      <c r="AB129" s="110">
        <f t="shared" si="22"/>
        <v>0.31329773789965881</v>
      </c>
      <c r="AD129" s="110">
        <f t="shared" si="15"/>
        <v>0.12870859337493989</v>
      </c>
    </row>
    <row r="130" spans="1:30" x14ac:dyDescent="0.25">
      <c r="A130" s="2">
        <v>44021</v>
      </c>
      <c r="B130" s="193">
        <v>3663</v>
      </c>
      <c r="C130" s="24">
        <f t="shared" si="16"/>
        <v>2964.5714285714284</v>
      </c>
      <c r="D130" s="193">
        <v>90693</v>
      </c>
      <c r="E130" s="190">
        <v>26</v>
      </c>
      <c r="F130" s="24">
        <f t="shared" si="17"/>
        <v>48</v>
      </c>
      <c r="G130" s="193">
        <v>1721</v>
      </c>
      <c r="H130" s="190">
        <f t="shared" si="11"/>
        <v>671</v>
      </c>
      <c r="I130" s="218">
        <v>38984</v>
      </c>
      <c r="J130" s="190">
        <v>662</v>
      </c>
      <c r="K130" s="24">
        <f t="shared" si="21"/>
        <v>662.57142857142856</v>
      </c>
      <c r="L130" s="190">
        <v>11041</v>
      </c>
      <c r="M130" s="24">
        <f t="shared" si="21"/>
        <v>9288.8571428571431</v>
      </c>
      <c r="N130" s="14">
        <v>445733</v>
      </c>
      <c r="O130" s="7">
        <v>836</v>
      </c>
      <c r="P130" s="7">
        <v>277811</v>
      </c>
      <c r="Q130" s="4">
        <v>278647</v>
      </c>
      <c r="R130" s="4">
        <v>1076</v>
      </c>
      <c r="S130" s="4">
        <v>30597</v>
      </c>
      <c r="T130" s="4">
        <v>43374</v>
      </c>
      <c r="U130" s="4">
        <f>90693-T130-S130-R130</f>
        <v>15646</v>
      </c>
      <c r="V130" s="156">
        <f t="shared" ref="V130:V164" si="24">D130-G130-I130</f>
        <v>49988</v>
      </c>
      <c r="W130" s="53">
        <f t="shared" si="12"/>
        <v>1.3243178362807074E-2</v>
      </c>
      <c r="X130" s="43">
        <f t="shared" si="13"/>
        <v>1.8976106204447972E-2</v>
      </c>
      <c r="Y130" s="259">
        <f t="shared" si="20"/>
        <v>1.3243178362807074E-2</v>
      </c>
      <c r="Z130" s="110">
        <f t="shared" si="23"/>
        <v>0.18970360603107261</v>
      </c>
      <c r="AB130" s="110">
        <f t="shared" si="22"/>
        <v>0.31915351727107749</v>
      </c>
      <c r="AD130" s="110">
        <f t="shared" si="15"/>
        <v>0.1536047262992708</v>
      </c>
    </row>
    <row r="131" spans="1:30" x14ac:dyDescent="0.25">
      <c r="A131" s="2">
        <v>44022</v>
      </c>
      <c r="B131" s="193">
        <v>3367</v>
      </c>
      <c r="C131" s="24">
        <f t="shared" si="16"/>
        <v>3039.1428571428573</v>
      </c>
      <c r="D131" s="190">
        <v>94060</v>
      </c>
      <c r="E131" s="190">
        <v>54</v>
      </c>
      <c r="F131" s="24">
        <f t="shared" si="17"/>
        <v>48.285714285714285</v>
      </c>
      <c r="G131" s="193">
        <v>1775</v>
      </c>
      <c r="H131" s="190">
        <f t="shared" ref="H131:H194" si="25">I131-I130</f>
        <v>2424</v>
      </c>
      <c r="I131" s="218">
        <v>41408</v>
      </c>
      <c r="J131" s="190">
        <v>686</v>
      </c>
      <c r="K131" s="24">
        <f t="shared" si="21"/>
        <v>669.57142857142856</v>
      </c>
      <c r="L131" s="190">
        <v>10309</v>
      </c>
      <c r="M131" s="24">
        <f t="shared" si="21"/>
        <v>9482.8571428571431</v>
      </c>
      <c r="N131" s="14">
        <v>456042</v>
      </c>
      <c r="O131" s="7">
        <v>851</v>
      </c>
      <c r="P131" s="7">
        <v>283021</v>
      </c>
      <c r="Q131" s="4">
        <f>P131+O131</f>
        <v>283872</v>
      </c>
      <c r="R131" s="4">
        <v>1078</v>
      </c>
      <c r="S131" s="4">
        <v>31739</v>
      </c>
      <c r="T131" s="4">
        <v>45328</v>
      </c>
      <c r="U131" s="4">
        <v>15915</v>
      </c>
      <c r="V131" s="156">
        <f t="shared" si="24"/>
        <v>50877</v>
      </c>
      <c r="W131" s="53">
        <f t="shared" si="12"/>
        <v>1.3483499420170214E-2</v>
      </c>
      <c r="X131" s="43">
        <f t="shared" si="13"/>
        <v>1.8870933446736127E-2</v>
      </c>
      <c r="Y131" s="259">
        <f t="shared" si="20"/>
        <v>1.3483499420170214E-2</v>
      </c>
      <c r="Z131" s="110">
        <f t="shared" si="23"/>
        <v>0.20655626134301297</v>
      </c>
      <c r="AB131" s="110">
        <f t="shared" si="22"/>
        <v>0.32048809882494728</v>
      </c>
      <c r="AD131" s="110">
        <f t="shared" si="15"/>
        <v>0.12016997291882259</v>
      </c>
    </row>
    <row r="132" spans="1:30" x14ac:dyDescent="0.25">
      <c r="A132" s="2">
        <v>44023</v>
      </c>
      <c r="B132" s="193">
        <v>3449</v>
      </c>
      <c r="C132" s="24">
        <f t="shared" si="16"/>
        <v>3161.8571428571427</v>
      </c>
      <c r="D132" s="193">
        <v>97509</v>
      </c>
      <c r="E132" s="190">
        <v>36</v>
      </c>
      <c r="F132" s="24">
        <f t="shared" si="17"/>
        <v>47.142857142857146</v>
      </c>
      <c r="G132" s="193">
        <v>1811</v>
      </c>
      <c r="H132" s="190">
        <f t="shared" si="25"/>
        <v>1286</v>
      </c>
      <c r="I132" s="218">
        <v>42694</v>
      </c>
      <c r="J132" s="190">
        <v>701</v>
      </c>
      <c r="K132" s="24">
        <f t="shared" si="21"/>
        <v>675.71428571428567</v>
      </c>
      <c r="L132" s="190">
        <v>10266</v>
      </c>
      <c r="M132" s="24">
        <f t="shared" si="21"/>
        <v>9653.4285714285706</v>
      </c>
      <c r="N132" s="4">
        <v>466308</v>
      </c>
      <c r="O132" s="7">
        <v>867</v>
      </c>
      <c r="P132" s="7">
        <v>288165</v>
      </c>
      <c r="Q132" s="4">
        <f>P132+O132</f>
        <v>289032</v>
      </c>
      <c r="R132" s="4">
        <v>1080</v>
      </c>
      <c r="S132" s="4">
        <v>32616</v>
      </c>
      <c r="T132" s="4">
        <v>46824</v>
      </c>
      <c r="U132" s="4">
        <v>16989</v>
      </c>
      <c r="V132" s="156">
        <f t="shared" si="24"/>
        <v>53004</v>
      </c>
      <c r="W132" s="53">
        <f t="shared" si="12"/>
        <v>1.3225416949664176E-2</v>
      </c>
      <c r="X132" s="43">
        <f t="shared" si="13"/>
        <v>1.8572644576398074E-2</v>
      </c>
      <c r="Y132" s="259">
        <f t="shared" si="20"/>
        <v>1.3225416949664176E-2</v>
      </c>
      <c r="Z132" s="110">
        <f t="shared" si="23"/>
        <v>0.23772508667934233</v>
      </c>
      <c r="AB132" s="110">
        <f t="shared" si="22"/>
        <v>0.32753721845680289</v>
      </c>
      <c r="AD132" s="110">
        <f t="shared" si="15"/>
        <v>0.14484426973087383</v>
      </c>
    </row>
    <row r="133" spans="1:30" x14ac:dyDescent="0.25">
      <c r="A133" s="2">
        <v>44024</v>
      </c>
      <c r="B133" s="193">
        <v>2657</v>
      </c>
      <c r="C133" s="24">
        <f t="shared" si="16"/>
        <v>3193</v>
      </c>
      <c r="D133" s="193">
        <v>100166</v>
      </c>
      <c r="E133" s="193">
        <v>34</v>
      </c>
      <c r="F133" s="24">
        <f t="shared" si="17"/>
        <v>48.285714285714285</v>
      </c>
      <c r="G133" s="193">
        <v>1845</v>
      </c>
      <c r="H133" s="190">
        <f t="shared" si="25"/>
        <v>1479</v>
      </c>
      <c r="I133" s="218">
        <v>44173</v>
      </c>
      <c r="J133" s="190">
        <v>735</v>
      </c>
      <c r="K133" s="24">
        <f t="shared" si="21"/>
        <v>684.14285714285711</v>
      </c>
      <c r="L133" s="190">
        <v>8114</v>
      </c>
      <c r="M133" s="24">
        <f t="shared" si="21"/>
        <v>9847.4285714285706</v>
      </c>
      <c r="N133" s="4">
        <v>474422</v>
      </c>
      <c r="O133" s="7">
        <v>879</v>
      </c>
      <c r="P133" s="7">
        <v>292418</v>
      </c>
      <c r="Q133" s="4">
        <f>P133+O133</f>
        <v>293297</v>
      </c>
      <c r="R133" s="4">
        <v>1081</v>
      </c>
      <c r="S133" s="4">
        <v>33376</v>
      </c>
      <c r="T133" s="4">
        <v>48213</v>
      </c>
      <c r="U133" s="4">
        <f>100166-T133-S133-R133</f>
        <v>17496</v>
      </c>
      <c r="V133" s="156">
        <f t="shared" si="24"/>
        <v>54148</v>
      </c>
      <c r="W133" s="53">
        <f t="shared" si="12"/>
        <v>1.3573908546945408E-2</v>
      </c>
      <c r="X133" s="43">
        <f t="shared" si="13"/>
        <v>1.8419423756564104E-2</v>
      </c>
      <c r="Y133" s="259">
        <f t="shared" si="20"/>
        <v>1.3573908546945408E-2</v>
      </c>
      <c r="Z133" s="110">
        <f t="shared" si="23"/>
        <v>0.22949557181363112</v>
      </c>
      <c r="AB133" s="110">
        <f t="shared" si="22"/>
        <v>0.32424708408286429</v>
      </c>
      <c r="AD133" s="110">
        <f t="shared" si="15"/>
        <v>0.13334868242041154</v>
      </c>
    </row>
    <row r="134" spans="1:30" x14ac:dyDescent="0.25">
      <c r="A134" s="54">
        <v>44025</v>
      </c>
      <c r="B134" s="190">
        <v>3099</v>
      </c>
      <c r="C134" s="24">
        <f t="shared" si="16"/>
        <v>3259.7142857142858</v>
      </c>
      <c r="D134" s="190">
        <v>103265</v>
      </c>
      <c r="E134" s="190">
        <v>58</v>
      </c>
      <c r="F134" s="24">
        <f t="shared" si="17"/>
        <v>45.857142857142854</v>
      </c>
      <c r="G134" s="190">
        <v>1903</v>
      </c>
      <c r="H134" s="190">
        <f t="shared" si="25"/>
        <v>1294</v>
      </c>
      <c r="I134" s="218">
        <v>45467</v>
      </c>
      <c r="J134" s="190">
        <v>752</v>
      </c>
      <c r="K134" s="24">
        <f t="shared" si="21"/>
        <v>693.28571428571433</v>
      </c>
      <c r="L134" s="190">
        <v>9377</v>
      </c>
      <c r="M134" s="24">
        <f t="shared" si="21"/>
        <v>9974.5714285714294</v>
      </c>
      <c r="N134" s="4">
        <v>483799</v>
      </c>
      <c r="O134" s="7">
        <v>894</v>
      </c>
      <c r="P134" s="7">
        <f>Q134-O134</f>
        <v>297192</v>
      </c>
      <c r="Q134" s="4">
        <v>298086</v>
      </c>
      <c r="R134" s="4">
        <v>1082</v>
      </c>
      <c r="S134" s="4">
        <v>34293</v>
      </c>
      <c r="T134" s="4">
        <v>50637</v>
      </c>
      <c r="U134" s="4">
        <f>103265-T134-S134-R134</f>
        <v>17253</v>
      </c>
      <c r="V134" s="156">
        <f t="shared" si="24"/>
        <v>55895</v>
      </c>
      <c r="W134" s="53">
        <f t="shared" si="12"/>
        <v>1.3453797298506128E-2</v>
      </c>
      <c r="X134" s="43">
        <f t="shared" si="13"/>
        <v>1.8428315498958989E-2</v>
      </c>
      <c r="Y134" s="259">
        <f t="shared" si="20"/>
        <v>1.3453797298506128E-2</v>
      </c>
      <c r="Z134" s="110">
        <f t="shared" si="23"/>
        <v>0.20755715495342919</v>
      </c>
      <c r="AB134" s="110">
        <f t="shared" si="22"/>
        <v>0.32680244049153562</v>
      </c>
      <c r="AD134" s="110">
        <f t="shared" si="15"/>
        <v>0.14609391019069107</v>
      </c>
    </row>
    <row r="135" spans="1:30" x14ac:dyDescent="0.25">
      <c r="A135" s="2">
        <v>44026</v>
      </c>
      <c r="B135" s="190">
        <v>3645</v>
      </c>
      <c r="C135" s="24">
        <f t="shared" si="16"/>
        <v>3354.8571428571427</v>
      </c>
      <c r="D135" s="193">
        <v>106910</v>
      </c>
      <c r="E135" s="190">
        <v>65</v>
      </c>
      <c r="F135" s="24">
        <f t="shared" si="17"/>
        <v>46.285714285714285</v>
      </c>
      <c r="G135" s="190">
        <v>1968</v>
      </c>
      <c r="H135" s="190">
        <f t="shared" si="25"/>
        <v>1831</v>
      </c>
      <c r="I135" s="218">
        <v>47298</v>
      </c>
      <c r="J135" s="190">
        <v>772</v>
      </c>
      <c r="K135" s="24">
        <f t="shared" si="21"/>
        <v>711.28571428571433</v>
      </c>
      <c r="L135" s="190">
        <v>11266</v>
      </c>
      <c r="M135" s="24">
        <f t="shared" si="21"/>
        <v>10183.285714285714</v>
      </c>
      <c r="N135" s="4">
        <v>495065</v>
      </c>
      <c r="O135" s="7">
        <v>912</v>
      </c>
      <c r="P135" s="7">
        <f>Q135-O135</f>
        <v>303075</v>
      </c>
      <c r="Q135" s="4">
        <v>303987</v>
      </c>
      <c r="R135" s="4">
        <v>1083</v>
      </c>
      <c r="S135" s="4">
        <v>35260</v>
      </c>
      <c r="T135" s="4">
        <v>53247</v>
      </c>
      <c r="U135" s="4">
        <f>106910-T135-S135-R135</f>
        <v>17320</v>
      </c>
      <c r="V135" s="156">
        <f t="shared" si="24"/>
        <v>57644</v>
      </c>
      <c r="W135" s="53">
        <f t="shared" si="12"/>
        <v>1.3392547359655818E-2</v>
      </c>
      <c r="X135" s="43">
        <f t="shared" si="13"/>
        <v>1.840800673463661E-2</v>
      </c>
      <c r="Y135" s="259">
        <f t="shared" si="20"/>
        <v>1.3392547359655818E-2</v>
      </c>
      <c r="Z135" s="110">
        <f t="shared" si="23"/>
        <v>0.18408712751474821</v>
      </c>
      <c r="AB135" s="110">
        <f t="shared" si="22"/>
        <v>0.32944741382938431</v>
      </c>
      <c r="AD135" s="110">
        <f t="shared" si="15"/>
        <v>0.27305653710247357</v>
      </c>
    </row>
    <row r="136" spans="1:30" x14ac:dyDescent="0.25">
      <c r="A136" s="2">
        <v>44027</v>
      </c>
      <c r="B136" s="193">
        <v>4250</v>
      </c>
      <c r="C136" s="24">
        <f t="shared" si="16"/>
        <v>3447.1428571428573</v>
      </c>
      <c r="D136" s="190">
        <f>D135+B136</f>
        <v>111160</v>
      </c>
      <c r="E136" s="190">
        <v>82</v>
      </c>
      <c r="F136" s="24">
        <f t="shared" si="17"/>
        <v>50.714285714285715</v>
      </c>
      <c r="G136" s="190">
        <v>2050</v>
      </c>
      <c r="H136" s="190">
        <f t="shared" si="25"/>
        <v>1822</v>
      </c>
      <c r="I136" s="218">
        <v>49120</v>
      </c>
      <c r="J136" s="190">
        <v>783</v>
      </c>
      <c r="K136" s="24">
        <f t="shared" si="21"/>
        <v>727.28571428571433</v>
      </c>
      <c r="L136" s="190">
        <v>13163</v>
      </c>
      <c r="M136" s="24">
        <f t="shared" si="21"/>
        <v>10505.142857142857</v>
      </c>
      <c r="N136" s="4">
        <v>508228</v>
      </c>
      <c r="O136" s="7">
        <v>932</v>
      </c>
      <c r="P136" s="7">
        <f>Q136-O136</f>
        <v>308815</v>
      </c>
      <c r="Q136" s="4">
        <v>309747</v>
      </c>
      <c r="R136" s="4">
        <v>1085</v>
      </c>
      <c r="S136" s="4">
        <v>36398</v>
      </c>
      <c r="T136" s="4">
        <v>55836</v>
      </c>
      <c r="U136" s="4">
        <v>17841</v>
      </c>
      <c r="V136" s="156">
        <f t="shared" si="24"/>
        <v>59990</v>
      </c>
      <c r="W136" s="53">
        <f t="shared" si="12"/>
        <v>1.3052175362560427E-2</v>
      </c>
      <c r="X136" s="43">
        <f t="shared" si="13"/>
        <v>1.8441885570349047E-2</v>
      </c>
      <c r="Y136" s="259">
        <f t="shared" si="20"/>
        <v>1.3052175362560427E-2</v>
      </c>
      <c r="Z136" s="110">
        <f t="shared" si="23"/>
        <v>0.16277949113338486</v>
      </c>
      <c r="AB136" s="110">
        <f t="shared" si="22"/>
        <v>0.32813859878154916</v>
      </c>
      <c r="AD136" s="110">
        <f t="shared" si="15"/>
        <v>0.27578580239037054</v>
      </c>
    </row>
    <row r="137" spans="1:30" s="24" customFormat="1" x14ac:dyDescent="0.25">
      <c r="A137" s="2">
        <v>44028</v>
      </c>
      <c r="B137" s="190">
        <v>3624</v>
      </c>
      <c r="C137" s="24">
        <f t="shared" si="16"/>
        <v>3441.5714285714284</v>
      </c>
      <c r="D137" s="191">
        <v>114783</v>
      </c>
      <c r="E137" s="190">
        <v>62</v>
      </c>
      <c r="F137" s="24">
        <f t="shared" si="17"/>
        <v>55.857142857142854</v>
      </c>
      <c r="G137" s="190">
        <v>2112</v>
      </c>
      <c r="H137" s="190">
        <f t="shared" si="25"/>
        <v>660</v>
      </c>
      <c r="I137" s="218">
        <v>49780</v>
      </c>
      <c r="J137" s="190">
        <v>793</v>
      </c>
      <c r="K137" s="24">
        <f t="shared" si="21"/>
        <v>746</v>
      </c>
      <c r="L137" s="190">
        <v>11053</v>
      </c>
      <c r="M137" s="24">
        <f t="shared" si="21"/>
        <v>10506.857142857143</v>
      </c>
      <c r="N137" s="7">
        <v>519281</v>
      </c>
      <c r="O137" s="7">
        <f>Q137-P137</f>
        <v>949.03800000000047</v>
      </c>
      <c r="P137" s="7">
        <f>Q137*0.997</f>
        <v>315396.962</v>
      </c>
      <c r="Q137" s="7">
        <v>316346</v>
      </c>
      <c r="R137" s="7">
        <v>1086</v>
      </c>
      <c r="S137" s="7">
        <v>37225</v>
      </c>
      <c r="T137" s="7">
        <v>57961</v>
      </c>
      <c r="U137" s="7">
        <f>114783-T137-S137-R137</f>
        <v>18511</v>
      </c>
      <c r="V137" s="156">
        <f t="shared" si="24"/>
        <v>62891</v>
      </c>
      <c r="W137" s="53">
        <f t="shared" si="12"/>
        <v>1.2609117361784675E-2</v>
      </c>
      <c r="X137" s="43">
        <f t="shared" si="13"/>
        <v>1.8399937272941116E-2</v>
      </c>
      <c r="Y137" s="259">
        <f t="shared" si="20"/>
        <v>1.2609117361784675E-2</v>
      </c>
      <c r="Z137" s="110">
        <f t="shared" si="23"/>
        <v>0.132415154648867</v>
      </c>
      <c r="AB137" s="110">
        <f t="shared" si="22"/>
        <v>0.3275547941480394</v>
      </c>
      <c r="AD137" s="110">
        <f t="shared" si="15"/>
        <v>0.25812194926782417</v>
      </c>
    </row>
    <row r="138" spans="1:30" x14ac:dyDescent="0.25">
      <c r="A138" s="2">
        <v>44029</v>
      </c>
      <c r="B138" s="193">
        <v>4518</v>
      </c>
      <c r="C138" s="24">
        <f t="shared" si="16"/>
        <v>3606</v>
      </c>
      <c r="D138" s="190">
        <f>D137+B138</f>
        <v>119301</v>
      </c>
      <c r="E138" s="190">
        <v>66</v>
      </c>
      <c r="F138" s="24">
        <f t="shared" si="17"/>
        <v>57.571428571428569</v>
      </c>
      <c r="G138" s="190">
        <v>2178</v>
      </c>
      <c r="H138" s="190">
        <f t="shared" si="25"/>
        <v>0</v>
      </c>
      <c r="I138" s="218">
        <v>49780</v>
      </c>
      <c r="J138" s="190">
        <v>823</v>
      </c>
      <c r="K138" s="24">
        <f t="shared" si="21"/>
        <v>765.57142857142856</v>
      </c>
      <c r="L138" s="190">
        <v>12472</v>
      </c>
      <c r="M138" s="24">
        <f t="shared" si="21"/>
        <v>10815.857142857143</v>
      </c>
      <c r="N138" s="7">
        <v>531753</v>
      </c>
      <c r="O138" s="7">
        <v>967</v>
      </c>
      <c r="P138" s="7">
        <v>321616</v>
      </c>
      <c r="Q138" s="7">
        <v>322583</v>
      </c>
      <c r="R138" s="7">
        <v>1093</v>
      </c>
      <c r="S138" s="7">
        <v>38304</v>
      </c>
      <c r="T138" s="7">
        <v>60041</v>
      </c>
      <c r="U138" s="4">
        <f>119301-T138-S138-R138</f>
        <v>19863</v>
      </c>
      <c r="V138" s="156">
        <f t="shared" si="24"/>
        <v>67343</v>
      </c>
      <c r="W138" s="53">
        <f t="shared" si="12"/>
        <v>1.2221017774675913E-2</v>
      </c>
      <c r="X138" s="43">
        <f t="shared" si="13"/>
        <v>1.825634319913496E-2</v>
      </c>
      <c r="Y138" s="259">
        <f t="shared" si="20"/>
        <v>1.2221017774675913E-2</v>
      </c>
      <c r="Z138" s="110">
        <f t="shared" si="23"/>
        <v>0.14046898296661103</v>
      </c>
      <c r="AB138" s="110">
        <f t="shared" si="22"/>
        <v>0.33339937393509528</v>
      </c>
      <c r="AD138" s="110">
        <f t="shared" si="15"/>
        <v>0.3236432965780216</v>
      </c>
    </row>
    <row r="139" spans="1:30" x14ac:dyDescent="0.25">
      <c r="A139" s="2">
        <v>44030</v>
      </c>
      <c r="B139" s="190">
        <f>3223+82</f>
        <v>3305</v>
      </c>
      <c r="C139" s="24">
        <f t="shared" si="16"/>
        <v>3585.4285714285716</v>
      </c>
      <c r="D139" s="190">
        <f>D138+B139</f>
        <v>122606</v>
      </c>
      <c r="E139" s="190">
        <v>42</v>
      </c>
      <c r="F139" s="24">
        <f t="shared" si="17"/>
        <v>58.428571428571431</v>
      </c>
      <c r="G139" s="190">
        <v>2220</v>
      </c>
      <c r="H139" s="190">
        <f t="shared" si="25"/>
        <v>2827</v>
      </c>
      <c r="I139" s="218">
        <v>52607</v>
      </c>
      <c r="J139" s="190">
        <v>824</v>
      </c>
      <c r="K139" s="24">
        <f t="shared" si="21"/>
        <v>783.14285714285711</v>
      </c>
      <c r="L139" s="298">
        <v>9485</v>
      </c>
      <c r="M139" s="24">
        <f t="shared" si="21"/>
        <v>10704.285714285714</v>
      </c>
      <c r="N139" s="7">
        <v>541238</v>
      </c>
      <c r="O139" s="7">
        <v>980</v>
      </c>
      <c r="P139" s="7">
        <f>Q139-O139</f>
        <v>325386</v>
      </c>
      <c r="Q139" s="7">
        <v>326366</v>
      </c>
      <c r="R139" s="7">
        <v>1093</v>
      </c>
      <c r="S139" s="7">
        <v>39113</v>
      </c>
      <c r="T139" s="7">
        <v>62057</v>
      </c>
      <c r="U139" s="7">
        <v>20261</v>
      </c>
      <c r="V139" s="156">
        <f t="shared" si="24"/>
        <v>67779</v>
      </c>
      <c r="W139" s="53">
        <f t="shared" si="12"/>
        <v>1.2157157821744199E-2</v>
      </c>
      <c r="X139" s="43">
        <f t="shared" si="13"/>
        <v>1.8106781071073195E-2</v>
      </c>
      <c r="Y139" s="259">
        <f t="shared" si="20"/>
        <v>1.2157157821744199E-2</v>
      </c>
      <c r="Z139" s="110">
        <f t="shared" si="23"/>
        <v>0.12290277839917674</v>
      </c>
      <c r="AB139" s="110">
        <f t="shared" si="22"/>
        <v>0.33495262244761775</v>
      </c>
      <c r="AD139" s="110">
        <f t="shared" si="15"/>
        <v>0.27875254697758667</v>
      </c>
    </row>
    <row r="140" spans="1:30" x14ac:dyDescent="0.25">
      <c r="A140" s="2">
        <v>44031</v>
      </c>
      <c r="B140" s="190">
        <v>4231</v>
      </c>
      <c r="C140" s="24">
        <f t="shared" si="16"/>
        <v>3810.2857142857142</v>
      </c>
      <c r="D140" s="190">
        <f>D139+B140</f>
        <v>126837</v>
      </c>
      <c r="E140" s="190">
        <v>40</v>
      </c>
      <c r="F140" s="24">
        <f t="shared" si="17"/>
        <v>59.285714285714285</v>
      </c>
      <c r="G140" s="190">
        <v>2260</v>
      </c>
      <c r="H140" s="190">
        <f t="shared" si="25"/>
        <v>3306</v>
      </c>
      <c r="I140" s="218">
        <v>55913</v>
      </c>
      <c r="J140" s="190">
        <v>842</v>
      </c>
      <c r="K140" s="24">
        <f t="shared" si="21"/>
        <v>798.42857142857144</v>
      </c>
      <c r="L140" s="298">
        <v>11068</v>
      </c>
      <c r="M140" s="24">
        <f t="shared" si="21"/>
        <v>11126.285714285714</v>
      </c>
      <c r="N140" s="4">
        <v>552306</v>
      </c>
      <c r="O140" s="7">
        <v>997</v>
      </c>
      <c r="P140" s="7">
        <v>331436</v>
      </c>
      <c r="Q140" s="4">
        <v>332433</v>
      </c>
      <c r="R140" s="4">
        <v>1095</v>
      </c>
      <c r="S140" s="4">
        <v>40138</v>
      </c>
      <c r="T140" s="4">
        <v>63648</v>
      </c>
      <c r="U140" s="4">
        <f>126755-T140-S140-R140</f>
        <v>21874</v>
      </c>
      <c r="V140" s="156">
        <f t="shared" si="24"/>
        <v>68664</v>
      </c>
      <c r="W140" s="53">
        <f t="shared" si="12"/>
        <v>1.2262612140277292E-2</v>
      </c>
      <c r="X140" s="43">
        <f t="shared" si="13"/>
        <v>1.7818144547726608E-2</v>
      </c>
      <c r="Y140" s="259">
        <f t="shared" si="20"/>
        <v>1.2262612140277292E-2</v>
      </c>
      <c r="Z140" s="110">
        <f t="shared" si="23"/>
        <v>0.16890174423700577</v>
      </c>
      <c r="AB140" s="110">
        <f t="shared" si="22"/>
        <v>0.34245801448307739</v>
      </c>
      <c r="AD140" s="110">
        <f t="shared" si="15"/>
        <v>0.2680800768264755</v>
      </c>
    </row>
    <row r="141" spans="1:30" x14ac:dyDescent="0.25">
      <c r="A141" s="54">
        <v>44032</v>
      </c>
      <c r="B141" s="190">
        <v>3937</v>
      </c>
      <c r="C141" s="24">
        <f t="shared" si="16"/>
        <v>3930</v>
      </c>
      <c r="D141" s="190">
        <v>130774</v>
      </c>
      <c r="E141" s="190">
        <v>113</v>
      </c>
      <c r="F141" s="24">
        <f t="shared" si="17"/>
        <v>67.142857142857139</v>
      </c>
      <c r="G141" s="190">
        <f t="shared" ref="G141:G146" si="26">G140+E141</f>
        <v>2373</v>
      </c>
      <c r="H141" s="190">
        <f t="shared" si="25"/>
        <v>2685</v>
      </c>
      <c r="I141" s="218">
        <v>58598</v>
      </c>
      <c r="J141" s="190">
        <v>853</v>
      </c>
      <c r="K141" s="24">
        <f t="shared" si="21"/>
        <v>812.85714285714289</v>
      </c>
      <c r="L141" s="190">
        <v>11207</v>
      </c>
      <c r="M141" s="24">
        <f t="shared" si="21"/>
        <v>11387.714285714286</v>
      </c>
      <c r="N141" s="4">
        <v>563513</v>
      </c>
      <c r="O141" s="7">
        <v>1014</v>
      </c>
      <c r="P141" s="7">
        <v>337237</v>
      </c>
      <c r="Q141" s="4">
        <v>338251</v>
      </c>
      <c r="R141" s="4">
        <v>1095</v>
      </c>
      <c r="S141" s="4">
        <v>41086</v>
      </c>
      <c r="T141" s="4">
        <v>66293</v>
      </c>
      <c r="U141" s="4">
        <f>130744-T141-R141-S141</f>
        <v>22270</v>
      </c>
      <c r="V141" s="156">
        <f t="shared" si="24"/>
        <v>69803</v>
      </c>
      <c r="W141" s="53">
        <f t="shared" si="12"/>
        <v>1.2220105153073649E-2</v>
      </c>
      <c r="X141" s="43">
        <f t="shared" si="13"/>
        <v>1.8145808799914356E-2</v>
      </c>
      <c r="Y141" s="259">
        <f t="shared" si="20"/>
        <v>1.2220105153073649E-2</v>
      </c>
      <c r="Z141" s="110">
        <f t="shared" si="23"/>
        <v>0.17143587123147674</v>
      </c>
      <c r="AB141" s="110">
        <f t="shared" si="22"/>
        <v>0.34510876383069472</v>
      </c>
      <c r="AD141" s="110">
        <f t="shared" si="15"/>
        <v>0.24882368727077564</v>
      </c>
    </row>
    <row r="142" spans="1:30" x14ac:dyDescent="0.25">
      <c r="A142" s="2">
        <v>44033</v>
      </c>
      <c r="B142" s="190">
        <v>5344</v>
      </c>
      <c r="C142" s="24">
        <f t="shared" si="16"/>
        <v>4172.7142857142853</v>
      </c>
      <c r="D142" s="190">
        <f t="shared" ref="D142:D154" si="27">D141+B142</f>
        <v>136118</v>
      </c>
      <c r="E142" s="190">
        <v>117</v>
      </c>
      <c r="F142" s="24">
        <f t="shared" si="17"/>
        <v>74.571428571428569</v>
      </c>
      <c r="G142" s="190">
        <f t="shared" si="26"/>
        <v>2490</v>
      </c>
      <c r="H142" s="190">
        <f t="shared" si="25"/>
        <v>1933</v>
      </c>
      <c r="I142" s="218">
        <v>60531</v>
      </c>
      <c r="J142" s="190">
        <v>890</v>
      </c>
      <c r="K142" s="24">
        <f t="shared" si="21"/>
        <v>829.71428571428567</v>
      </c>
      <c r="L142" s="190">
        <v>14689</v>
      </c>
      <c r="M142" s="24">
        <f t="shared" si="21"/>
        <v>11876.714285714286</v>
      </c>
      <c r="N142" s="4">
        <v>578202</v>
      </c>
      <c r="O142" s="7">
        <v>1037</v>
      </c>
      <c r="P142" s="7">
        <v>344681</v>
      </c>
      <c r="Q142" s="4">
        <v>345718</v>
      </c>
      <c r="R142" s="4">
        <v>1096</v>
      </c>
      <c r="S142" s="4">
        <v>42253</v>
      </c>
      <c r="T142" s="4">
        <v>69442</v>
      </c>
      <c r="U142" s="4">
        <v>23327</v>
      </c>
      <c r="V142" s="156">
        <f t="shared" si="24"/>
        <v>73097</v>
      </c>
      <c r="W142" s="53">
        <f t="shared" ref="W142:W160" si="28">J142/(D142-G142-I142)</f>
        <v>1.2175602281899393E-2</v>
      </c>
      <c r="X142" s="43">
        <f t="shared" si="13"/>
        <v>1.8292951703668875E-2</v>
      </c>
      <c r="Y142" s="259">
        <f t="shared" si="20"/>
        <v>1.2175602281899393E-2</v>
      </c>
      <c r="Z142" s="110">
        <f t="shared" si="23"/>
        <v>0.21048487360132606</v>
      </c>
      <c r="AB142" s="110">
        <f t="shared" si="22"/>
        <v>0.35133574701997905</v>
      </c>
      <c r="AD142" s="110">
        <f t="shared" si="15"/>
        <v>0.26807646936368057</v>
      </c>
    </row>
    <row r="143" spans="1:30" x14ac:dyDescent="0.25">
      <c r="A143" s="2">
        <v>44034</v>
      </c>
      <c r="B143" s="190">
        <v>5782</v>
      </c>
      <c r="C143" s="24">
        <f t="shared" si="16"/>
        <v>4391.5714285714284</v>
      </c>
      <c r="D143" s="190">
        <f t="shared" si="27"/>
        <v>141900</v>
      </c>
      <c r="E143" s="190">
        <v>98</v>
      </c>
      <c r="F143" s="24">
        <f t="shared" si="17"/>
        <v>76.857142857142861</v>
      </c>
      <c r="G143" s="190">
        <f t="shared" si="26"/>
        <v>2588</v>
      </c>
      <c r="H143" s="190">
        <f t="shared" si="25"/>
        <v>2284</v>
      </c>
      <c r="I143" s="218">
        <v>62815</v>
      </c>
      <c r="J143" s="190">
        <v>902</v>
      </c>
      <c r="K143" s="24">
        <f t="shared" si="21"/>
        <v>846.71428571428567</v>
      </c>
      <c r="L143" s="190">
        <v>14842</v>
      </c>
      <c r="M143" s="24">
        <f t="shared" si="21"/>
        <v>12116.571428571429</v>
      </c>
      <c r="N143" s="4">
        <f>N142+L143</f>
        <v>593044</v>
      </c>
      <c r="O143" s="7">
        <v>1058</v>
      </c>
      <c r="P143" s="7">
        <v>351858</v>
      </c>
      <c r="Q143" s="4">
        <v>352916</v>
      </c>
      <c r="R143" s="4">
        <v>1096</v>
      </c>
      <c r="S143" s="4">
        <v>43748</v>
      </c>
      <c r="T143" s="4">
        <v>72527</v>
      </c>
      <c r="U143" s="4">
        <f>141900-T143-S143-R143</f>
        <v>24529</v>
      </c>
      <c r="V143" s="156">
        <f t="shared" si="24"/>
        <v>76497</v>
      </c>
      <c r="W143" s="53">
        <f t="shared" si="28"/>
        <v>1.1791312077597814E-2</v>
      </c>
      <c r="X143" s="43">
        <f t="shared" ref="X143:X196" si="29">G143/D143</f>
        <v>1.8238195912614517E-2</v>
      </c>
      <c r="Y143" s="259">
        <f t="shared" si="20"/>
        <v>1.1791312077597814E-2</v>
      </c>
      <c r="Z143" s="110">
        <f t="shared" si="23"/>
        <v>0.27603669420115406</v>
      </c>
      <c r="AB143" s="110">
        <f t="shared" si="22"/>
        <v>0.36244340690435767</v>
      </c>
      <c r="AD143" s="110">
        <f t="shared" si="15"/>
        <v>0.27516252708784794</v>
      </c>
    </row>
    <row r="144" spans="1:30" x14ac:dyDescent="0.25">
      <c r="A144" s="2">
        <v>44035</v>
      </c>
      <c r="B144" s="194">
        <v>6127</v>
      </c>
      <c r="C144" s="24">
        <f t="shared" si="16"/>
        <v>4749.1428571428569</v>
      </c>
      <c r="D144" s="190">
        <f t="shared" si="27"/>
        <v>148027</v>
      </c>
      <c r="E144" s="190">
        <f>29+85</f>
        <v>114</v>
      </c>
      <c r="F144" s="24">
        <f t="shared" si="17"/>
        <v>84.285714285714292</v>
      </c>
      <c r="G144" s="190">
        <f t="shared" si="26"/>
        <v>2702</v>
      </c>
      <c r="H144" s="190">
        <f t="shared" si="25"/>
        <v>2632</v>
      </c>
      <c r="I144" s="218">
        <v>65447</v>
      </c>
      <c r="J144" s="190">
        <v>913</v>
      </c>
      <c r="K144" s="24">
        <f t="shared" si="21"/>
        <v>863.85714285714289</v>
      </c>
      <c r="L144" s="193">
        <v>16218</v>
      </c>
      <c r="M144" s="24">
        <f t="shared" si="21"/>
        <v>12854.428571428571</v>
      </c>
      <c r="N144" s="4">
        <v>609262</v>
      </c>
      <c r="O144" s="7">
        <v>1082</v>
      </c>
      <c r="P144" s="7">
        <v>359756</v>
      </c>
      <c r="Q144" s="4">
        <v>360838</v>
      </c>
      <c r="R144" s="4">
        <v>1101</v>
      </c>
      <c r="S144" s="4">
        <v>45026</v>
      </c>
      <c r="T144" s="4">
        <v>76114</v>
      </c>
      <c r="U144" s="4">
        <f>148027-T144-S144-R144</f>
        <v>25786</v>
      </c>
      <c r="V144" s="156">
        <f t="shared" si="24"/>
        <v>79878</v>
      </c>
      <c r="W144" s="53">
        <f t="shared" si="28"/>
        <v>1.1429930644232455E-2</v>
      </c>
      <c r="X144" s="43">
        <f t="shared" si="29"/>
        <v>1.8253426739716402E-2</v>
      </c>
      <c r="Y144" s="259">
        <f t="shared" si="20"/>
        <v>1.1429930644232455E-2</v>
      </c>
      <c r="Z144" s="110">
        <f t="shared" si="23"/>
        <v>0.31701133032247841</v>
      </c>
      <c r="AB144" s="110">
        <f t="shared" si="22"/>
        <v>0.36945577399673263</v>
      </c>
      <c r="AD144" s="110">
        <f t="shared" si="15"/>
        <v>0.27010224038415664</v>
      </c>
    </row>
    <row r="145" spans="1:30" x14ac:dyDescent="0.25">
      <c r="A145" s="2">
        <v>44036</v>
      </c>
      <c r="B145" s="190">
        <v>5493</v>
      </c>
      <c r="C145" s="24">
        <f t="shared" si="16"/>
        <v>4888.4285714285716</v>
      </c>
      <c r="D145" s="190">
        <f t="shared" si="27"/>
        <v>153520</v>
      </c>
      <c r="E145" s="190">
        <f>20+85</f>
        <v>105</v>
      </c>
      <c r="F145" s="24">
        <f t="shared" si="17"/>
        <v>89.857142857142861</v>
      </c>
      <c r="G145" s="190">
        <f t="shared" si="26"/>
        <v>2807</v>
      </c>
      <c r="H145" s="190">
        <f t="shared" si="25"/>
        <v>2575</v>
      </c>
      <c r="I145" s="218">
        <v>68022</v>
      </c>
      <c r="J145" s="190">
        <v>955</v>
      </c>
      <c r="K145" s="24">
        <f t="shared" si="21"/>
        <v>882.71428571428567</v>
      </c>
      <c r="L145" s="298">
        <v>14631</v>
      </c>
      <c r="M145" s="24">
        <f t="shared" si="21"/>
        <v>13162.857142857143</v>
      </c>
      <c r="N145" s="4">
        <f>N144+L145</f>
        <v>623893</v>
      </c>
      <c r="O145" s="7">
        <v>736</v>
      </c>
      <c r="P145" s="7">
        <v>367243</v>
      </c>
      <c r="Q145" s="4">
        <v>367979</v>
      </c>
      <c r="R145" s="4">
        <v>1105</v>
      </c>
      <c r="S145" s="4">
        <v>46528</v>
      </c>
      <c r="T145" s="4">
        <v>79424</v>
      </c>
      <c r="U145" s="4">
        <f>153520-T145-S145-R145</f>
        <v>26463</v>
      </c>
      <c r="V145" s="156">
        <f t="shared" si="24"/>
        <v>82691</v>
      </c>
      <c r="W145" s="53">
        <f t="shared" si="28"/>
        <v>1.1549019844964991E-2</v>
      </c>
      <c r="X145" s="43">
        <f t="shared" si="29"/>
        <v>1.8284262636789995E-2</v>
      </c>
      <c r="Y145" s="259">
        <f t="shared" si="20"/>
        <v>1.1549019844964991E-2</v>
      </c>
      <c r="Z145" s="110">
        <f t="shared" si="23"/>
        <v>0.36341541158658064</v>
      </c>
      <c r="AB145" s="110">
        <f t="shared" si="22"/>
        <v>0.37138050792272631</v>
      </c>
      <c r="AD145" s="110">
        <f t="shared" ref="AD145:AD166" si="30">V145/V138-1</f>
        <v>0.22790787461206063</v>
      </c>
    </row>
    <row r="146" spans="1:30" x14ac:dyDescent="0.25">
      <c r="A146" s="2">
        <v>44037</v>
      </c>
      <c r="B146" s="190">
        <v>4814</v>
      </c>
      <c r="C146" s="24">
        <f t="shared" si="16"/>
        <v>5104</v>
      </c>
      <c r="D146" s="190">
        <f t="shared" si="27"/>
        <v>158334</v>
      </c>
      <c r="E146" s="190">
        <v>86</v>
      </c>
      <c r="F146" s="24">
        <f t="shared" si="17"/>
        <v>96.142857142857139</v>
      </c>
      <c r="G146" s="190">
        <f t="shared" si="26"/>
        <v>2893</v>
      </c>
      <c r="H146" s="190">
        <f t="shared" si="25"/>
        <v>2496</v>
      </c>
      <c r="I146" s="218">
        <v>70518</v>
      </c>
      <c r="J146" s="190">
        <v>980</v>
      </c>
      <c r="K146" s="24">
        <f t="shared" si="21"/>
        <v>905</v>
      </c>
      <c r="L146" s="190">
        <v>12951</v>
      </c>
      <c r="M146" s="24">
        <f t="shared" si="21"/>
        <v>13658</v>
      </c>
      <c r="N146" s="4">
        <v>636844</v>
      </c>
      <c r="O146" s="7">
        <f>Q146-P146</f>
        <v>748.94599999999627</v>
      </c>
      <c r="P146" s="7">
        <f>Q146*0.998</f>
        <v>373724.054</v>
      </c>
      <c r="Q146" s="4">
        <v>374473</v>
      </c>
      <c r="R146" s="4">
        <v>1107</v>
      </c>
      <c r="S146" s="4">
        <v>47659</v>
      </c>
      <c r="T146" s="4">
        <v>81828</v>
      </c>
      <c r="U146" s="4">
        <f>158334-T146-S146-R146</f>
        <v>27740</v>
      </c>
      <c r="V146" s="156">
        <f t="shared" si="24"/>
        <v>84923</v>
      </c>
      <c r="W146" s="53">
        <f t="shared" si="28"/>
        <v>1.1539865525240512E-2</v>
      </c>
      <c r="X146" s="43">
        <f t="shared" si="29"/>
        <v>1.8271502014728359E-2</v>
      </c>
      <c r="Y146" s="259">
        <f t="shared" si="20"/>
        <v>1.1539865525240512E-2</v>
      </c>
      <c r="Z146" s="110">
        <f t="shared" si="23"/>
        <v>0.33953209358128378</v>
      </c>
      <c r="AB146" s="110">
        <f t="shared" si="22"/>
        <v>0.37370039537267535</v>
      </c>
      <c r="AD146" s="110">
        <f t="shared" si="30"/>
        <v>0.25293970108735753</v>
      </c>
    </row>
    <row r="147" spans="1:30" x14ac:dyDescent="0.25">
      <c r="A147" s="2">
        <v>44038</v>
      </c>
      <c r="B147" s="190">
        <v>4192</v>
      </c>
      <c r="C147" s="24">
        <f t="shared" si="16"/>
        <v>5098.4285714285716</v>
      </c>
      <c r="D147" s="190">
        <f t="shared" si="27"/>
        <v>162526</v>
      </c>
      <c r="E147" s="190">
        <v>45</v>
      </c>
      <c r="F147" s="24">
        <f t="shared" si="17"/>
        <v>96.857142857142861</v>
      </c>
      <c r="G147" s="190">
        <f>G146+E147</f>
        <v>2938</v>
      </c>
      <c r="H147" s="190">
        <f t="shared" si="25"/>
        <v>2057</v>
      </c>
      <c r="I147" s="218">
        <v>72575</v>
      </c>
      <c r="J147" s="190">
        <v>993</v>
      </c>
      <c r="K147" s="24">
        <f t="shared" si="21"/>
        <v>926.57142857142856</v>
      </c>
      <c r="L147" s="190">
        <v>10870</v>
      </c>
      <c r="M147" s="24">
        <f t="shared" si="21"/>
        <v>13629.714285714286</v>
      </c>
      <c r="N147" s="14">
        <v>647714</v>
      </c>
      <c r="O147" s="7">
        <f>Q147-P147</f>
        <v>759.3979999999865</v>
      </c>
      <c r="P147" s="7">
        <f>0.998*Q147</f>
        <v>378939.60200000001</v>
      </c>
      <c r="Q147" s="4">
        <v>379699</v>
      </c>
      <c r="R147" s="4">
        <v>1109</v>
      </c>
      <c r="S147" s="4">
        <v>46698</v>
      </c>
      <c r="T147" s="4">
        <v>84358</v>
      </c>
      <c r="U147" s="4">
        <f>162526-T147-S147-R147</f>
        <v>30361</v>
      </c>
      <c r="V147" s="156">
        <f t="shared" si="24"/>
        <v>87013</v>
      </c>
      <c r="W147" s="53">
        <f t="shared" si="28"/>
        <v>1.1412087848942112E-2</v>
      </c>
      <c r="X147" s="43">
        <f t="shared" si="29"/>
        <v>1.8077107662773956E-2</v>
      </c>
      <c r="Y147" s="259">
        <f t="shared" si="20"/>
        <v>1.1412087848942112E-2</v>
      </c>
      <c r="Z147" s="110">
        <f t="shared" si="23"/>
        <v>0.29731006906579438</v>
      </c>
      <c r="AB147" s="110">
        <f t="shared" si="22"/>
        <v>0.37406716417910446</v>
      </c>
      <c r="AD147" s="110">
        <f t="shared" si="30"/>
        <v>0.26722882442036577</v>
      </c>
    </row>
    <row r="148" spans="1:30" x14ac:dyDescent="0.25">
      <c r="A148" s="54">
        <v>44039</v>
      </c>
      <c r="B148" s="190">
        <v>4890</v>
      </c>
      <c r="C148" s="24">
        <f t="shared" si="16"/>
        <v>5234.5714285714284</v>
      </c>
      <c r="D148" s="190">
        <f t="shared" si="27"/>
        <v>167416</v>
      </c>
      <c r="E148" s="190">
        <f>17+104</f>
        <v>121</v>
      </c>
      <c r="F148" s="24">
        <f t="shared" si="17"/>
        <v>98</v>
      </c>
      <c r="G148" s="190">
        <f>G147+E148</f>
        <v>3059</v>
      </c>
      <c r="H148" s="190">
        <f t="shared" si="25"/>
        <v>2508</v>
      </c>
      <c r="I148" s="218">
        <v>75083</v>
      </c>
      <c r="J148" s="190">
        <v>1002</v>
      </c>
      <c r="K148" s="24">
        <f t="shared" si="21"/>
        <v>947.85714285714289</v>
      </c>
      <c r="L148" s="190">
        <v>12398</v>
      </c>
      <c r="M148" s="24">
        <f t="shared" si="21"/>
        <v>13799.857142857143</v>
      </c>
      <c r="N148" s="14">
        <f>N147+L148</f>
        <v>660112</v>
      </c>
      <c r="O148" s="7">
        <v>771</v>
      </c>
      <c r="P148" s="7">
        <f>Q148-O148</f>
        <v>384872</v>
      </c>
      <c r="Q148" s="4">
        <v>385643</v>
      </c>
      <c r="R148" s="4">
        <v>1112</v>
      </c>
      <c r="S148" s="4">
        <v>49648</v>
      </c>
      <c r="T148" s="4">
        <v>88238</v>
      </c>
      <c r="U148" s="4">
        <f>167416-T148-S148-R148</f>
        <v>28418</v>
      </c>
      <c r="V148" s="156">
        <f t="shared" si="24"/>
        <v>89274</v>
      </c>
      <c r="W148" s="53">
        <f t="shared" si="28"/>
        <v>1.1223872572081458E-2</v>
      </c>
      <c r="X148" s="43">
        <f t="shared" si="29"/>
        <v>1.8271849763463469E-2</v>
      </c>
      <c r="Y148" s="259">
        <f t="shared" si="20"/>
        <v>1.1223872572081458E-2</v>
      </c>
      <c r="Z148" s="110">
        <f t="shared" si="23"/>
        <v>0.25447636002601937</v>
      </c>
      <c r="AB148" s="110">
        <f t="shared" si="22"/>
        <v>0.37932069690162423</v>
      </c>
      <c r="AD148" s="110">
        <f t="shared" si="30"/>
        <v>0.27894216580949238</v>
      </c>
    </row>
    <row r="149" spans="1:30" x14ac:dyDescent="0.25">
      <c r="A149" s="2">
        <v>44040</v>
      </c>
      <c r="B149" s="190">
        <v>5939</v>
      </c>
      <c r="C149" s="24">
        <f t="shared" si="16"/>
        <v>5319.5714285714284</v>
      </c>
      <c r="D149" s="190">
        <f t="shared" si="27"/>
        <v>173355</v>
      </c>
      <c r="E149" s="190">
        <f>23+97</f>
        <v>120</v>
      </c>
      <c r="F149" s="24">
        <f t="shared" si="17"/>
        <v>98.428571428571431</v>
      </c>
      <c r="G149" s="190">
        <v>3178</v>
      </c>
      <c r="H149" s="190">
        <f t="shared" si="25"/>
        <v>2772</v>
      </c>
      <c r="I149" s="218">
        <v>77855</v>
      </c>
      <c r="J149" s="190">
        <v>1024</v>
      </c>
      <c r="K149" s="24">
        <f t="shared" si="21"/>
        <v>967</v>
      </c>
      <c r="L149" s="190">
        <v>14899</v>
      </c>
      <c r="M149" s="24">
        <f t="shared" si="21"/>
        <v>13829.857142857143</v>
      </c>
      <c r="N149" s="14">
        <v>675011</v>
      </c>
      <c r="O149" s="7">
        <f t="shared" ref="O149:O202" si="31">Q149-P149</f>
        <v>785.48800000001211</v>
      </c>
      <c r="P149" s="7">
        <f t="shared" ref="P149:P178" si="32">0.998*Q149</f>
        <v>391958.51199999999</v>
      </c>
      <c r="Q149" s="4">
        <v>392744</v>
      </c>
      <c r="R149" s="4">
        <v>1119</v>
      </c>
      <c r="S149" s="4">
        <v>51090</v>
      </c>
      <c r="T149" s="4">
        <v>92345</v>
      </c>
      <c r="U149" s="4">
        <f>173355-T149-S149-R149</f>
        <v>28801</v>
      </c>
      <c r="V149" s="156">
        <f t="shared" si="24"/>
        <v>92322</v>
      </c>
      <c r="W149" s="53">
        <f t="shared" si="28"/>
        <v>1.1091614133142696E-2</v>
      </c>
      <c r="X149" s="43">
        <f t="shared" si="29"/>
        <v>1.8332323844134867E-2</v>
      </c>
      <c r="Y149" s="259">
        <f t="shared" si="20"/>
        <v>1.1091614133142696E-2</v>
      </c>
      <c r="Z149" s="110">
        <f t="shared" si="23"/>
        <v>0.21131388048534538</v>
      </c>
      <c r="AB149" s="110">
        <f t="shared" si="22"/>
        <v>0.38464398971170038</v>
      </c>
      <c r="AD149" s="110">
        <f t="shared" si="30"/>
        <v>0.26300668974102903</v>
      </c>
    </row>
    <row r="150" spans="1:30" x14ac:dyDescent="0.25">
      <c r="A150" s="2">
        <v>44041</v>
      </c>
      <c r="B150" s="190">
        <v>5641</v>
      </c>
      <c r="C150" s="24">
        <f t="shared" si="16"/>
        <v>5299.4285714285716</v>
      </c>
      <c r="D150" s="190">
        <f t="shared" si="27"/>
        <v>178996</v>
      </c>
      <c r="E150" s="190">
        <v>110</v>
      </c>
      <c r="F150" s="24">
        <f t="shared" si="17"/>
        <v>100.14285714285714</v>
      </c>
      <c r="G150" s="190">
        <f>G149+E150</f>
        <v>3288</v>
      </c>
      <c r="H150" s="190">
        <f t="shared" si="25"/>
        <v>2741</v>
      </c>
      <c r="I150" s="218">
        <v>80596</v>
      </c>
      <c r="J150" s="190">
        <v>1057</v>
      </c>
      <c r="K150" s="24">
        <f t="shared" si="21"/>
        <v>989.14285714285711</v>
      </c>
      <c r="L150" s="190">
        <v>15812</v>
      </c>
      <c r="M150" s="24">
        <f t="shared" si="21"/>
        <v>13968.428571428571</v>
      </c>
      <c r="N150" s="14">
        <v>690823</v>
      </c>
      <c r="O150" s="7">
        <f t="shared" si="31"/>
        <v>801.66200000001118</v>
      </c>
      <c r="P150" s="7">
        <f t="shared" si="32"/>
        <v>400029.33799999999</v>
      </c>
      <c r="Q150" s="4">
        <v>400831</v>
      </c>
      <c r="R150" s="4">
        <v>1115</v>
      </c>
      <c r="S150" s="4">
        <v>52375</v>
      </c>
      <c r="T150" s="4">
        <v>96710</v>
      </c>
      <c r="U150" s="4">
        <f>178996-T150-S150-R150</f>
        <v>28796</v>
      </c>
      <c r="V150" s="156">
        <f t="shared" si="24"/>
        <v>95112</v>
      </c>
      <c r="W150" s="53">
        <f t="shared" si="28"/>
        <v>1.1113213895197241E-2</v>
      </c>
      <c r="X150" s="43">
        <f t="shared" si="29"/>
        <v>1.8369125567051777E-2</v>
      </c>
      <c r="Y150" s="259">
        <f t="shared" si="20"/>
        <v>1.1113213895197241E-2</v>
      </c>
      <c r="Z150" s="110">
        <f t="shared" si="23"/>
        <v>0.11587053302851658</v>
      </c>
      <c r="AB150" s="110">
        <f t="shared" si="22"/>
        <v>0.37938616676382453</v>
      </c>
      <c r="AD150" s="110">
        <f t="shared" si="30"/>
        <v>0.24334287619122308</v>
      </c>
    </row>
    <row r="151" spans="1:30" x14ac:dyDescent="0.25">
      <c r="A151" s="2">
        <v>44042</v>
      </c>
      <c r="B151" s="190">
        <v>6377</v>
      </c>
      <c r="C151" s="24">
        <f t="shared" si="16"/>
        <v>5335.1428571428569</v>
      </c>
      <c r="D151" s="190">
        <f t="shared" si="27"/>
        <v>185373</v>
      </c>
      <c r="E151" s="190">
        <f>23+131</f>
        <v>154</v>
      </c>
      <c r="F151" s="24">
        <f t="shared" si="17"/>
        <v>105.85714285714286</v>
      </c>
      <c r="G151" s="190">
        <f>G150+E151</f>
        <v>3442</v>
      </c>
      <c r="H151" s="190">
        <f t="shared" si="25"/>
        <v>3184</v>
      </c>
      <c r="I151" s="218">
        <v>83780</v>
      </c>
      <c r="J151" s="190">
        <v>1076</v>
      </c>
      <c r="K151" s="24">
        <f t="shared" si="21"/>
        <v>1012.4285714285714</v>
      </c>
      <c r="L151" s="190">
        <v>16685</v>
      </c>
      <c r="M151" s="24">
        <f t="shared" si="21"/>
        <v>14035.142857142857</v>
      </c>
      <c r="N151" s="4">
        <v>707508</v>
      </c>
      <c r="O151" s="7">
        <f t="shared" si="31"/>
        <v>818.0800000000163</v>
      </c>
      <c r="P151" s="7">
        <f t="shared" si="32"/>
        <v>408221.92</v>
      </c>
      <c r="Q151" s="4">
        <v>409040</v>
      </c>
      <c r="R151" s="4">
        <v>1117</v>
      </c>
      <c r="S151" s="4">
        <v>53660</v>
      </c>
      <c r="T151" s="4">
        <v>100811</v>
      </c>
      <c r="U151" s="4">
        <f>185373-T151-S151-R151</f>
        <v>29785</v>
      </c>
      <c r="V151" s="156">
        <f t="shared" si="24"/>
        <v>98151</v>
      </c>
      <c r="W151" s="53">
        <f t="shared" si="28"/>
        <v>1.0962700329084777E-2</v>
      </c>
      <c r="X151" s="43">
        <f t="shared" si="29"/>
        <v>1.8567968366482713E-2</v>
      </c>
      <c r="Y151" s="259">
        <f t="shared" si="20"/>
        <v>1.0962700329084777E-2</v>
      </c>
      <c r="Z151" s="110">
        <f t="shared" si="23"/>
        <v>9.1381980770916638E-2</v>
      </c>
      <c r="AB151" s="110">
        <f t="shared" si="22"/>
        <v>0.38012743521364739</v>
      </c>
      <c r="AD151" s="110">
        <f t="shared" si="30"/>
        <v>0.22876136107564027</v>
      </c>
    </row>
    <row r="152" spans="1:30" x14ac:dyDescent="0.25">
      <c r="A152" s="2">
        <v>44043</v>
      </c>
      <c r="B152" s="190">
        <v>5929</v>
      </c>
      <c r="C152" s="24">
        <f t="shared" si="16"/>
        <v>5397.4285714285716</v>
      </c>
      <c r="D152" s="190">
        <f t="shared" si="27"/>
        <v>191302</v>
      </c>
      <c r="E152" s="190">
        <f>25+77</f>
        <v>102</v>
      </c>
      <c r="F152" s="24">
        <f t="shared" si="17"/>
        <v>105.42857142857143</v>
      </c>
      <c r="G152" s="190">
        <f>G151+E152</f>
        <v>3544</v>
      </c>
      <c r="H152" s="190">
        <f t="shared" si="25"/>
        <v>2719</v>
      </c>
      <c r="I152" s="218">
        <v>86499</v>
      </c>
      <c r="J152" s="190">
        <v>1104</v>
      </c>
      <c r="K152" s="24">
        <f t="shared" si="21"/>
        <v>1033.7142857142858</v>
      </c>
      <c r="L152" s="190">
        <v>15442</v>
      </c>
      <c r="M152" s="24">
        <f t="shared" si="21"/>
        <v>14151</v>
      </c>
      <c r="N152" s="4">
        <f>N151+L152</f>
        <v>722950</v>
      </c>
      <c r="O152" s="7">
        <f t="shared" si="31"/>
        <v>833.97600000002421</v>
      </c>
      <c r="P152" s="7">
        <f t="shared" si="32"/>
        <v>416154.02399999998</v>
      </c>
      <c r="Q152" s="4">
        <v>416988</v>
      </c>
      <c r="R152" s="4">
        <v>1122</v>
      </c>
      <c r="S152" s="4">
        <v>54915</v>
      </c>
      <c r="T152" s="4">
        <v>104695</v>
      </c>
      <c r="U152" s="4">
        <f>191302-T152-S152-R152</f>
        <v>30570</v>
      </c>
      <c r="V152" s="156">
        <f t="shared" si="24"/>
        <v>101259</v>
      </c>
      <c r="W152" s="53">
        <f t="shared" si="28"/>
        <v>1.0902734571741771E-2</v>
      </c>
      <c r="X152" s="43">
        <f t="shared" si="29"/>
        <v>1.852568190609612E-2</v>
      </c>
      <c r="Y152" s="259">
        <f t="shared" si="20"/>
        <v>1.0902734571741771E-2</v>
      </c>
      <c r="Z152" s="110">
        <f t="shared" si="23"/>
        <v>5.7489923869234349E-2</v>
      </c>
      <c r="AB152" s="110">
        <f t="shared" si="22"/>
        <v>0.38141676004724551</v>
      </c>
      <c r="AD152" s="110">
        <f t="shared" si="30"/>
        <v>0.22454680678671202</v>
      </c>
    </row>
    <row r="153" spans="1:30" x14ac:dyDescent="0.25">
      <c r="A153" s="2">
        <v>44044</v>
      </c>
      <c r="B153" s="190">
        <v>5241</v>
      </c>
      <c r="C153" s="24">
        <f t="shared" si="16"/>
        <v>5458.4285714285716</v>
      </c>
      <c r="D153" s="190">
        <f t="shared" si="27"/>
        <v>196543</v>
      </c>
      <c r="E153" s="190">
        <f>15+38</f>
        <v>53</v>
      </c>
      <c r="F153" s="24">
        <f t="shared" si="17"/>
        <v>100.71428571428571</v>
      </c>
      <c r="G153" s="190">
        <v>3596</v>
      </c>
      <c r="H153" s="190">
        <f t="shared" si="25"/>
        <v>2527</v>
      </c>
      <c r="I153" s="218">
        <v>89026</v>
      </c>
      <c r="J153" s="190">
        <v>1128</v>
      </c>
      <c r="K153" s="24">
        <f t="shared" si="21"/>
        <v>1054.8571428571429</v>
      </c>
      <c r="L153" s="190">
        <v>13057</v>
      </c>
      <c r="M153" s="24">
        <f t="shared" si="21"/>
        <v>14166.142857142857</v>
      </c>
      <c r="N153" s="4">
        <v>736007</v>
      </c>
      <c r="O153" s="7">
        <f t="shared" si="31"/>
        <v>846.24599999998463</v>
      </c>
      <c r="P153" s="7">
        <f t="shared" si="32"/>
        <v>422276.75400000002</v>
      </c>
      <c r="Q153" s="4">
        <v>423123</v>
      </c>
      <c r="R153" s="4">
        <v>1123</v>
      </c>
      <c r="S153" s="4">
        <v>55946</v>
      </c>
      <c r="T153" s="4">
        <v>107909</v>
      </c>
      <c r="U153" s="4">
        <f>196543-T153-S153-R153</f>
        <v>31565</v>
      </c>
      <c r="V153" s="156">
        <f t="shared" si="24"/>
        <v>103921</v>
      </c>
      <c r="W153" s="53">
        <f t="shared" si="28"/>
        <v>1.0854399014636118E-2</v>
      </c>
      <c r="X153" s="43">
        <f t="shared" si="29"/>
        <v>1.8296250693232523E-2</v>
      </c>
      <c r="Y153" s="259">
        <f t="shared" si="20"/>
        <v>1.0854399014636118E-2</v>
      </c>
      <c r="Z153" s="110">
        <f t="shared" si="23"/>
        <v>7.060999187424688E-2</v>
      </c>
      <c r="AB153" s="110">
        <f t="shared" si="22"/>
        <v>0.38531508728053809</v>
      </c>
      <c r="AD153" s="110">
        <f t="shared" si="30"/>
        <v>0.22370853596787676</v>
      </c>
    </row>
    <row r="154" spans="1:30" x14ac:dyDescent="0.25">
      <c r="A154" s="2">
        <v>44045</v>
      </c>
      <c r="B154" s="190">
        <v>5376</v>
      </c>
      <c r="C154" s="24">
        <f t="shared" si="16"/>
        <v>5627.5714285714284</v>
      </c>
      <c r="D154" s="190">
        <f t="shared" si="27"/>
        <v>201919</v>
      </c>
      <c r="E154" s="190">
        <f>15+36</f>
        <v>51</v>
      </c>
      <c r="F154" s="24">
        <f t="shared" si="17"/>
        <v>101.57142857142857</v>
      </c>
      <c r="G154" s="190">
        <f t="shared" ref="G154:G171" si="33">G153+E154</f>
        <v>3647</v>
      </c>
      <c r="H154" s="190">
        <f t="shared" si="25"/>
        <v>2276</v>
      </c>
      <c r="I154" s="218">
        <v>91302</v>
      </c>
      <c r="J154" s="190">
        <v>1112</v>
      </c>
      <c r="K154" s="24">
        <f t="shared" si="21"/>
        <v>1071.8571428571429</v>
      </c>
      <c r="L154" s="190">
        <v>11900</v>
      </c>
      <c r="M154" s="24">
        <f t="shared" si="21"/>
        <v>14313.285714285714</v>
      </c>
      <c r="N154" s="4">
        <v>747907</v>
      </c>
      <c r="O154" s="7">
        <f t="shared" si="31"/>
        <v>856.68800000002375</v>
      </c>
      <c r="P154" s="7">
        <f t="shared" si="32"/>
        <v>427487.31199999998</v>
      </c>
      <c r="Q154" s="4">
        <v>428344</v>
      </c>
      <c r="R154" s="4">
        <v>1123</v>
      </c>
      <c r="S154" s="4">
        <v>56975</v>
      </c>
      <c r="T154" s="4">
        <v>110459</v>
      </c>
      <c r="U154" s="4">
        <f>201919-T154-S154-R154</f>
        <v>33362</v>
      </c>
      <c r="V154" s="156">
        <f t="shared" si="24"/>
        <v>106970</v>
      </c>
      <c r="W154" s="53">
        <f t="shared" si="28"/>
        <v>1.0395437973263533E-2</v>
      </c>
      <c r="X154" s="43">
        <f t="shared" si="29"/>
        <v>1.8061698007616915E-2</v>
      </c>
      <c r="Y154" s="259">
        <f t="shared" si="20"/>
        <v>1.0395437973263533E-2</v>
      </c>
      <c r="Z154" s="110">
        <f t="shared" si="23"/>
        <v>7.5077779597183536E-2</v>
      </c>
      <c r="AB154" s="110">
        <f t="shared" si="22"/>
        <v>0.39317117962332698</v>
      </c>
      <c r="AD154" s="110">
        <f t="shared" si="30"/>
        <v>0.22935653293186076</v>
      </c>
    </row>
    <row r="155" spans="1:30" x14ac:dyDescent="0.25">
      <c r="A155" s="54">
        <v>44046</v>
      </c>
      <c r="B155" s="193">
        <v>4824</v>
      </c>
      <c r="C155" s="24">
        <f t="shared" si="16"/>
        <v>5618.1428571428569</v>
      </c>
      <c r="D155" s="190">
        <f>D154+B155</f>
        <v>206743</v>
      </c>
      <c r="E155" s="190">
        <v>164</v>
      </c>
      <c r="F155" s="24">
        <f t="shared" si="17"/>
        <v>107.71428571428571</v>
      </c>
      <c r="G155" s="190">
        <f t="shared" si="33"/>
        <v>3811</v>
      </c>
      <c r="H155" s="190">
        <f t="shared" si="25"/>
        <v>2827</v>
      </c>
      <c r="I155" s="218">
        <v>94129</v>
      </c>
      <c r="J155" s="190">
        <v>1150</v>
      </c>
      <c r="K155" s="24">
        <f t="shared" si="21"/>
        <v>1093</v>
      </c>
      <c r="L155" s="190">
        <v>12839</v>
      </c>
      <c r="M155" s="24">
        <f t="shared" si="21"/>
        <v>14376.285714285714</v>
      </c>
      <c r="N155" s="4">
        <v>760746</v>
      </c>
      <c r="O155" s="7">
        <f t="shared" si="31"/>
        <v>869.87800000002608</v>
      </c>
      <c r="P155" s="7">
        <f t="shared" si="32"/>
        <v>434069.12199999997</v>
      </c>
      <c r="Q155" s="4">
        <v>434939</v>
      </c>
      <c r="R155" s="4">
        <v>1123</v>
      </c>
      <c r="S155" s="4">
        <v>58084</v>
      </c>
      <c r="T155" s="4">
        <v>114826</v>
      </c>
      <c r="U155" s="4">
        <f>206743-R155-S155-T155</f>
        <v>32710</v>
      </c>
      <c r="V155" s="156">
        <f t="shared" si="24"/>
        <v>108803</v>
      </c>
      <c r="W155" s="53">
        <f t="shared" si="28"/>
        <v>1.0569561501061552E-2</v>
      </c>
      <c r="X155" s="43">
        <f t="shared" si="29"/>
        <v>1.8433514073027867E-2</v>
      </c>
      <c r="Y155" s="259">
        <f t="shared" si="20"/>
        <v>1.0569561501061552E-2</v>
      </c>
      <c r="Z155" s="110">
        <f t="shared" si="23"/>
        <v>5.6126970486344296E-2</v>
      </c>
      <c r="AB155" s="110">
        <f t="shared" si="22"/>
        <v>0.39079237633404218</v>
      </c>
      <c r="AD155" s="110">
        <f t="shared" si="30"/>
        <v>0.21875350045926023</v>
      </c>
    </row>
    <row r="156" spans="1:30" x14ac:dyDescent="0.25">
      <c r="A156" s="2">
        <v>44047</v>
      </c>
      <c r="B156" s="193">
        <v>6792</v>
      </c>
      <c r="C156" s="24">
        <f t="shared" si="16"/>
        <v>5740</v>
      </c>
      <c r="D156" s="190">
        <f>D155+B156</f>
        <v>213535</v>
      </c>
      <c r="E156" s="209">
        <f>116+52</f>
        <v>168</v>
      </c>
      <c r="F156" s="24">
        <f t="shared" si="17"/>
        <v>114.57142857142857</v>
      </c>
      <c r="G156" s="190">
        <f t="shared" si="33"/>
        <v>3979</v>
      </c>
      <c r="H156" s="190">
        <f t="shared" si="25"/>
        <v>2819</v>
      </c>
      <c r="I156" s="218">
        <v>96948</v>
      </c>
      <c r="J156" s="190">
        <v>1207</v>
      </c>
      <c r="K156" s="24">
        <f t="shared" si="21"/>
        <v>1119.1428571428571</v>
      </c>
      <c r="L156" s="190">
        <v>16532</v>
      </c>
      <c r="M156" s="24">
        <f t="shared" si="21"/>
        <v>14609.571428571429</v>
      </c>
      <c r="N156" s="4">
        <f>N155+L156</f>
        <v>777278</v>
      </c>
      <c r="O156" s="7">
        <f t="shared" si="31"/>
        <v>885.76199999998789</v>
      </c>
      <c r="P156" s="7">
        <f t="shared" si="32"/>
        <v>441995.23800000001</v>
      </c>
      <c r="Q156" s="4">
        <v>442881</v>
      </c>
      <c r="R156" s="4">
        <v>1123</v>
      </c>
      <c r="S156" s="4">
        <v>59408</v>
      </c>
      <c r="T156" s="4">
        <v>119544</v>
      </c>
      <c r="U156" s="4">
        <f>213535-T156-S156-R156</f>
        <v>33460</v>
      </c>
      <c r="V156" s="156">
        <f t="shared" si="24"/>
        <v>112608</v>
      </c>
      <c r="W156" s="53">
        <f t="shared" si="28"/>
        <v>1.0718599033816426E-2</v>
      </c>
      <c r="X156" s="43">
        <f t="shared" si="29"/>
        <v>1.8633947596412764E-2</v>
      </c>
      <c r="Y156" s="259">
        <f t="shared" si="20"/>
        <v>1.0718599033816426E-2</v>
      </c>
      <c r="Z156" s="110">
        <f t="shared" si="23"/>
        <v>8.3135648048306976E-2</v>
      </c>
      <c r="AB156" s="110">
        <f t="shared" si="22"/>
        <v>0.39289311312544611</v>
      </c>
      <c r="AD156" s="110">
        <f t="shared" si="30"/>
        <v>0.21973094170403584</v>
      </c>
    </row>
    <row r="157" spans="1:30" x14ac:dyDescent="0.25">
      <c r="A157" s="2">
        <v>44048</v>
      </c>
      <c r="B157" s="193">
        <v>7147</v>
      </c>
      <c r="C157" s="24">
        <f t="shared" si="16"/>
        <v>5955.1428571428569</v>
      </c>
      <c r="D157" s="190">
        <f>D156+B157</f>
        <v>220682</v>
      </c>
      <c r="E157" s="190">
        <f>30+97</f>
        <v>127</v>
      </c>
      <c r="F157" s="24">
        <f t="shared" si="17"/>
        <v>117</v>
      </c>
      <c r="G157" s="190">
        <f t="shared" si="33"/>
        <v>4106</v>
      </c>
      <c r="H157" s="190">
        <f t="shared" si="25"/>
        <v>2904</v>
      </c>
      <c r="I157" s="218">
        <v>99852</v>
      </c>
      <c r="J157" s="190">
        <v>1219</v>
      </c>
      <c r="K157" s="24">
        <f t="shared" si="21"/>
        <v>1142.2857142857142</v>
      </c>
      <c r="L157" s="190">
        <v>17266</v>
      </c>
      <c r="M157" s="24">
        <f t="shared" si="21"/>
        <v>14817.285714285714</v>
      </c>
      <c r="N157" s="4">
        <f>N156+L157</f>
        <v>794544</v>
      </c>
      <c r="O157" s="7">
        <f t="shared" si="31"/>
        <v>902.90999999997439</v>
      </c>
      <c r="P157" s="7">
        <f t="shared" si="32"/>
        <v>450552.09</v>
      </c>
      <c r="Q157" s="4">
        <v>451455</v>
      </c>
      <c r="R157" s="4">
        <v>1124</v>
      </c>
      <c r="S157" s="4">
        <v>60922</v>
      </c>
      <c r="T157" s="4">
        <v>124163</v>
      </c>
      <c r="U157" s="4">
        <f>220682-T157-S157-R157</f>
        <v>34473</v>
      </c>
      <c r="V157" s="156">
        <f t="shared" si="24"/>
        <v>116724</v>
      </c>
      <c r="W157" s="53">
        <f t="shared" si="28"/>
        <v>1.0443439224152702E-2</v>
      </c>
      <c r="X157" s="43">
        <f t="shared" si="29"/>
        <v>1.8605957894164454E-2</v>
      </c>
      <c r="Y157" s="259">
        <f t="shared" si="20"/>
        <v>1.0443439224152702E-2</v>
      </c>
      <c r="Z157" s="110">
        <f t="shared" si="23"/>
        <v>0.1162105714132704</v>
      </c>
      <c r="AB157" s="110">
        <f t="shared" si="22"/>
        <v>0.40190511082615865</v>
      </c>
      <c r="AD157" s="110">
        <f t="shared" si="30"/>
        <v>0.22722684834721174</v>
      </c>
    </row>
    <row r="158" spans="1:30" x14ac:dyDescent="0.25">
      <c r="A158" s="2">
        <v>44049</v>
      </c>
      <c r="B158" s="193">
        <v>7513</v>
      </c>
      <c r="C158" s="24">
        <f t="shared" si="16"/>
        <v>6117.4285714285716</v>
      </c>
      <c r="D158" s="190">
        <f>D157+B158</f>
        <v>228195</v>
      </c>
      <c r="E158" s="190">
        <v>145</v>
      </c>
      <c r="F158" s="24">
        <f t="shared" si="17"/>
        <v>115.71428571428571</v>
      </c>
      <c r="G158" s="190">
        <f t="shared" si="33"/>
        <v>4251</v>
      </c>
      <c r="H158" s="190">
        <f t="shared" si="25"/>
        <v>3445</v>
      </c>
      <c r="I158" s="218">
        <v>103297</v>
      </c>
      <c r="J158" s="190">
        <v>1245</v>
      </c>
      <c r="K158" s="24">
        <f t="shared" si="21"/>
        <v>1166.4285714285713</v>
      </c>
      <c r="L158" s="190">
        <v>18020</v>
      </c>
      <c r="M158" s="24">
        <f t="shared" si="21"/>
        <v>15008</v>
      </c>
      <c r="N158" s="4">
        <v>812564</v>
      </c>
      <c r="O158" s="7">
        <f t="shared" si="31"/>
        <v>919.37199999997392</v>
      </c>
      <c r="P158" s="7">
        <f t="shared" si="32"/>
        <v>458766.62800000003</v>
      </c>
      <c r="Q158" s="4">
        <v>459686</v>
      </c>
      <c r="R158" s="4">
        <v>1127</v>
      </c>
      <c r="S158" s="4">
        <v>62150</v>
      </c>
      <c r="T158" s="4">
        <v>128781</v>
      </c>
      <c r="U158" s="4">
        <f>228195-T158-S158-R158</f>
        <v>36137</v>
      </c>
      <c r="V158" s="156">
        <f t="shared" si="24"/>
        <v>120647</v>
      </c>
      <c r="W158" s="53">
        <f t="shared" si="28"/>
        <v>1.0319361442887101E-2</v>
      </c>
      <c r="X158" s="43">
        <f t="shared" si="29"/>
        <v>1.8628804312101493E-2</v>
      </c>
      <c r="Y158" s="259">
        <f t="shared" si="20"/>
        <v>1.0319361442887101E-2</v>
      </c>
      <c r="Z158" s="110">
        <f t="shared" si="23"/>
        <v>0.1333968556455456</v>
      </c>
      <c r="AB158" s="110">
        <f t="shared" si="22"/>
        <v>0.40761117879987818</v>
      </c>
      <c r="AD158" s="110">
        <f t="shared" si="30"/>
        <v>0.22919786859023339</v>
      </c>
    </row>
    <row r="159" spans="1:30" x14ac:dyDescent="0.25">
      <c r="A159" s="2">
        <v>44050</v>
      </c>
      <c r="B159" s="193">
        <v>7482</v>
      </c>
      <c r="C159" s="24">
        <f t="shared" si="16"/>
        <v>6339.2857142857147</v>
      </c>
      <c r="D159" s="190">
        <f>D158+B159</f>
        <v>235677</v>
      </c>
      <c r="E159" s="190">
        <v>160</v>
      </c>
      <c r="F159" s="24">
        <f t="shared" si="17"/>
        <v>124</v>
      </c>
      <c r="G159" s="190">
        <f t="shared" si="33"/>
        <v>4411</v>
      </c>
      <c r="H159" s="190">
        <f t="shared" si="25"/>
        <v>4945</v>
      </c>
      <c r="I159" s="218">
        <v>108242</v>
      </c>
      <c r="J159" s="190">
        <v>1293</v>
      </c>
      <c r="K159" s="24">
        <f t="shared" si="21"/>
        <v>1193.4285714285713</v>
      </c>
      <c r="L159" s="190">
        <v>17493</v>
      </c>
      <c r="M159" s="24">
        <f t="shared" si="21"/>
        <v>15301</v>
      </c>
      <c r="N159" s="4">
        <f>N158+L159</f>
        <v>830057</v>
      </c>
      <c r="O159" s="7">
        <f t="shared" si="31"/>
        <v>940.32600000000093</v>
      </c>
      <c r="P159" s="7">
        <f t="shared" si="32"/>
        <v>469222.674</v>
      </c>
      <c r="Q159" s="4">
        <v>470163</v>
      </c>
      <c r="R159" s="4">
        <v>1130</v>
      </c>
      <c r="S159" s="4">
        <v>63695</v>
      </c>
      <c r="T159" s="4">
        <v>133585</v>
      </c>
      <c r="U159" s="4">
        <f>235677-T159-S159-R159</f>
        <v>37267</v>
      </c>
      <c r="V159" s="156">
        <f t="shared" si="24"/>
        <v>123024</v>
      </c>
      <c r="W159" s="53">
        <f t="shared" si="28"/>
        <v>1.0510144362075693E-2</v>
      </c>
      <c r="X159" s="43">
        <f t="shared" si="29"/>
        <v>1.8716293910733758E-2</v>
      </c>
      <c r="Y159" s="259">
        <f t="shared" si="20"/>
        <v>1.0510144362075693E-2</v>
      </c>
      <c r="Z159" s="110">
        <f t="shared" si="23"/>
        <v>0.16137559213797803</v>
      </c>
      <c r="AB159" s="110">
        <f t="shared" si="22"/>
        <v>0.41430532084737692</v>
      </c>
      <c r="AD159" s="110">
        <f t="shared" si="30"/>
        <v>0.21494385684235473</v>
      </c>
    </row>
    <row r="160" spans="1:30" x14ac:dyDescent="0.25">
      <c r="A160" s="2">
        <v>44051</v>
      </c>
      <c r="B160" s="193">
        <v>6134</v>
      </c>
      <c r="C160" s="24">
        <f t="shared" si="16"/>
        <v>6466.8571428571431</v>
      </c>
      <c r="D160" s="190">
        <f>B160+D159</f>
        <v>241811</v>
      </c>
      <c r="E160" s="190">
        <v>112</v>
      </c>
      <c r="F160" s="24">
        <f t="shared" si="17"/>
        <v>132.42857142857142</v>
      </c>
      <c r="G160" s="190">
        <f t="shared" si="33"/>
        <v>4523</v>
      </c>
      <c r="H160" s="190">
        <f t="shared" si="25"/>
        <v>61867</v>
      </c>
      <c r="I160" s="218">
        <v>170109</v>
      </c>
      <c r="J160" s="190">
        <v>1502</v>
      </c>
      <c r="K160" s="24">
        <f t="shared" si="21"/>
        <v>1246.8571428571429</v>
      </c>
      <c r="L160" s="190">
        <v>15163</v>
      </c>
      <c r="M160" s="24">
        <f t="shared" si="21"/>
        <v>15601.857142857143</v>
      </c>
      <c r="N160" s="4">
        <v>845220</v>
      </c>
      <c r="O160" s="7">
        <f t="shared" si="31"/>
        <v>955.79399999999441</v>
      </c>
      <c r="P160" s="7">
        <f t="shared" si="32"/>
        <v>476941.20600000001</v>
      </c>
      <c r="Q160" s="4">
        <v>477897</v>
      </c>
      <c r="R160" s="4">
        <v>1130</v>
      </c>
      <c r="S160" s="4">
        <v>64762</v>
      </c>
      <c r="T160" s="4">
        <v>136987</v>
      </c>
      <c r="U160" s="4">
        <f>241811-T160-S160-R160</f>
        <v>38932</v>
      </c>
      <c r="V160" s="156">
        <f t="shared" si="24"/>
        <v>67179</v>
      </c>
      <c r="W160" s="53">
        <f t="shared" si="28"/>
        <v>2.2358177406630049E-2</v>
      </c>
      <c r="X160" s="43">
        <f t="shared" si="29"/>
        <v>1.870469085360054E-2</v>
      </c>
      <c r="Y160" s="259">
        <f t="shared" si="20"/>
        <v>2.2358177406630049E-2</v>
      </c>
      <c r="Z160" s="110">
        <f t="shared" si="23"/>
        <v>0.14913817175640354</v>
      </c>
      <c r="AB160" s="110">
        <f t="shared" si="22"/>
        <v>0.41449278016353364</v>
      </c>
      <c r="AD160" s="110">
        <f t="shared" si="30"/>
        <v>-0.35355702889695062</v>
      </c>
    </row>
    <row r="161" spans="1:30" x14ac:dyDescent="0.25">
      <c r="A161" s="2">
        <v>44052</v>
      </c>
      <c r="B161" s="193">
        <v>4688</v>
      </c>
      <c r="C161" s="24">
        <f t="shared" si="16"/>
        <v>6368.5714285714284</v>
      </c>
      <c r="D161" s="190">
        <f t="shared" ref="D161:D224" si="34">D160+B161</f>
        <v>246499</v>
      </c>
      <c r="E161" s="190">
        <v>83</v>
      </c>
      <c r="F161" s="24">
        <f t="shared" si="17"/>
        <v>137</v>
      </c>
      <c r="G161" s="190">
        <f t="shared" si="33"/>
        <v>4606</v>
      </c>
      <c r="H161" s="190">
        <f t="shared" si="25"/>
        <v>4865</v>
      </c>
      <c r="I161" s="218">
        <v>174974</v>
      </c>
      <c r="J161" s="190">
        <v>1565</v>
      </c>
      <c r="K161" s="24">
        <f t="shared" si="21"/>
        <v>1311.5714285714287</v>
      </c>
      <c r="L161" s="190">
        <v>10835</v>
      </c>
      <c r="M161" s="24">
        <f t="shared" si="21"/>
        <v>15449.714285714286</v>
      </c>
      <c r="N161" s="4">
        <v>856055</v>
      </c>
      <c r="O161" s="7">
        <f t="shared" si="31"/>
        <v>966.1020000000135</v>
      </c>
      <c r="P161" s="7">
        <f t="shared" si="32"/>
        <v>482084.89799999999</v>
      </c>
      <c r="Q161" s="4">
        <v>483051</v>
      </c>
      <c r="R161" s="4">
        <v>1131</v>
      </c>
      <c r="S161" s="4">
        <v>65737</v>
      </c>
      <c r="T161" s="4">
        <v>139746</v>
      </c>
      <c r="U161" s="4">
        <f>246499-T161-S161-R161</f>
        <v>39885</v>
      </c>
      <c r="V161" s="156">
        <f t="shared" si="24"/>
        <v>66919</v>
      </c>
      <c r="W161" s="53">
        <f>J161/(D161-G161-I161)</f>
        <v>2.3386482165005454E-2</v>
      </c>
      <c r="X161" s="43">
        <f t="shared" si="29"/>
        <v>1.8685674181233999E-2</v>
      </c>
      <c r="Y161" s="259">
        <f t="shared" si="20"/>
        <v>2.3386482165005454E-2</v>
      </c>
      <c r="Z161" s="110">
        <f t="shared" si="23"/>
        <v>0.13357235487069952</v>
      </c>
      <c r="AB161" s="110">
        <f t="shared" si="22"/>
        <v>0.41221289344231976</v>
      </c>
      <c r="AD161" s="110">
        <f t="shared" si="30"/>
        <v>-0.37441338693091519</v>
      </c>
    </row>
    <row r="162" spans="1:30" x14ac:dyDescent="0.25">
      <c r="A162" s="54">
        <v>44053</v>
      </c>
      <c r="B162" s="193">
        <v>7369</v>
      </c>
      <c r="C162" s="24">
        <f t="shared" si="16"/>
        <v>6732.1428571428569</v>
      </c>
      <c r="D162" s="190">
        <f t="shared" si="34"/>
        <v>253868</v>
      </c>
      <c r="E162" s="190">
        <f>27+131</f>
        <v>158</v>
      </c>
      <c r="F162" s="24">
        <f t="shared" si="17"/>
        <v>136.14285714285714</v>
      </c>
      <c r="G162" s="190">
        <f t="shared" si="33"/>
        <v>4764</v>
      </c>
      <c r="H162" s="190">
        <f t="shared" si="25"/>
        <v>6424</v>
      </c>
      <c r="I162" s="218">
        <v>181398</v>
      </c>
      <c r="J162" s="190">
        <v>1569</v>
      </c>
      <c r="K162" s="24">
        <f t="shared" si="21"/>
        <v>1371.4285714285713</v>
      </c>
      <c r="L162" s="190">
        <v>16588</v>
      </c>
      <c r="M162" s="24">
        <f t="shared" si="21"/>
        <v>15985.285714285714</v>
      </c>
      <c r="N162" s="4">
        <v>872643</v>
      </c>
      <c r="O162" s="7">
        <f t="shared" si="31"/>
        <v>983.05200000002515</v>
      </c>
      <c r="P162" s="7">
        <f t="shared" si="32"/>
        <v>490542.94799999997</v>
      </c>
      <c r="Q162" s="4">
        <v>491526</v>
      </c>
      <c r="R162" s="4">
        <v>1136</v>
      </c>
      <c r="S162" s="4">
        <v>67245</v>
      </c>
      <c r="T162" s="4">
        <v>144896</v>
      </c>
      <c r="U162" s="4">
        <f>253686-T162-S162-R162</f>
        <v>40409</v>
      </c>
      <c r="V162" s="156">
        <f t="shared" si="24"/>
        <v>67706</v>
      </c>
      <c r="W162" s="53">
        <f t="shared" ref="W162:W225" si="35">J162/(D162-G162-I162)</f>
        <v>2.3173721679024015E-2</v>
      </c>
      <c r="X162" s="43">
        <f t="shared" si="29"/>
        <v>1.8765657743394205E-2</v>
      </c>
      <c r="Y162" s="259">
        <f t="shared" si="20"/>
        <v>2.3173721679024015E-2</v>
      </c>
      <c r="Z162" s="110">
        <f t="shared" si="23"/>
        <v>0.17284718765554996</v>
      </c>
      <c r="AB162" s="110">
        <f t="shared" si="22"/>
        <v>0.42114623269614021</v>
      </c>
      <c r="AD162" s="110">
        <f t="shared" si="30"/>
        <v>-0.37771936435576225</v>
      </c>
    </row>
    <row r="163" spans="1:30" x14ac:dyDescent="0.25">
      <c r="A163" s="2">
        <v>44054</v>
      </c>
      <c r="B163" s="193">
        <v>7043</v>
      </c>
      <c r="C163" s="24">
        <f t="shared" si="16"/>
        <v>6768</v>
      </c>
      <c r="D163" s="190">
        <f t="shared" si="34"/>
        <v>260911</v>
      </c>
      <c r="E163" s="190">
        <f>21+220</f>
        <v>241</v>
      </c>
      <c r="F163" s="24">
        <f t="shared" si="17"/>
        <v>146.57142857142858</v>
      </c>
      <c r="G163" s="190">
        <f t="shared" si="33"/>
        <v>5005</v>
      </c>
      <c r="H163" s="190">
        <f t="shared" si="25"/>
        <v>5885</v>
      </c>
      <c r="I163" s="218">
        <v>187283</v>
      </c>
      <c r="J163" s="190">
        <v>1585</v>
      </c>
      <c r="K163" s="24">
        <f t="shared" si="21"/>
        <v>1425.4285714285713</v>
      </c>
      <c r="L163" s="190">
        <v>19174</v>
      </c>
      <c r="M163" s="24">
        <f t="shared" si="21"/>
        <v>16362.714285714286</v>
      </c>
      <c r="N163" s="4">
        <f>N162+L163</f>
        <v>891817</v>
      </c>
      <c r="O163" s="7">
        <f t="shared" si="31"/>
        <v>1003.3040000000037</v>
      </c>
      <c r="P163" s="7">
        <f t="shared" si="32"/>
        <v>500648.696</v>
      </c>
      <c r="Q163" s="4">
        <v>501652</v>
      </c>
      <c r="R163" s="4">
        <v>1137</v>
      </c>
      <c r="S163" s="4">
        <v>68717</v>
      </c>
      <c r="T163" s="4">
        <v>151086</v>
      </c>
      <c r="U163" s="4">
        <f>260911-T163-S163-R163</f>
        <v>39971</v>
      </c>
      <c r="V163" s="156">
        <f t="shared" si="24"/>
        <v>68623</v>
      </c>
      <c r="W163" s="53">
        <f t="shared" si="35"/>
        <v>2.3097212304912348E-2</v>
      </c>
      <c r="X163" s="43">
        <f t="shared" si="29"/>
        <v>1.9182786467416092E-2</v>
      </c>
      <c r="Y163" s="259">
        <f t="shared" si="20"/>
        <v>2.3097212304912348E-2</v>
      </c>
      <c r="Z163" s="110">
        <f t="shared" si="23"/>
        <v>0.1364966655471862</v>
      </c>
      <c r="AB163" s="110">
        <f t="shared" si="22"/>
        <v>0.41362330734509645</v>
      </c>
      <c r="AD163" s="110">
        <f t="shared" si="30"/>
        <v>-0.39060279909065077</v>
      </c>
    </row>
    <row r="164" spans="1:30" x14ac:dyDescent="0.25">
      <c r="A164" s="2">
        <v>44055</v>
      </c>
      <c r="B164" s="193">
        <v>7663</v>
      </c>
      <c r="C164" s="24">
        <f t="shared" si="16"/>
        <v>6841.7142857142853</v>
      </c>
      <c r="D164" s="190">
        <f t="shared" si="34"/>
        <v>268574</v>
      </c>
      <c r="E164" s="190">
        <f>84+125</f>
        <v>209</v>
      </c>
      <c r="F164" s="24">
        <f t="shared" si="17"/>
        <v>158.28571428571428</v>
      </c>
      <c r="G164" s="190">
        <f t="shared" si="33"/>
        <v>5214</v>
      </c>
      <c r="H164" s="190">
        <f t="shared" si="25"/>
        <v>5151</v>
      </c>
      <c r="I164" s="218">
        <v>192434</v>
      </c>
      <c r="J164" s="190">
        <v>1662</v>
      </c>
      <c r="K164" s="24">
        <f t="shared" si="21"/>
        <v>1488.7142857142858</v>
      </c>
      <c r="L164" s="190">
        <v>19779</v>
      </c>
      <c r="M164" s="24">
        <f t="shared" si="21"/>
        <v>16721.714285714286</v>
      </c>
      <c r="N164" s="4">
        <v>911596</v>
      </c>
      <c r="O164" s="7">
        <f t="shared" si="31"/>
        <v>1024.2339999999967</v>
      </c>
      <c r="P164" s="7">
        <f t="shared" si="32"/>
        <v>511092.766</v>
      </c>
      <c r="Q164" s="4">
        <v>512117</v>
      </c>
      <c r="R164" s="4">
        <v>1142</v>
      </c>
      <c r="S164" s="4">
        <v>70280</v>
      </c>
      <c r="T164" s="4">
        <v>156764</v>
      </c>
      <c r="U164" s="4">
        <f>268574-T164-S164-R164</f>
        <v>40388</v>
      </c>
      <c r="V164" s="156">
        <f t="shared" si="24"/>
        <v>70926</v>
      </c>
      <c r="W164" s="53">
        <f t="shared" si="35"/>
        <v>2.3432873699348617E-2</v>
      </c>
      <c r="X164" s="43">
        <f t="shared" si="29"/>
        <v>1.9413643911919992E-2</v>
      </c>
      <c r="Y164" s="259">
        <f t="shared" si="20"/>
        <v>2.3432873699348617E-2</v>
      </c>
      <c r="Z164" s="110">
        <f t="shared" si="23"/>
        <v>0.11839708561020035</v>
      </c>
      <c r="AB164" s="110">
        <f t="shared" si="22"/>
        <v>0.40915148822745445</v>
      </c>
      <c r="AD164" s="110">
        <f t="shared" si="30"/>
        <v>-0.39236146807854422</v>
      </c>
    </row>
    <row r="165" spans="1:30" x14ac:dyDescent="0.25">
      <c r="A165" s="2">
        <v>44056</v>
      </c>
      <c r="B165" s="193">
        <v>7498</v>
      </c>
      <c r="C165" s="24">
        <f t="shared" ref="C165:C228" si="36">AVERAGE(B159:B165)</f>
        <v>6839.5714285714284</v>
      </c>
      <c r="D165" s="190">
        <f t="shared" si="34"/>
        <v>276072</v>
      </c>
      <c r="E165" s="190">
        <f>33+116</f>
        <v>149</v>
      </c>
      <c r="F165" s="24">
        <f t="shared" ref="F165:F228" si="37">AVERAGE(E159:E165)</f>
        <v>158.85714285714286</v>
      </c>
      <c r="G165" s="190">
        <f t="shared" si="33"/>
        <v>5363</v>
      </c>
      <c r="H165" s="190">
        <f t="shared" si="25"/>
        <v>6571</v>
      </c>
      <c r="I165" s="218">
        <v>199005</v>
      </c>
      <c r="J165" s="190">
        <v>1682</v>
      </c>
      <c r="K165" s="24">
        <f t="shared" si="21"/>
        <v>1551.1428571428571</v>
      </c>
      <c r="L165" s="190">
        <v>18501</v>
      </c>
      <c r="M165" s="24">
        <f t="shared" si="21"/>
        <v>16790.428571428572</v>
      </c>
      <c r="N165" s="4">
        <v>930097</v>
      </c>
      <c r="O165" s="7">
        <f t="shared" si="31"/>
        <v>1045.8319999999949</v>
      </c>
      <c r="P165" s="7">
        <f t="shared" si="32"/>
        <v>521870.16800000001</v>
      </c>
      <c r="Q165" s="4">
        <v>522916</v>
      </c>
      <c r="R165" s="4">
        <v>1143</v>
      </c>
      <c r="S165" s="4">
        <v>71620</v>
      </c>
      <c r="T165" s="4">
        <v>162959</v>
      </c>
      <c r="U165" s="4">
        <f>276072-T165-S165-R165</f>
        <v>40350</v>
      </c>
      <c r="V165" s="156">
        <f>D165-G165-I165</f>
        <v>71704</v>
      </c>
      <c r="W165" s="53">
        <f t="shared" si="35"/>
        <v>2.3457547696083901E-2</v>
      </c>
      <c r="X165" s="43">
        <f t="shared" si="29"/>
        <v>1.9426091744182677E-2</v>
      </c>
      <c r="Y165" s="259">
        <f t="shared" si="20"/>
        <v>2.3457547696083901E-2</v>
      </c>
      <c r="Z165" s="110">
        <f t="shared" si="23"/>
        <v>7.8918309859154823E-2</v>
      </c>
      <c r="AB165" s="110">
        <f t="shared" si="22"/>
        <v>0.40734942526779711</v>
      </c>
      <c r="AD165" s="110">
        <f t="shared" si="30"/>
        <v>-0.40567109003953683</v>
      </c>
    </row>
    <row r="166" spans="1:30" x14ac:dyDescent="0.25">
      <c r="A166" s="2">
        <v>44057</v>
      </c>
      <c r="B166" s="193">
        <v>6365</v>
      </c>
      <c r="C166" s="24">
        <f t="shared" si="36"/>
        <v>6680</v>
      </c>
      <c r="D166" s="190">
        <f t="shared" si="34"/>
        <v>282437</v>
      </c>
      <c r="E166" s="190">
        <f>66+99</f>
        <v>165</v>
      </c>
      <c r="F166" s="24">
        <f t="shared" si="37"/>
        <v>159.57142857142858</v>
      </c>
      <c r="G166" s="190">
        <f t="shared" si="33"/>
        <v>5528</v>
      </c>
      <c r="H166" s="190">
        <f t="shared" si="25"/>
        <v>6692</v>
      </c>
      <c r="I166" s="218">
        <v>205697</v>
      </c>
      <c r="J166" s="190">
        <v>1718</v>
      </c>
      <c r="K166" s="24">
        <f t="shared" si="21"/>
        <v>1611.8571428571429</v>
      </c>
      <c r="L166" s="190">
        <v>19073</v>
      </c>
      <c r="M166" s="24">
        <f t="shared" si="21"/>
        <v>17016.142857142859</v>
      </c>
      <c r="N166" s="4">
        <v>949170</v>
      </c>
      <c r="O166" s="7">
        <f t="shared" si="31"/>
        <v>1066.9579999999842</v>
      </c>
      <c r="P166" s="7">
        <f t="shared" si="32"/>
        <v>532412.04200000002</v>
      </c>
      <c r="Q166" s="4">
        <v>533479</v>
      </c>
      <c r="R166" s="4">
        <v>1148</v>
      </c>
      <c r="S166" s="4">
        <v>72902</v>
      </c>
      <c r="T166" s="4">
        <v>168252</v>
      </c>
      <c r="U166" s="4">
        <f>282437-T166-S166-R166</f>
        <v>40135</v>
      </c>
      <c r="V166" s="156">
        <f t="shared" ref="V158:V221" si="38">D166-G166-I166</f>
        <v>71212</v>
      </c>
      <c r="W166" s="53">
        <f t="shared" si="35"/>
        <v>2.4125147447059483E-2</v>
      </c>
      <c r="X166" s="43">
        <f t="shared" si="29"/>
        <v>1.9572506435063395E-2</v>
      </c>
      <c r="Y166" s="259">
        <f t="shared" si="20"/>
        <v>2.4125147447059483E-2</v>
      </c>
      <c r="Z166" s="110">
        <f t="shared" si="23"/>
        <v>3.2959264822832957E-2</v>
      </c>
      <c r="AB166" s="110">
        <f t="shared" si="22"/>
        <v>0.39256840143393246</v>
      </c>
      <c r="AD166" s="110">
        <f t="shared" si="30"/>
        <v>-0.42115359604629987</v>
      </c>
    </row>
    <row r="167" spans="1:30" x14ac:dyDescent="0.25">
      <c r="A167" s="46">
        <v>44058</v>
      </c>
      <c r="B167" s="190">
        <v>6663</v>
      </c>
      <c r="C167" s="24">
        <f t="shared" si="36"/>
        <v>6755.5714285714284</v>
      </c>
      <c r="D167" s="190">
        <f t="shared" si="34"/>
        <v>289100</v>
      </c>
      <c r="E167" s="190">
        <f>38+72-1</f>
        <v>109</v>
      </c>
      <c r="F167" s="24">
        <f t="shared" si="37"/>
        <v>159.14285714285714</v>
      </c>
      <c r="G167" s="190">
        <f t="shared" si="33"/>
        <v>5637</v>
      </c>
      <c r="H167" s="190">
        <f t="shared" si="25"/>
        <v>6005</v>
      </c>
      <c r="I167" s="218">
        <v>211702</v>
      </c>
      <c r="J167" s="190">
        <v>1716</v>
      </c>
      <c r="K167" s="24">
        <f t="shared" si="21"/>
        <v>1642.4285714285713</v>
      </c>
      <c r="L167" s="190">
        <v>17756</v>
      </c>
      <c r="M167" s="24">
        <f t="shared" si="21"/>
        <v>17386.571428571428</v>
      </c>
      <c r="N167" s="4">
        <f>N166+L167</f>
        <v>966926</v>
      </c>
      <c r="O167" s="7">
        <f t="shared" si="31"/>
        <v>1086.1879999999655</v>
      </c>
      <c r="P167" s="7">
        <f t="shared" si="32"/>
        <v>542007.81200000003</v>
      </c>
      <c r="Q167" s="4">
        <v>543094</v>
      </c>
      <c r="R167" s="4">
        <v>1151</v>
      </c>
      <c r="S167" s="4">
        <v>74109</v>
      </c>
      <c r="T167" s="4">
        <v>171954</v>
      </c>
      <c r="U167" s="4">
        <f>289100-T167-S167-R167</f>
        <v>41886</v>
      </c>
      <c r="V167" s="156">
        <f t="shared" si="38"/>
        <v>71761</v>
      </c>
      <c r="W167" s="53">
        <f t="shared" si="35"/>
        <v>2.3912710246512731E-2</v>
      </c>
      <c r="X167" s="43">
        <f t="shared" si="29"/>
        <v>1.9498443445174679E-2</v>
      </c>
      <c r="Y167" s="259">
        <f t="shared" si="20"/>
        <v>2.3912710246512731E-2</v>
      </c>
      <c r="Z167" s="110">
        <f t="shared" si="23"/>
        <v>6.0767160161507405E-2</v>
      </c>
      <c r="AB167" s="110">
        <f t="shared" si="22"/>
        <v>0.38855109854896225</v>
      </c>
      <c r="AD167" s="110">
        <f t="shared" ref="AD159:AD222" si="39">V167/V160-1</f>
        <v>6.8205838133940766E-2</v>
      </c>
    </row>
    <row r="168" spans="1:30" x14ac:dyDescent="0.25">
      <c r="A168" s="46">
        <v>44059</v>
      </c>
      <c r="B168" s="190">
        <v>5469</v>
      </c>
      <c r="C168" s="24">
        <f t="shared" si="36"/>
        <v>6867.1428571428569</v>
      </c>
      <c r="D168" s="190">
        <f t="shared" si="34"/>
        <v>294569</v>
      </c>
      <c r="E168" s="190">
        <f>20+46</f>
        <v>66</v>
      </c>
      <c r="F168" s="24">
        <f t="shared" si="37"/>
        <v>156.71428571428572</v>
      </c>
      <c r="G168" s="190">
        <f t="shared" si="33"/>
        <v>5703</v>
      </c>
      <c r="H168" s="190">
        <f t="shared" si="25"/>
        <v>6148</v>
      </c>
      <c r="I168" s="218">
        <v>217850</v>
      </c>
      <c r="J168" s="190">
        <v>1708</v>
      </c>
      <c r="K168" s="24">
        <f t="shared" si="21"/>
        <v>1662.8571428571429</v>
      </c>
      <c r="L168" s="190">
        <v>14533</v>
      </c>
      <c r="M168" s="24">
        <f t="shared" si="21"/>
        <v>17914.857142857141</v>
      </c>
      <c r="N168" s="330">
        <v>981459</v>
      </c>
      <c r="O168" s="7">
        <f t="shared" si="31"/>
        <v>1101.25</v>
      </c>
      <c r="P168" s="7">
        <f t="shared" si="32"/>
        <v>549523.75</v>
      </c>
      <c r="Q168" s="4">
        <v>550625</v>
      </c>
      <c r="R168" s="4">
        <v>1154</v>
      </c>
      <c r="S168" s="4">
        <v>75051</v>
      </c>
      <c r="T168" s="4">
        <v>175520</v>
      </c>
      <c r="U168" s="4">
        <f>294569-T168-S168-R168</f>
        <v>42844</v>
      </c>
      <c r="V168" s="156">
        <f t="shared" si="38"/>
        <v>71016</v>
      </c>
      <c r="W168" s="53">
        <f t="shared" si="35"/>
        <v>2.4050918102962712E-2</v>
      </c>
      <c r="X168" s="43">
        <f t="shared" si="29"/>
        <v>1.9360489392977537E-2</v>
      </c>
      <c r="Y168" s="259">
        <f t="shared" si="20"/>
        <v>2.4050918102962712E-2</v>
      </c>
      <c r="Z168" s="110">
        <f t="shared" si="23"/>
        <v>2.005305039787797E-2</v>
      </c>
      <c r="AB168" s="110">
        <f t="shared" si="22"/>
        <v>0.38332110618481069</v>
      </c>
      <c r="AD168" s="110">
        <f t="shared" si="39"/>
        <v>6.1223269923340151E-2</v>
      </c>
    </row>
    <row r="169" spans="1:30" x14ac:dyDescent="0.25">
      <c r="A169" s="54">
        <v>44060</v>
      </c>
      <c r="B169" s="190">
        <v>4557</v>
      </c>
      <c r="C169" s="24">
        <f t="shared" si="36"/>
        <v>6465.4285714285716</v>
      </c>
      <c r="D169" s="190">
        <f t="shared" si="34"/>
        <v>299126</v>
      </c>
      <c r="E169" s="190">
        <f>47+64</f>
        <v>111</v>
      </c>
      <c r="F169" s="24">
        <f t="shared" si="37"/>
        <v>150</v>
      </c>
      <c r="G169" s="190">
        <f t="shared" si="33"/>
        <v>5814</v>
      </c>
      <c r="H169" s="190">
        <f t="shared" si="25"/>
        <v>5681</v>
      </c>
      <c r="I169" s="218">
        <v>223531</v>
      </c>
      <c r="J169" s="197">
        <v>1749</v>
      </c>
      <c r="K169" s="24">
        <f t="shared" si="21"/>
        <v>1688.5714285714287</v>
      </c>
      <c r="L169" s="197">
        <v>13483</v>
      </c>
      <c r="M169" s="24">
        <f t="shared" si="21"/>
        <v>17471.285714285714</v>
      </c>
      <c r="N169" s="30">
        <f>N168+L169</f>
        <v>994942</v>
      </c>
      <c r="O169" s="7">
        <f t="shared" si="31"/>
        <v>1116.6300000000047</v>
      </c>
      <c r="P169" s="7">
        <f t="shared" si="32"/>
        <v>557198.37</v>
      </c>
      <c r="Q169" s="4">
        <v>558315</v>
      </c>
      <c r="R169" s="4">
        <v>1157</v>
      </c>
      <c r="S169" s="4">
        <v>76226</v>
      </c>
      <c r="T169" s="4">
        <v>180483</v>
      </c>
      <c r="U169" s="4">
        <f>299126-T169-S169-R169</f>
        <v>41260</v>
      </c>
      <c r="V169" s="156">
        <f t="shared" si="38"/>
        <v>69781</v>
      </c>
      <c r="W169" s="53">
        <f t="shared" si="35"/>
        <v>2.5064129204224645E-2</v>
      </c>
      <c r="X169" s="43">
        <f t="shared" si="29"/>
        <v>1.9436625368573778E-2</v>
      </c>
      <c r="Y169" s="259">
        <f t="shared" si="20"/>
        <v>2.5064129204224645E-2</v>
      </c>
      <c r="Z169" s="110">
        <f t="shared" si="23"/>
        <v>-4.4706180344478152E-2</v>
      </c>
      <c r="AB169" s="110">
        <f t="shared" si="22"/>
        <v>0.37006026214441656</v>
      </c>
      <c r="AD169" s="110">
        <f t="shared" si="39"/>
        <v>3.0647209996159885E-2</v>
      </c>
    </row>
    <row r="170" spans="1:30" x14ac:dyDescent="0.25">
      <c r="A170" s="2">
        <v>44061</v>
      </c>
      <c r="B170" s="190">
        <v>6840</v>
      </c>
      <c r="C170" s="24">
        <f t="shared" si="36"/>
        <v>6436.4285714285716</v>
      </c>
      <c r="D170" s="190">
        <f t="shared" si="34"/>
        <v>305966</v>
      </c>
      <c r="E170" s="190">
        <f>63+170</f>
        <v>233</v>
      </c>
      <c r="F170" s="24">
        <f t="shared" si="37"/>
        <v>148.85714285714286</v>
      </c>
      <c r="G170" s="190">
        <f t="shared" si="33"/>
        <v>6047</v>
      </c>
      <c r="H170" s="190">
        <f t="shared" si="25"/>
        <v>5194</v>
      </c>
      <c r="I170" s="218">
        <v>228725</v>
      </c>
      <c r="J170" s="190">
        <v>1799</v>
      </c>
      <c r="K170" s="24">
        <f t="shared" si="21"/>
        <v>1719.1428571428571</v>
      </c>
      <c r="L170" s="190">
        <v>18037</v>
      </c>
      <c r="M170" s="24">
        <f t="shared" si="21"/>
        <v>17308.857142857141</v>
      </c>
      <c r="N170" s="4">
        <f t="shared" ref="N170:N233" si="40">N171-L171</f>
        <v>969683</v>
      </c>
      <c r="O170" s="7">
        <f t="shared" si="31"/>
        <v>1136.4399999999441</v>
      </c>
      <c r="P170" s="7">
        <f t="shared" si="32"/>
        <v>567083.56000000006</v>
      </c>
      <c r="Q170" s="4">
        <v>568220</v>
      </c>
      <c r="R170" s="4">
        <v>1161</v>
      </c>
      <c r="S170" s="4">
        <v>77895</v>
      </c>
      <c r="T170" s="4">
        <v>185880</v>
      </c>
      <c r="U170" s="4">
        <f>305966-T170-S170-R170</f>
        <v>41030</v>
      </c>
      <c r="V170" s="156">
        <f t="shared" si="38"/>
        <v>71194</v>
      </c>
      <c r="W170" s="53">
        <f t="shared" si="35"/>
        <v>2.5268983341292805E-2</v>
      </c>
      <c r="X170" s="43">
        <f t="shared" si="29"/>
        <v>1.9763633867815378E-2</v>
      </c>
      <c r="Y170" s="259">
        <f t="shared" si="20"/>
        <v>2.5268983341292805E-2</v>
      </c>
      <c r="Z170" s="110">
        <f t="shared" si="23"/>
        <v>-5.9237450931261981E-2</v>
      </c>
      <c r="AB170" s="110">
        <f t="shared" si="22"/>
        <v>0.37185751308165926</v>
      </c>
      <c r="AD170" s="110">
        <f t="shared" si="39"/>
        <v>3.7465572767148014E-2</v>
      </c>
    </row>
    <row r="171" spans="1:30" x14ac:dyDescent="0.25">
      <c r="A171" s="2">
        <v>44062</v>
      </c>
      <c r="B171" s="190">
        <v>6693</v>
      </c>
      <c r="C171" s="24">
        <f t="shared" si="36"/>
        <v>6297.8571428571431</v>
      </c>
      <c r="D171" s="190">
        <f t="shared" si="34"/>
        <v>312659</v>
      </c>
      <c r="E171" s="190">
        <f>217+66</f>
        <v>283</v>
      </c>
      <c r="F171" s="24">
        <f t="shared" si="37"/>
        <v>159.42857142857142</v>
      </c>
      <c r="G171" s="190">
        <f t="shared" si="33"/>
        <v>6330</v>
      </c>
      <c r="H171" s="190">
        <f t="shared" si="25"/>
        <v>4926</v>
      </c>
      <c r="I171" s="218">
        <v>233651</v>
      </c>
      <c r="J171" s="190">
        <v>1795</v>
      </c>
      <c r="K171" s="24">
        <f t="shared" si="21"/>
        <v>1738.1428571428571</v>
      </c>
      <c r="L171" s="190">
        <v>18013</v>
      </c>
      <c r="M171" s="24">
        <f t="shared" si="21"/>
        <v>17056.571428571428</v>
      </c>
      <c r="N171" s="4">
        <f t="shared" si="40"/>
        <v>987696</v>
      </c>
      <c r="O171" s="7">
        <f t="shared" si="31"/>
        <v>1156.0860000000102</v>
      </c>
      <c r="P171" s="7">
        <f t="shared" si="32"/>
        <v>576886.91399999999</v>
      </c>
      <c r="Q171" s="4">
        <v>578043</v>
      </c>
      <c r="R171" s="4">
        <v>1163</v>
      </c>
      <c r="S171" s="4">
        <v>79219</v>
      </c>
      <c r="T171" s="4">
        <v>191037</v>
      </c>
      <c r="U171" s="7">
        <f>D171-T171-S171-R171</f>
        <v>41240</v>
      </c>
      <c r="V171" s="156">
        <f t="shared" si="38"/>
        <v>72678</v>
      </c>
      <c r="W171" s="53">
        <f t="shared" si="35"/>
        <v>2.4697982883403507E-2</v>
      </c>
      <c r="X171" s="43">
        <f t="shared" si="29"/>
        <v>2.0245698988354724E-2</v>
      </c>
      <c r="Y171" s="259">
        <f t="shared" si="20"/>
        <v>2.4697982883403507E-2</v>
      </c>
      <c r="Z171" s="110">
        <f t="shared" si="23"/>
        <v>-7.9202957578795585E-2</v>
      </c>
      <c r="AB171" s="110">
        <f t="shared" si="22"/>
        <v>0.36923347515829674</v>
      </c>
      <c r="AD171" s="110">
        <f t="shared" si="39"/>
        <v>2.4701801878013629E-2</v>
      </c>
    </row>
    <row r="172" spans="1:30" x14ac:dyDescent="0.25">
      <c r="A172" s="2">
        <v>44063</v>
      </c>
      <c r="B172" s="195">
        <v>8225</v>
      </c>
      <c r="C172" s="24">
        <f t="shared" si="36"/>
        <v>6401.7142857142853</v>
      </c>
      <c r="D172" s="190">
        <f t="shared" si="34"/>
        <v>320884</v>
      </c>
      <c r="E172" s="190">
        <f>111+75</f>
        <v>186</v>
      </c>
      <c r="F172" s="24">
        <f t="shared" si="37"/>
        <v>164.71428571428572</v>
      </c>
      <c r="G172" s="190">
        <f>G171+E172</f>
        <v>6516</v>
      </c>
      <c r="H172" s="190">
        <f t="shared" si="25"/>
        <v>6155</v>
      </c>
      <c r="I172" s="218">
        <v>239806</v>
      </c>
      <c r="J172" s="190">
        <v>1832</v>
      </c>
      <c r="K172" s="24">
        <f t="shared" si="21"/>
        <v>1759.5714285714287</v>
      </c>
      <c r="L172" s="190">
        <v>21695</v>
      </c>
      <c r="M172" s="24">
        <f t="shared" si="21"/>
        <v>17512.857142857141</v>
      </c>
      <c r="N172" s="4">
        <f t="shared" si="40"/>
        <v>1009391</v>
      </c>
      <c r="O172" s="7">
        <f t="shared" si="31"/>
        <v>1178.905999999959</v>
      </c>
      <c r="P172" s="7">
        <f t="shared" si="32"/>
        <v>588274.09400000004</v>
      </c>
      <c r="Q172" s="4">
        <v>589453</v>
      </c>
      <c r="R172" s="4">
        <v>1172</v>
      </c>
      <c r="S172" s="4">
        <v>80662</v>
      </c>
      <c r="T172" s="4">
        <v>196370</v>
      </c>
      <c r="U172" s="7">
        <f>D172-T172-S172-R172</f>
        <v>42680</v>
      </c>
      <c r="V172" s="156">
        <f t="shared" si="38"/>
        <v>74562</v>
      </c>
      <c r="W172" s="53">
        <f t="shared" si="35"/>
        <v>2.4570156379925431E-2</v>
      </c>
      <c r="X172" s="43">
        <f t="shared" si="29"/>
        <v>2.0306403560165043E-2</v>
      </c>
      <c r="Y172" s="259">
        <f t="shared" si="20"/>
        <v>2.4570156379925431E-2</v>
      </c>
      <c r="Z172" s="110">
        <f t="shared" si="23"/>
        <v>-4.1659538066723734E-2</v>
      </c>
      <c r="AA172" s="110">
        <f t="shared" ref="AA172:AA235" si="41">C172/M172</f>
        <v>0.3655436821926748</v>
      </c>
      <c r="AB172" s="110">
        <f t="shared" si="22"/>
        <v>0.36554368219267475</v>
      </c>
      <c r="AD172" s="110">
        <f t="shared" si="39"/>
        <v>3.9858306370634811E-2</v>
      </c>
    </row>
    <row r="173" spans="1:30" x14ac:dyDescent="0.25">
      <c r="A173" s="2">
        <v>44064</v>
      </c>
      <c r="B173" s="190">
        <v>8159</v>
      </c>
      <c r="C173" s="24">
        <f t="shared" si="36"/>
        <v>6658</v>
      </c>
      <c r="D173" s="190">
        <f t="shared" si="34"/>
        <v>329043</v>
      </c>
      <c r="E173" s="190">
        <f>50+164</f>
        <v>214</v>
      </c>
      <c r="F173" s="24">
        <f t="shared" si="37"/>
        <v>171.71428571428572</v>
      </c>
      <c r="G173" s="190">
        <f>G172+E173</f>
        <v>6730</v>
      </c>
      <c r="H173" s="190">
        <f t="shared" si="25"/>
        <v>5975</v>
      </c>
      <c r="I173" s="218">
        <v>245781</v>
      </c>
      <c r="J173" s="197">
        <v>1853</v>
      </c>
      <c r="K173" s="24">
        <f t="shared" si="21"/>
        <v>1778.8571428571429</v>
      </c>
      <c r="L173" s="197">
        <v>21032</v>
      </c>
      <c r="M173" s="24">
        <f t="shared" si="21"/>
        <v>17792.714285714286</v>
      </c>
      <c r="N173" s="4">
        <f t="shared" si="40"/>
        <v>1030423</v>
      </c>
      <c r="O173" s="7">
        <f t="shared" si="31"/>
        <v>1201.0119999999879</v>
      </c>
      <c r="P173" s="7">
        <f t="shared" si="32"/>
        <v>599304.98800000001</v>
      </c>
      <c r="Q173" s="4">
        <v>600506</v>
      </c>
      <c r="R173" s="4">
        <v>1175</v>
      </c>
      <c r="S173" s="4">
        <v>82187</v>
      </c>
      <c r="T173" s="4">
        <v>201933</v>
      </c>
      <c r="U173" s="7">
        <f>D173-T173-S173-R173</f>
        <v>43748</v>
      </c>
      <c r="V173" s="156">
        <f t="shared" si="38"/>
        <v>76532</v>
      </c>
      <c r="W173" s="53">
        <f t="shared" si="35"/>
        <v>2.4212094287356923E-2</v>
      </c>
      <c r="X173" s="43">
        <f t="shared" si="29"/>
        <v>2.0453253830046529E-2</v>
      </c>
      <c r="Y173" s="259">
        <f t="shared" si="20"/>
        <v>2.4212094287356923E-2</v>
      </c>
      <c r="Z173" s="110">
        <f t="shared" si="23"/>
        <v>-1.4443105161876968E-2</v>
      </c>
      <c r="AA173" s="110">
        <f t="shared" si="41"/>
        <v>0.37419810676922333</v>
      </c>
      <c r="AB173" s="110">
        <f t="shared" si="22"/>
        <v>0.37419810676922338</v>
      </c>
      <c r="AD173" s="110">
        <f t="shared" si="39"/>
        <v>7.4706510138740745E-2</v>
      </c>
    </row>
    <row r="174" spans="1:30" x14ac:dyDescent="0.25">
      <c r="A174" s="2">
        <v>44065</v>
      </c>
      <c r="B174" s="190">
        <v>7759</v>
      </c>
      <c r="C174" s="24">
        <f t="shared" si="36"/>
        <v>6814.5714285714284</v>
      </c>
      <c r="D174" s="190">
        <f t="shared" si="34"/>
        <v>336802</v>
      </c>
      <c r="E174" s="190">
        <v>118</v>
      </c>
      <c r="F174" s="24">
        <f t="shared" si="37"/>
        <v>173</v>
      </c>
      <c r="G174" s="190">
        <f>G173+E174</f>
        <v>6848</v>
      </c>
      <c r="H174" s="190">
        <f t="shared" si="25"/>
        <v>5619</v>
      </c>
      <c r="I174" s="218">
        <v>251400</v>
      </c>
      <c r="J174" s="197">
        <v>1907</v>
      </c>
      <c r="K174" s="24">
        <f t="shared" si="21"/>
        <v>1806.1428571428571</v>
      </c>
      <c r="L174" s="197">
        <v>18837</v>
      </c>
      <c r="M174" s="24">
        <f t="shared" si="21"/>
        <v>17947.142857142859</v>
      </c>
      <c r="N174" s="4">
        <f t="shared" si="40"/>
        <v>1049260</v>
      </c>
      <c r="O174" s="7">
        <f t="shared" si="31"/>
        <v>1220.3220000000438</v>
      </c>
      <c r="P174" s="7">
        <f t="shared" si="32"/>
        <v>608940.67799999996</v>
      </c>
      <c r="Q174" s="4">
        <v>610161</v>
      </c>
      <c r="R174" s="4">
        <v>1178</v>
      </c>
      <c r="S174" s="4">
        <v>83443</v>
      </c>
      <c r="T174" s="4">
        <v>205996</v>
      </c>
      <c r="U174" s="7">
        <f>D174-T174-S174-R174</f>
        <v>46185</v>
      </c>
      <c r="V174" s="156">
        <f t="shared" si="38"/>
        <v>78554</v>
      </c>
      <c r="W174" s="53">
        <f t="shared" si="35"/>
        <v>2.4276294014308628E-2</v>
      </c>
      <c r="X174" s="43">
        <f t="shared" si="29"/>
        <v>2.0332420828854936E-2</v>
      </c>
      <c r="Y174" s="259">
        <f t="shared" si="20"/>
        <v>2.4276294014308628E-2</v>
      </c>
      <c r="Z174" s="110">
        <f t="shared" si="23"/>
        <v>-7.6555023923444709E-3</v>
      </c>
      <c r="AA174" s="110">
        <f t="shared" si="41"/>
        <v>0.37970230040595393</v>
      </c>
      <c r="AB174" s="110">
        <f t="shared" si="22"/>
        <v>0.37970230040595399</v>
      </c>
      <c r="AD174" s="110">
        <f t="shared" si="39"/>
        <v>9.4661445632028496E-2</v>
      </c>
    </row>
    <row r="175" spans="1:30" x14ac:dyDescent="0.25">
      <c r="A175" s="2">
        <v>44066</v>
      </c>
      <c r="B175" s="190">
        <v>5352</v>
      </c>
      <c r="C175" s="24">
        <f t="shared" si="36"/>
        <v>6797.8571428571431</v>
      </c>
      <c r="D175" s="190">
        <f t="shared" si="34"/>
        <v>342154</v>
      </c>
      <c r="E175" s="190">
        <f>99+37</f>
        <v>136</v>
      </c>
      <c r="F175" s="24">
        <f t="shared" si="37"/>
        <v>183</v>
      </c>
      <c r="G175" s="190">
        <f>G174+E175</f>
        <v>6984</v>
      </c>
      <c r="H175" s="190">
        <f t="shared" si="25"/>
        <v>5389</v>
      </c>
      <c r="I175" s="218">
        <v>256789</v>
      </c>
      <c r="J175" s="190">
        <v>1922</v>
      </c>
      <c r="K175" s="24">
        <f t="shared" si="21"/>
        <v>1836.7142857142858</v>
      </c>
      <c r="L175" s="190">
        <v>13322</v>
      </c>
      <c r="M175" s="24">
        <f t="shared" si="21"/>
        <v>17774.142857142859</v>
      </c>
      <c r="N175" s="4">
        <f t="shared" si="40"/>
        <v>1062582</v>
      </c>
      <c r="O175" s="7">
        <f t="shared" si="31"/>
        <v>1234.4039999999804</v>
      </c>
      <c r="P175" s="7">
        <f t="shared" si="32"/>
        <v>615967.59600000002</v>
      </c>
      <c r="Q175" s="4">
        <v>617202</v>
      </c>
      <c r="R175" s="4">
        <v>1179</v>
      </c>
      <c r="S175" s="4">
        <v>84223</v>
      </c>
      <c r="T175" s="4">
        <v>209236</v>
      </c>
      <c r="U175" s="7">
        <f t="shared" ref="U175:U198" si="42">D175-T175-S175-R175</f>
        <v>47516</v>
      </c>
      <c r="V175" s="156">
        <f t="shared" si="38"/>
        <v>78381</v>
      </c>
      <c r="W175" s="53">
        <f t="shared" si="35"/>
        <v>2.4521248772023833E-2</v>
      </c>
      <c r="X175" s="43">
        <f t="shared" si="29"/>
        <v>2.041186132560192E-2</v>
      </c>
      <c r="Y175" s="259">
        <f t="shared" si="20"/>
        <v>2.4521248772023833E-2</v>
      </c>
      <c r="Z175" s="110">
        <f t="shared" si="23"/>
        <v>5.1416324185779239E-2</v>
      </c>
      <c r="AA175" s="110">
        <f t="shared" si="41"/>
        <v>0.38245766321864022</v>
      </c>
      <c r="AB175" s="110">
        <f t="shared" si="22"/>
        <v>0.38245766321864022</v>
      </c>
      <c r="AD175" s="110">
        <f t="shared" si="39"/>
        <v>0.10370902331868881</v>
      </c>
    </row>
    <row r="176" spans="1:30" x14ac:dyDescent="0.25">
      <c r="A176" s="54">
        <v>44067</v>
      </c>
      <c r="B176" s="190">
        <v>8713</v>
      </c>
      <c r="C176" s="24">
        <f t="shared" si="36"/>
        <v>7391.5714285714284</v>
      </c>
      <c r="D176" s="190">
        <f t="shared" si="34"/>
        <v>350867</v>
      </c>
      <c r="E176" s="190">
        <f>95+286</f>
        <v>381</v>
      </c>
      <c r="F176" s="24">
        <f t="shared" si="37"/>
        <v>221.57142857142858</v>
      </c>
      <c r="G176" s="190">
        <f>E176+G175</f>
        <v>7365</v>
      </c>
      <c r="H176" s="190">
        <f t="shared" si="25"/>
        <v>6413</v>
      </c>
      <c r="I176" s="218">
        <v>263202</v>
      </c>
      <c r="J176" s="190">
        <v>1960</v>
      </c>
      <c r="K176" s="24">
        <f t="shared" si="21"/>
        <v>1866.8571428571429</v>
      </c>
      <c r="L176" s="190">
        <v>21220</v>
      </c>
      <c r="M176" s="24">
        <f t="shared" si="21"/>
        <v>18879.428571428572</v>
      </c>
      <c r="N176" s="4">
        <f t="shared" si="40"/>
        <v>1083802</v>
      </c>
      <c r="O176" s="7">
        <f t="shared" si="31"/>
        <v>1256.7859999999637</v>
      </c>
      <c r="P176" s="7">
        <f t="shared" si="32"/>
        <v>627136.21400000004</v>
      </c>
      <c r="Q176" s="4">
        <v>628393</v>
      </c>
      <c r="R176" s="4">
        <v>1180</v>
      </c>
      <c r="S176" s="4">
        <v>85600</v>
      </c>
      <c r="T176" s="4">
        <v>213348</v>
      </c>
      <c r="U176" s="7">
        <f t="shared" si="42"/>
        <v>50739</v>
      </c>
      <c r="V176" s="156">
        <f t="shared" si="38"/>
        <v>80300</v>
      </c>
      <c r="W176" s="53">
        <f t="shared" si="35"/>
        <v>2.4408468244084682E-2</v>
      </c>
      <c r="X176" s="43">
        <f t="shared" si="29"/>
        <v>2.0990859784476738E-2</v>
      </c>
      <c r="Y176" s="259">
        <f t="shared" ref="Y176:Y239" si="43">J176/V176</f>
        <v>2.4408468244084682E-2</v>
      </c>
      <c r="Z176" s="110">
        <f t="shared" si="23"/>
        <v>0.14839640439462864</v>
      </c>
      <c r="AA176" s="110">
        <f t="shared" si="41"/>
        <v>0.39151457368564418</v>
      </c>
      <c r="AB176" s="110">
        <f t="shared" si="22"/>
        <v>0.39151457368564424</v>
      </c>
      <c r="AD176" s="110">
        <f t="shared" si="39"/>
        <v>0.15074303893610019</v>
      </c>
    </row>
    <row r="177" spans="1:30" s="49" customFormat="1" x14ac:dyDescent="0.25">
      <c r="A177" s="2">
        <v>44068</v>
      </c>
      <c r="B177" s="190">
        <v>8771</v>
      </c>
      <c r="C177" s="24">
        <f t="shared" si="36"/>
        <v>7667.4285714285716</v>
      </c>
      <c r="D177" s="190">
        <f t="shared" si="34"/>
        <v>359638</v>
      </c>
      <c r="E177" s="190">
        <f>36+162</f>
        <v>198</v>
      </c>
      <c r="F177" s="24">
        <f t="shared" si="37"/>
        <v>216.57142857142858</v>
      </c>
      <c r="G177" s="190">
        <f t="shared" ref="G177:G239" si="44">G176+E177</f>
        <v>7563</v>
      </c>
      <c r="H177" s="190">
        <f t="shared" si="25"/>
        <v>5599</v>
      </c>
      <c r="I177" s="218">
        <v>268801</v>
      </c>
      <c r="J177" s="190">
        <v>1990</v>
      </c>
      <c r="K177" s="24">
        <f t="shared" si="21"/>
        <v>1894.1428571428571</v>
      </c>
      <c r="L177" s="190">
        <v>21476</v>
      </c>
      <c r="M177" s="24">
        <f t="shared" si="21"/>
        <v>19370.714285714286</v>
      </c>
      <c r="N177" s="4">
        <f t="shared" si="40"/>
        <v>1105278</v>
      </c>
      <c r="O177" s="7">
        <f t="shared" si="31"/>
        <v>1278.204000000027</v>
      </c>
      <c r="P177" s="7">
        <f t="shared" si="32"/>
        <v>637823.79599999997</v>
      </c>
      <c r="Q177" s="4">
        <v>639102</v>
      </c>
      <c r="R177" s="4">
        <v>1183</v>
      </c>
      <c r="S177" s="4">
        <v>87216</v>
      </c>
      <c r="T177" s="4">
        <v>219449</v>
      </c>
      <c r="U177" s="4">
        <f t="shared" si="42"/>
        <v>51790</v>
      </c>
      <c r="V177" s="156">
        <f t="shared" si="38"/>
        <v>83274</v>
      </c>
      <c r="W177" s="53">
        <f t="shared" si="35"/>
        <v>2.3897014674448207E-2</v>
      </c>
      <c r="X177" s="43">
        <f t="shared" si="29"/>
        <v>2.1029479643419217E-2</v>
      </c>
      <c r="Y177" s="259">
        <f t="shared" si="43"/>
        <v>2.3897014674448207E-2</v>
      </c>
      <c r="Z177" s="110">
        <f t="shared" si="23"/>
        <v>0.21746625836452305</v>
      </c>
      <c r="AA177" s="110">
        <f t="shared" si="41"/>
        <v>0.39582580478631219</v>
      </c>
      <c r="AB177" s="110">
        <f t="shared" si="22"/>
        <v>0.39582580478631219</v>
      </c>
      <c r="AD177" s="110">
        <f t="shared" si="39"/>
        <v>0.1696772199904486</v>
      </c>
    </row>
    <row r="178" spans="1:30" x14ac:dyDescent="0.25">
      <c r="A178" s="2">
        <v>44069</v>
      </c>
      <c r="B178" s="190">
        <v>10550</v>
      </c>
      <c r="C178" s="24">
        <f t="shared" si="36"/>
        <v>8218.4285714285706</v>
      </c>
      <c r="D178" s="190">
        <f t="shared" si="34"/>
        <v>370188</v>
      </c>
      <c r="E178" s="190">
        <f>98+178</f>
        <v>276</v>
      </c>
      <c r="F178" s="24">
        <f t="shared" si="37"/>
        <v>215.57142857142858</v>
      </c>
      <c r="G178" s="190">
        <f t="shared" si="44"/>
        <v>7839</v>
      </c>
      <c r="H178" s="190">
        <f t="shared" si="25"/>
        <v>5657</v>
      </c>
      <c r="I178" s="218">
        <v>274458</v>
      </c>
      <c r="J178" s="190">
        <v>2022</v>
      </c>
      <c r="K178" s="24">
        <f t="shared" si="21"/>
        <v>1926.5714285714287</v>
      </c>
      <c r="L178" s="190">
        <v>24237</v>
      </c>
      <c r="M178" s="24">
        <f t="shared" si="21"/>
        <v>20259.857142857141</v>
      </c>
      <c r="N178" s="4">
        <f t="shared" si="40"/>
        <v>1129515</v>
      </c>
      <c r="O178" s="7">
        <f t="shared" si="31"/>
        <v>1301.7900000000373</v>
      </c>
      <c r="P178" s="7">
        <f t="shared" si="32"/>
        <v>649593.21</v>
      </c>
      <c r="Q178" s="4">
        <v>650895</v>
      </c>
      <c r="R178" s="4">
        <v>1187</v>
      </c>
      <c r="S178" s="4">
        <v>88811</v>
      </c>
      <c r="T178" s="4">
        <v>226073</v>
      </c>
      <c r="U178" s="4">
        <f t="shared" si="42"/>
        <v>54117</v>
      </c>
      <c r="V178" s="156">
        <f t="shared" si="38"/>
        <v>87891</v>
      </c>
      <c r="W178" s="53">
        <f t="shared" si="35"/>
        <v>2.300576850872103E-2</v>
      </c>
      <c r="X178" s="43">
        <f t="shared" si="29"/>
        <v>2.1175726927939318E-2</v>
      </c>
      <c r="Y178" s="259">
        <f t="shared" si="43"/>
        <v>2.300576850872103E-2</v>
      </c>
      <c r="Z178" s="110">
        <f t="shared" si="23"/>
        <v>0.28378559314469332</v>
      </c>
      <c r="AA178" s="110">
        <f t="shared" si="41"/>
        <v>0.40565086483475415</v>
      </c>
      <c r="AB178" s="110">
        <f t="shared" si="22"/>
        <v>0.40565086483475415</v>
      </c>
      <c r="AD178" s="110">
        <f t="shared" si="39"/>
        <v>0.20932056468257243</v>
      </c>
    </row>
    <row r="179" spans="1:30" x14ac:dyDescent="0.25">
      <c r="A179" s="2">
        <v>44070</v>
      </c>
      <c r="B179" s="190">
        <v>10104</v>
      </c>
      <c r="C179" s="24">
        <f t="shared" si="36"/>
        <v>8486.8571428571431</v>
      </c>
      <c r="D179" s="190">
        <f t="shared" si="34"/>
        <v>380292</v>
      </c>
      <c r="E179" s="190">
        <f>105+106</f>
        <v>211</v>
      </c>
      <c r="F179" s="24">
        <f t="shared" si="37"/>
        <v>219.14285714285714</v>
      </c>
      <c r="G179" s="190">
        <f t="shared" si="44"/>
        <v>8050</v>
      </c>
      <c r="H179" s="190">
        <f t="shared" si="25"/>
        <v>0</v>
      </c>
      <c r="I179" s="218">
        <v>274458</v>
      </c>
      <c r="J179" s="190">
        <v>2075</v>
      </c>
      <c r="K179" s="24">
        <f t="shared" si="21"/>
        <v>1961.2857142857142</v>
      </c>
      <c r="L179" s="190">
        <v>24067</v>
      </c>
      <c r="M179" s="24">
        <f t="shared" si="21"/>
        <v>20598.714285714286</v>
      </c>
      <c r="N179" s="4">
        <f t="shared" si="40"/>
        <v>1153582</v>
      </c>
      <c r="O179" s="7">
        <f t="shared" si="31"/>
        <v>1061.1663999999873</v>
      </c>
      <c r="P179" s="7">
        <f t="shared" ref="P179:P202" si="45">0.9984*Q179</f>
        <v>662167.83360000001</v>
      </c>
      <c r="Q179" s="4">
        <v>663229</v>
      </c>
      <c r="R179" s="4">
        <v>1187</v>
      </c>
      <c r="S179" s="4">
        <v>90269</v>
      </c>
      <c r="T179" s="4">
        <v>232379</v>
      </c>
      <c r="U179" s="4">
        <f t="shared" si="42"/>
        <v>56457</v>
      </c>
      <c r="V179" s="156">
        <f t="shared" si="38"/>
        <v>97784</v>
      </c>
      <c r="W179" s="53">
        <f t="shared" si="35"/>
        <v>2.1220240530148083E-2</v>
      </c>
      <c r="X179" s="43">
        <f t="shared" si="29"/>
        <v>2.1167944632019604E-2</v>
      </c>
      <c r="Y179" s="259">
        <f t="shared" si="43"/>
        <v>2.1220240530148083E-2</v>
      </c>
      <c r="Z179" s="110">
        <f t="shared" si="23"/>
        <v>0.27468566279019879</v>
      </c>
      <c r="AA179" s="110">
        <f t="shared" si="41"/>
        <v>0.41200907130126013</v>
      </c>
      <c r="AB179" s="110">
        <f t="shared" si="22"/>
        <v>0.41200907130126013</v>
      </c>
      <c r="AD179" s="110">
        <f t="shared" si="39"/>
        <v>0.31144550843593244</v>
      </c>
    </row>
    <row r="180" spans="1:30" x14ac:dyDescent="0.25">
      <c r="A180" s="2">
        <v>44071</v>
      </c>
      <c r="B180" s="196">
        <v>11717</v>
      </c>
      <c r="C180" s="24">
        <f t="shared" si="36"/>
        <v>8995.1428571428569</v>
      </c>
      <c r="D180" s="197">
        <f t="shared" si="34"/>
        <v>392009</v>
      </c>
      <c r="E180" s="197">
        <f>80+142</f>
        <v>222</v>
      </c>
      <c r="F180" s="24">
        <f t="shared" si="37"/>
        <v>220.28571428571428</v>
      </c>
      <c r="G180" s="197">
        <f t="shared" si="44"/>
        <v>8272</v>
      </c>
      <c r="H180" s="190">
        <f t="shared" si="25"/>
        <v>12762</v>
      </c>
      <c r="I180" s="218">
        <v>287220</v>
      </c>
      <c r="J180" s="197">
        <v>2114</v>
      </c>
      <c r="K180" s="24">
        <f t="shared" si="21"/>
        <v>1998.5714285714287</v>
      </c>
      <c r="L180" s="197">
        <v>25481</v>
      </c>
      <c r="M180" s="24">
        <f t="shared" si="21"/>
        <v>21234.285714285714</v>
      </c>
      <c r="N180" s="4">
        <f t="shared" si="40"/>
        <v>1179063</v>
      </c>
      <c r="O180" s="7">
        <f t="shared" si="31"/>
        <v>1081.8352000000887</v>
      </c>
      <c r="P180" s="7">
        <f t="shared" si="45"/>
        <v>675065.16479999991</v>
      </c>
      <c r="Q180" s="4">
        <v>676147</v>
      </c>
      <c r="R180" s="4">
        <v>1190</v>
      </c>
      <c r="S180" s="4">
        <v>92043</v>
      </c>
      <c r="T180" s="4">
        <v>239019</v>
      </c>
      <c r="U180" s="4">
        <f t="shared" si="42"/>
        <v>59757</v>
      </c>
      <c r="V180" s="156">
        <f t="shared" si="38"/>
        <v>96517</v>
      </c>
      <c r="W180" s="53">
        <f t="shared" si="35"/>
        <v>2.1902877213340655E-2</v>
      </c>
      <c r="X180" s="43">
        <f t="shared" si="29"/>
        <v>2.1101556341818681E-2</v>
      </c>
      <c r="Y180" s="259">
        <f t="shared" si="43"/>
        <v>2.1902877213340655E-2</v>
      </c>
      <c r="Z180" s="110">
        <f t="shared" si="23"/>
        <v>0.31998658337176633</v>
      </c>
      <c r="AA180" s="110">
        <f t="shared" si="41"/>
        <v>0.42361410118406889</v>
      </c>
      <c r="AB180" s="110">
        <f t="shared" si="22"/>
        <v>0.42361410118406889</v>
      </c>
      <c r="AD180" s="110">
        <f t="shared" si="39"/>
        <v>0.26113259812888723</v>
      </c>
    </row>
    <row r="181" spans="1:30" x14ac:dyDescent="0.25">
      <c r="A181" s="52">
        <v>44072</v>
      </c>
      <c r="B181" s="197">
        <v>9230</v>
      </c>
      <c r="C181" s="24">
        <f t="shared" si="36"/>
        <v>9205.2857142857138</v>
      </c>
      <c r="D181" s="197">
        <f t="shared" si="34"/>
        <v>401239</v>
      </c>
      <c r="E181" s="197">
        <f>34+47</f>
        <v>81</v>
      </c>
      <c r="F181" s="24">
        <f t="shared" si="37"/>
        <v>215</v>
      </c>
      <c r="G181" s="197">
        <f t="shared" si="44"/>
        <v>8353</v>
      </c>
      <c r="H181" s="190">
        <f t="shared" si="25"/>
        <v>6787</v>
      </c>
      <c r="I181" s="218">
        <v>294007</v>
      </c>
      <c r="J181" s="197">
        <v>2192</v>
      </c>
      <c r="K181" s="24">
        <f t="shared" si="21"/>
        <v>2039.2857142857142</v>
      </c>
      <c r="L181" s="197">
        <v>19910</v>
      </c>
      <c r="M181" s="24">
        <f t="shared" si="21"/>
        <v>21387.571428571428</v>
      </c>
      <c r="N181" s="4">
        <f t="shared" si="40"/>
        <v>1198973</v>
      </c>
      <c r="O181" s="7">
        <f t="shared" si="31"/>
        <v>1097.3584000000264</v>
      </c>
      <c r="P181" s="7">
        <f t="shared" si="45"/>
        <v>684751.64159999997</v>
      </c>
      <c r="Q181" s="7">
        <v>685849</v>
      </c>
      <c r="R181" s="4">
        <v>1191</v>
      </c>
      <c r="S181" s="4">
        <v>93278</v>
      </c>
      <c r="T181" s="4">
        <v>244308</v>
      </c>
      <c r="U181" s="4">
        <f t="shared" si="42"/>
        <v>62462</v>
      </c>
      <c r="V181" s="156">
        <f t="shared" si="38"/>
        <v>98879</v>
      </c>
      <c r="W181" s="53">
        <f t="shared" si="35"/>
        <v>2.2168508985730032E-2</v>
      </c>
      <c r="X181" s="43">
        <f t="shared" si="29"/>
        <v>2.0818016194836492E-2</v>
      </c>
      <c r="Y181" s="259">
        <f t="shared" si="43"/>
        <v>2.2168508985730032E-2</v>
      </c>
      <c r="Z181" s="110">
        <f t="shared" si="23"/>
        <v>0.35414521382788688</v>
      </c>
      <c r="AA181" s="110">
        <f t="shared" si="41"/>
        <v>0.43040350537361483</v>
      </c>
      <c r="AB181" s="110">
        <f t="shared" si="22"/>
        <v>0.43040350537361483</v>
      </c>
      <c r="AD181" s="110">
        <f t="shared" si="39"/>
        <v>0.25873921124322119</v>
      </c>
    </row>
    <row r="182" spans="1:30" x14ac:dyDescent="0.25">
      <c r="A182" s="2">
        <v>44073</v>
      </c>
      <c r="B182" s="190">
        <v>7187</v>
      </c>
      <c r="C182" s="24">
        <f t="shared" si="36"/>
        <v>9467.4285714285706</v>
      </c>
      <c r="D182" s="190">
        <f t="shared" si="34"/>
        <v>408426</v>
      </c>
      <c r="E182" s="190">
        <f>48+55</f>
        <v>103</v>
      </c>
      <c r="F182" s="24">
        <f t="shared" si="37"/>
        <v>210.28571428571428</v>
      </c>
      <c r="G182" s="190">
        <f t="shared" si="44"/>
        <v>8456</v>
      </c>
      <c r="H182" s="190">
        <f t="shared" si="25"/>
        <v>6188</v>
      </c>
      <c r="I182" s="218">
        <v>300195</v>
      </c>
      <c r="J182" s="190">
        <v>2232</v>
      </c>
      <c r="K182" s="24">
        <f t="shared" si="21"/>
        <v>2083.5714285714284</v>
      </c>
      <c r="L182" s="190">
        <v>15637</v>
      </c>
      <c r="M182" s="24">
        <f t="shared" si="21"/>
        <v>21718.285714285714</v>
      </c>
      <c r="N182" s="4">
        <f t="shared" si="40"/>
        <v>1214610</v>
      </c>
      <c r="O182" s="7">
        <f t="shared" si="31"/>
        <v>1109.0415999999968</v>
      </c>
      <c r="P182" s="7">
        <f t="shared" si="45"/>
        <v>692041.9584</v>
      </c>
      <c r="Q182" s="4">
        <v>693151</v>
      </c>
      <c r="R182" s="4">
        <v>1191</v>
      </c>
      <c r="S182" s="4">
        <v>94301</v>
      </c>
      <c r="T182" s="4">
        <v>247931</v>
      </c>
      <c r="U182" s="4">
        <f t="shared" si="42"/>
        <v>65003</v>
      </c>
      <c r="V182" s="156">
        <f t="shared" si="38"/>
        <v>99775</v>
      </c>
      <c r="W182" s="53">
        <f t="shared" si="35"/>
        <v>2.2370333249812076E-2</v>
      </c>
      <c r="X182" s="43">
        <f t="shared" si="29"/>
        <v>2.0703872917003326E-2</v>
      </c>
      <c r="Y182" s="259">
        <f t="shared" si="43"/>
        <v>2.2370333249812076E-2</v>
      </c>
      <c r="Z182" s="110">
        <f t="shared" si="23"/>
        <v>0.28084111246400334</v>
      </c>
      <c r="AA182" s="110">
        <f t="shared" si="41"/>
        <v>0.43591969900281524</v>
      </c>
      <c r="AB182" s="110">
        <f t="shared" si="22"/>
        <v>0.4359196990028153</v>
      </c>
      <c r="AD182" s="110">
        <f t="shared" si="39"/>
        <v>0.27294880136767841</v>
      </c>
    </row>
    <row r="183" spans="1:30" x14ac:dyDescent="0.25">
      <c r="A183" s="54">
        <v>44074</v>
      </c>
      <c r="B183" s="197">
        <v>9309</v>
      </c>
      <c r="C183" s="24">
        <f t="shared" si="36"/>
        <v>9552.5714285714294</v>
      </c>
      <c r="D183" s="197">
        <f t="shared" si="34"/>
        <v>417735</v>
      </c>
      <c r="E183" s="197">
        <f>41+162</f>
        <v>203</v>
      </c>
      <c r="F183" s="24">
        <f t="shared" si="37"/>
        <v>184.85714285714286</v>
      </c>
      <c r="G183" s="197">
        <f t="shared" si="44"/>
        <v>8659</v>
      </c>
      <c r="H183" s="190">
        <f t="shared" si="25"/>
        <v>8181</v>
      </c>
      <c r="I183" s="218">
        <v>308376</v>
      </c>
      <c r="J183" s="197">
        <v>2273</v>
      </c>
      <c r="K183" s="24">
        <f t="shared" si="21"/>
        <v>2128.2857142857142</v>
      </c>
      <c r="L183" s="197">
        <v>19845</v>
      </c>
      <c r="M183" s="24">
        <f t="shared" si="21"/>
        <v>21521.857142857141</v>
      </c>
      <c r="N183" s="4">
        <f t="shared" si="40"/>
        <v>1234455</v>
      </c>
      <c r="O183" s="7">
        <f t="shared" si="31"/>
        <v>1125.2863999999827</v>
      </c>
      <c r="P183" s="7">
        <f t="shared" si="45"/>
        <v>702178.71360000002</v>
      </c>
      <c r="Q183" s="4">
        <v>703304</v>
      </c>
      <c r="R183" s="4">
        <v>1197</v>
      </c>
      <c r="S183" s="4">
        <v>95857</v>
      </c>
      <c r="T183" s="4">
        <v>255688</v>
      </c>
      <c r="U183" s="4">
        <f t="shared" si="42"/>
        <v>64993</v>
      </c>
      <c r="V183" s="156">
        <f t="shared" si="38"/>
        <v>100700</v>
      </c>
      <c r="W183" s="53">
        <f t="shared" si="35"/>
        <v>2.2571996027805363E-2</v>
      </c>
      <c r="X183" s="43">
        <f t="shared" si="29"/>
        <v>2.0728452248435014E-2</v>
      </c>
      <c r="Y183" s="259">
        <f t="shared" si="43"/>
        <v>2.2571996027805363E-2</v>
      </c>
      <c r="Z183" s="110">
        <f t="shared" si="23"/>
        <v>0.24586376509166796</v>
      </c>
      <c r="AA183" s="110">
        <f t="shared" si="41"/>
        <v>0.44385442042309153</v>
      </c>
      <c r="AB183" s="110">
        <f t="shared" si="22"/>
        <v>0.44385442042309148</v>
      </c>
      <c r="AD183" s="110">
        <f t="shared" si="39"/>
        <v>0.25404732254047313</v>
      </c>
    </row>
    <row r="184" spans="1:30" x14ac:dyDescent="0.25">
      <c r="A184" s="2">
        <v>44075</v>
      </c>
      <c r="B184" s="190">
        <v>10504</v>
      </c>
      <c r="C184" s="24">
        <f t="shared" si="36"/>
        <v>9800.1428571428569</v>
      </c>
      <c r="D184" s="190">
        <f t="shared" si="34"/>
        <v>428239</v>
      </c>
      <c r="E184" s="190">
        <f>70+189</f>
        <v>259</v>
      </c>
      <c r="F184" s="24">
        <f t="shared" si="37"/>
        <v>193.57142857142858</v>
      </c>
      <c r="G184" s="190">
        <f t="shared" si="44"/>
        <v>8918</v>
      </c>
      <c r="H184" s="190">
        <f t="shared" si="25"/>
        <v>7154</v>
      </c>
      <c r="I184" s="218">
        <v>315530</v>
      </c>
      <c r="J184" s="190">
        <v>2314</v>
      </c>
      <c r="K184" s="24">
        <f t="shared" si="21"/>
        <v>2174.5714285714284</v>
      </c>
      <c r="L184" s="190">
        <v>23115</v>
      </c>
      <c r="M184" s="24">
        <f t="shared" si="21"/>
        <v>21756</v>
      </c>
      <c r="N184" s="4">
        <f t="shared" si="40"/>
        <v>1257570</v>
      </c>
      <c r="O184" s="7">
        <f t="shared" si="31"/>
        <v>1148.1040000000503</v>
      </c>
      <c r="P184" s="7">
        <f t="shared" si="45"/>
        <v>716416.89599999995</v>
      </c>
      <c r="Q184" s="4">
        <v>717565</v>
      </c>
      <c r="R184" s="4">
        <v>1200</v>
      </c>
      <c r="S184" s="4">
        <v>97726</v>
      </c>
      <c r="T184" s="4">
        <v>263555</v>
      </c>
      <c r="U184" s="4">
        <f t="shared" si="42"/>
        <v>65758</v>
      </c>
      <c r="V184" s="156">
        <f t="shared" si="38"/>
        <v>103791</v>
      </c>
      <c r="W184" s="53">
        <f t="shared" si="35"/>
        <v>2.2294803981077357E-2</v>
      </c>
      <c r="X184" s="43">
        <f t="shared" si="29"/>
        <v>2.0824819785213396E-2</v>
      </c>
      <c r="Y184" s="259">
        <f t="shared" si="43"/>
        <v>2.2294803981077357E-2</v>
      </c>
      <c r="Z184" s="110">
        <f t="shared" si="23"/>
        <v>0.19245945523127483</v>
      </c>
      <c r="AA184" s="110">
        <f t="shared" si="41"/>
        <v>0.45045701678354738</v>
      </c>
      <c r="AB184" s="110">
        <f t="shared" si="22"/>
        <v>0.45045701678354738</v>
      </c>
      <c r="AD184" s="110">
        <f t="shared" si="39"/>
        <v>0.24637942214856978</v>
      </c>
    </row>
    <row r="185" spans="1:30" x14ac:dyDescent="0.25">
      <c r="A185" s="2">
        <v>44076</v>
      </c>
      <c r="B185" s="190">
        <v>10933</v>
      </c>
      <c r="C185" s="24">
        <f t="shared" si="36"/>
        <v>9854.8571428571431</v>
      </c>
      <c r="D185" s="190">
        <f t="shared" si="34"/>
        <v>439172</v>
      </c>
      <c r="E185" s="190">
        <f>52+146</f>
        <v>198</v>
      </c>
      <c r="F185" s="24">
        <f t="shared" si="37"/>
        <v>182.42857142857142</v>
      </c>
      <c r="G185" s="190">
        <f t="shared" si="44"/>
        <v>9116</v>
      </c>
      <c r="H185" s="190">
        <f t="shared" si="25"/>
        <v>6931</v>
      </c>
      <c r="I185" s="218">
        <v>322461</v>
      </c>
      <c r="J185" s="190">
        <v>2359</v>
      </c>
      <c r="K185" s="24">
        <f t="shared" ref="K185:M248" si="46">AVERAGE(J179:J185)</f>
        <v>2222.7142857142858</v>
      </c>
      <c r="L185" s="190">
        <v>23821</v>
      </c>
      <c r="M185" s="24">
        <f t="shared" si="46"/>
        <v>21696.571428571428</v>
      </c>
      <c r="N185" s="4">
        <f t="shared" si="40"/>
        <v>1281391</v>
      </c>
      <c r="O185" s="7">
        <f t="shared" si="31"/>
        <v>1166.611200000043</v>
      </c>
      <c r="P185" s="7">
        <f t="shared" si="45"/>
        <v>727965.38879999996</v>
      </c>
      <c r="Q185" s="4">
        <v>729132</v>
      </c>
      <c r="R185" s="4">
        <v>1200</v>
      </c>
      <c r="S185" s="4">
        <v>99630</v>
      </c>
      <c r="T185" s="4">
        <v>272419</v>
      </c>
      <c r="U185" s="4">
        <f t="shared" si="42"/>
        <v>65923</v>
      </c>
      <c r="V185" s="156">
        <f t="shared" si="38"/>
        <v>107595</v>
      </c>
      <c r="W185" s="53">
        <f t="shared" si="35"/>
        <v>2.1924810632464334E-2</v>
      </c>
      <c r="X185" s="43">
        <f t="shared" si="29"/>
        <v>2.075724317579445E-2</v>
      </c>
      <c r="Y185" s="259">
        <f t="shared" si="43"/>
        <v>2.1924810632464334E-2</v>
      </c>
      <c r="Z185" s="110">
        <f t="shared" si="23"/>
        <v>0.16119041206571505</v>
      </c>
      <c r="AA185" s="110">
        <f t="shared" si="41"/>
        <v>0.45421264715952492</v>
      </c>
      <c r="AB185" s="110">
        <f t="shared" si="22"/>
        <v>0.45421264715952486</v>
      </c>
      <c r="AD185" s="110">
        <f t="shared" si="39"/>
        <v>0.22418677680308563</v>
      </c>
    </row>
    <row r="186" spans="1:30" x14ac:dyDescent="0.25">
      <c r="A186" s="2">
        <v>44077</v>
      </c>
      <c r="B186" s="198">
        <v>12026</v>
      </c>
      <c r="C186" s="24">
        <f t="shared" si="36"/>
        <v>10129.428571428571</v>
      </c>
      <c r="D186" s="190">
        <f t="shared" si="34"/>
        <v>451198</v>
      </c>
      <c r="E186" s="190">
        <f>38+206</f>
        <v>244</v>
      </c>
      <c r="F186" s="24">
        <f t="shared" si="37"/>
        <v>187.14285714285714</v>
      </c>
      <c r="G186" s="190">
        <f t="shared" si="44"/>
        <v>9360</v>
      </c>
      <c r="H186" s="190">
        <f t="shared" si="25"/>
        <v>9160</v>
      </c>
      <c r="I186" s="218">
        <v>331621</v>
      </c>
      <c r="J186" s="190">
        <v>2394</v>
      </c>
      <c r="K186" s="24">
        <f t="shared" si="46"/>
        <v>2268.2857142857142</v>
      </c>
      <c r="L186" s="190">
        <v>25351</v>
      </c>
      <c r="M186" s="24">
        <f t="shared" si="46"/>
        <v>21880</v>
      </c>
      <c r="N186" s="4">
        <f t="shared" si="40"/>
        <v>1306742</v>
      </c>
      <c r="O186" s="7">
        <f t="shared" si="31"/>
        <v>1185.8656000000192</v>
      </c>
      <c r="P186" s="7">
        <f t="shared" si="45"/>
        <v>739980.13439999998</v>
      </c>
      <c r="Q186" s="4">
        <v>741166</v>
      </c>
      <c r="R186" s="4">
        <v>1202</v>
      </c>
      <c r="S186" s="4">
        <v>101394</v>
      </c>
      <c r="T186" s="4">
        <v>280927</v>
      </c>
      <c r="U186" s="4">
        <f t="shared" si="42"/>
        <v>67675</v>
      </c>
      <c r="V186" s="156">
        <f t="shared" si="38"/>
        <v>110217</v>
      </c>
      <c r="W186" s="53">
        <f t="shared" si="35"/>
        <v>2.1720787174392336E-2</v>
      </c>
      <c r="X186" s="43">
        <f t="shared" si="29"/>
        <v>2.0744772804843992E-2</v>
      </c>
      <c r="Y186" s="259">
        <f t="shared" si="43"/>
        <v>2.1720787174392336E-2</v>
      </c>
      <c r="Z186" s="110">
        <f t="shared" si="23"/>
        <v>0.12609979989200526</v>
      </c>
      <c r="AA186" s="110">
        <f t="shared" si="41"/>
        <v>0.4629537738312875</v>
      </c>
      <c r="AB186" s="110">
        <f t="shared" ref="AB186:AB249" si="47">SUM(B180:B186)/SUM(L180:L186)</f>
        <v>0.46295377383128755</v>
      </c>
      <c r="AD186" s="110">
        <f t="shared" si="39"/>
        <v>0.12714759060787051</v>
      </c>
    </row>
    <row r="187" spans="1:30" x14ac:dyDescent="0.25">
      <c r="A187" s="2">
        <v>44078</v>
      </c>
      <c r="B187" s="190">
        <v>10684</v>
      </c>
      <c r="C187" s="24">
        <f t="shared" si="36"/>
        <v>9981.8571428571431</v>
      </c>
      <c r="D187" s="190">
        <f t="shared" si="34"/>
        <v>461882</v>
      </c>
      <c r="E187" s="190">
        <f>107+155</f>
        <v>262</v>
      </c>
      <c r="F187" s="24">
        <f t="shared" si="37"/>
        <v>192.85714285714286</v>
      </c>
      <c r="G187" s="190">
        <f t="shared" si="44"/>
        <v>9622</v>
      </c>
      <c r="H187" s="190">
        <f t="shared" si="25"/>
        <v>8760</v>
      </c>
      <c r="I187" s="218">
        <v>340381</v>
      </c>
      <c r="J187" s="190">
        <v>2425</v>
      </c>
      <c r="K187" s="24">
        <f t="shared" si="46"/>
        <v>2312.7142857142858</v>
      </c>
      <c r="L187" s="190">
        <v>24486</v>
      </c>
      <c r="M187" s="24">
        <f t="shared" si="46"/>
        <v>21737.857142857141</v>
      </c>
      <c r="N187" s="4">
        <f t="shared" si="40"/>
        <v>1331228</v>
      </c>
      <c r="O187" s="7">
        <f t="shared" si="31"/>
        <v>1205.8336000000127</v>
      </c>
      <c r="P187" s="7">
        <f t="shared" si="45"/>
        <v>752440.16639999999</v>
      </c>
      <c r="Q187" s="4">
        <v>753646</v>
      </c>
      <c r="R187" s="4">
        <v>1205</v>
      </c>
      <c r="S187" s="4">
        <v>103049</v>
      </c>
      <c r="T187" s="4">
        <v>289005</v>
      </c>
      <c r="U187" s="4">
        <f t="shared" si="42"/>
        <v>68623</v>
      </c>
      <c r="V187" s="156">
        <f t="shared" si="38"/>
        <v>111879</v>
      </c>
      <c r="W187" s="53">
        <f t="shared" si="35"/>
        <v>2.167520267431779E-2</v>
      </c>
      <c r="X187" s="43">
        <f t="shared" si="29"/>
        <v>2.0832160595130357E-2</v>
      </c>
      <c r="Y187" s="259">
        <f t="shared" si="43"/>
        <v>2.167520267431779E-2</v>
      </c>
      <c r="Z187" s="110">
        <f t="shared" ref="Z187:Z250" si="48">C187/C181-1</f>
        <v>8.4361469342148165E-2</v>
      </c>
      <c r="AA187" s="110">
        <f t="shared" si="41"/>
        <v>0.45919232412184147</v>
      </c>
      <c r="AB187" s="110">
        <f t="shared" si="47"/>
        <v>0.45919232412184141</v>
      </c>
      <c r="AD187" s="110">
        <f t="shared" si="39"/>
        <v>0.15916367064869408</v>
      </c>
    </row>
    <row r="188" spans="1:30" x14ac:dyDescent="0.25">
      <c r="A188" s="2">
        <v>44079</v>
      </c>
      <c r="B188" s="197">
        <v>9924</v>
      </c>
      <c r="C188" s="24">
        <f t="shared" si="36"/>
        <v>10081</v>
      </c>
      <c r="D188" s="197">
        <f t="shared" si="34"/>
        <v>471806</v>
      </c>
      <c r="E188" s="197">
        <f>62+55</f>
        <v>117</v>
      </c>
      <c r="F188" s="24">
        <f t="shared" si="37"/>
        <v>198</v>
      </c>
      <c r="G188" s="197">
        <f t="shared" si="44"/>
        <v>9739</v>
      </c>
      <c r="H188" s="190">
        <f t="shared" si="25"/>
        <v>8751</v>
      </c>
      <c r="I188" s="218">
        <v>349132</v>
      </c>
      <c r="J188" s="197">
        <v>2456</v>
      </c>
      <c r="K188" s="24">
        <f t="shared" si="46"/>
        <v>2350.4285714285716</v>
      </c>
      <c r="L188" s="197">
        <v>22363</v>
      </c>
      <c r="M188" s="24">
        <f t="shared" si="46"/>
        <v>22088.285714285714</v>
      </c>
      <c r="N188" s="4">
        <f t="shared" si="40"/>
        <v>1353591</v>
      </c>
      <c r="O188" s="7">
        <f t="shared" si="31"/>
        <v>1223.704000000027</v>
      </c>
      <c r="P188" s="7">
        <f t="shared" si="45"/>
        <v>763591.29599999997</v>
      </c>
      <c r="Q188" s="7">
        <v>764815</v>
      </c>
      <c r="R188" s="4">
        <v>1207</v>
      </c>
      <c r="S188" s="4">
        <v>104581</v>
      </c>
      <c r="T188" s="4">
        <v>294844</v>
      </c>
      <c r="U188" s="4">
        <f t="shared" si="42"/>
        <v>71174</v>
      </c>
      <c r="V188" s="156">
        <f t="shared" si="38"/>
        <v>112935</v>
      </c>
      <c r="W188" s="53">
        <f t="shared" si="35"/>
        <v>2.1747022623633063E-2</v>
      </c>
      <c r="X188" s="43">
        <f t="shared" si="29"/>
        <v>2.0641958771189853E-2</v>
      </c>
      <c r="Y188" s="259">
        <f t="shared" si="43"/>
        <v>2.1747022623633063E-2</v>
      </c>
      <c r="Z188" s="110">
        <f t="shared" si="48"/>
        <v>6.4808667310478185E-2</v>
      </c>
      <c r="AA188" s="110">
        <f t="shared" si="41"/>
        <v>0.45639576245973951</v>
      </c>
      <c r="AB188" s="110">
        <f t="shared" si="47"/>
        <v>0.45639576245973951</v>
      </c>
      <c r="AD188" s="110">
        <f t="shared" si="39"/>
        <v>0.14215354119681622</v>
      </c>
    </row>
    <row r="189" spans="1:30" x14ac:dyDescent="0.25">
      <c r="A189" s="2">
        <v>44080</v>
      </c>
      <c r="B189" s="190">
        <v>6986</v>
      </c>
      <c r="C189" s="24">
        <f t="shared" si="36"/>
        <v>10052.285714285714</v>
      </c>
      <c r="D189" s="190">
        <f t="shared" si="34"/>
        <v>478792</v>
      </c>
      <c r="E189" s="190">
        <f>67+51+1</f>
        <v>119</v>
      </c>
      <c r="F189" s="24">
        <f t="shared" si="37"/>
        <v>200.28571428571428</v>
      </c>
      <c r="G189" s="190">
        <f t="shared" si="44"/>
        <v>9858</v>
      </c>
      <c r="H189" s="190">
        <f t="shared" si="25"/>
        <v>8256</v>
      </c>
      <c r="I189" s="218">
        <v>357388</v>
      </c>
      <c r="J189" s="190">
        <v>2512</v>
      </c>
      <c r="K189" s="24">
        <f t="shared" si="46"/>
        <v>2390.4285714285716</v>
      </c>
      <c r="L189" s="190">
        <v>15262</v>
      </c>
      <c r="M189" s="24">
        <f t="shared" si="46"/>
        <v>22034.714285714286</v>
      </c>
      <c r="N189" s="4">
        <f t="shared" si="40"/>
        <v>1368853</v>
      </c>
      <c r="O189" s="7">
        <f t="shared" si="31"/>
        <v>1235.9904000000097</v>
      </c>
      <c r="P189" s="7">
        <f t="shared" si="45"/>
        <v>771258.00959999999</v>
      </c>
      <c r="Q189" s="7">
        <v>772494</v>
      </c>
      <c r="R189" s="4">
        <v>1210</v>
      </c>
      <c r="S189" s="4">
        <v>105702</v>
      </c>
      <c r="T189" s="4">
        <v>299270</v>
      </c>
      <c r="U189" s="4">
        <f t="shared" si="42"/>
        <v>72610</v>
      </c>
      <c r="V189" s="156">
        <f t="shared" si="38"/>
        <v>111546</v>
      </c>
      <c r="W189" s="53">
        <f t="shared" si="35"/>
        <v>2.2519857278611513E-2</v>
      </c>
      <c r="X189" s="43">
        <f t="shared" si="29"/>
        <v>2.0589316446390081E-2</v>
      </c>
      <c r="Y189" s="259">
        <f t="shared" si="43"/>
        <v>2.2519857278611513E-2</v>
      </c>
      <c r="Z189" s="110">
        <f t="shared" si="48"/>
        <v>5.2312017706526159E-2</v>
      </c>
      <c r="AA189" s="110">
        <f t="shared" si="41"/>
        <v>0.45620222635711177</v>
      </c>
      <c r="AB189" s="110">
        <f t="shared" si="47"/>
        <v>0.45620222635711183</v>
      </c>
      <c r="AD189" s="110">
        <f t="shared" si="39"/>
        <v>0.11797544475068911</v>
      </c>
    </row>
    <row r="190" spans="1:30" x14ac:dyDescent="0.25">
      <c r="A190" s="52">
        <v>44081</v>
      </c>
      <c r="B190" s="197">
        <v>9215</v>
      </c>
      <c r="C190" s="24">
        <f t="shared" si="36"/>
        <v>10038.857142857143</v>
      </c>
      <c r="D190" s="197">
        <f t="shared" si="34"/>
        <v>488007</v>
      </c>
      <c r="E190" s="197">
        <f>53+215</f>
        <v>268</v>
      </c>
      <c r="F190" s="24">
        <f t="shared" si="37"/>
        <v>209.57142857142858</v>
      </c>
      <c r="G190" s="197">
        <f t="shared" si="44"/>
        <v>10126</v>
      </c>
      <c r="H190" s="190">
        <f t="shared" si="25"/>
        <v>9202</v>
      </c>
      <c r="I190" s="218">
        <v>366590</v>
      </c>
      <c r="J190" s="197">
        <v>2698</v>
      </c>
      <c r="K190" s="24">
        <f t="shared" si="46"/>
        <v>2451.1428571428573</v>
      </c>
      <c r="L190" s="197">
        <v>20475</v>
      </c>
      <c r="M190" s="24">
        <f t="shared" si="46"/>
        <v>22124.714285714286</v>
      </c>
      <c r="N190" s="4">
        <f t="shared" si="40"/>
        <v>1389328</v>
      </c>
      <c r="O190" s="7">
        <f t="shared" si="31"/>
        <v>1252.6800000000512</v>
      </c>
      <c r="P190" s="7">
        <f t="shared" si="45"/>
        <v>781672.32</v>
      </c>
      <c r="Q190" s="4">
        <v>782925</v>
      </c>
      <c r="R190" s="4">
        <v>1217</v>
      </c>
      <c r="S190" s="4">
        <v>107504</v>
      </c>
      <c r="T190" s="4">
        <v>307566</v>
      </c>
      <c r="U190" s="4">
        <f t="shared" si="42"/>
        <v>71720</v>
      </c>
      <c r="V190" s="156">
        <f t="shared" si="38"/>
        <v>111291</v>
      </c>
      <c r="W190" s="53">
        <f t="shared" si="35"/>
        <v>2.4242750986153416E-2</v>
      </c>
      <c r="X190" s="43">
        <f t="shared" si="29"/>
        <v>2.074970236082679E-2</v>
      </c>
      <c r="Y190" s="259">
        <f t="shared" si="43"/>
        <v>2.4242750986153416E-2</v>
      </c>
      <c r="Z190" s="110">
        <f t="shared" si="48"/>
        <v>2.4358245506625353E-2</v>
      </c>
      <c r="AA190" s="110">
        <f t="shared" si="41"/>
        <v>0.45373951560310705</v>
      </c>
      <c r="AB190" s="110">
        <f t="shared" si="47"/>
        <v>0.45373951560310705</v>
      </c>
      <c r="AD190" s="110">
        <f t="shared" si="39"/>
        <v>0.10517378351539231</v>
      </c>
    </row>
    <row r="191" spans="1:30" x14ac:dyDescent="0.25">
      <c r="A191" s="2">
        <v>44082</v>
      </c>
      <c r="B191" s="190">
        <v>12027</v>
      </c>
      <c r="C191" s="24">
        <f t="shared" si="36"/>
        <v>10256.428571428571</v>
      </c>
      <c r="D191" s="190">
        <f t="shared" si="34"/>
        <v>500034</v>
      </c>
      <c r="E191" s="190">
        <f>50+227</f>
        <v>277</v>
      </c>
      <c r="F191" s="24">
        <f t="shared" si="37"/>
        <v>212.14285714285714</v>
      </c>
      <c r="G191" s="190">
        <f t="shared" si="44"/>
        <v>10403</v>
      </c>
      <c r="H191" s="190">
        <f t="shared" si="25"/>
        <v>15900</v>
      </c>
      <c r="I191" s="218">
        <v>382490</v>
      </c>
      <c r="J191" s="190">
        <v>2719</v>
      </c>
      <c r="K191" s="24">
        <f t="shared" si="46"/>
        <v>2509</v>
      </c>
      <c r="L191" s="190">
        <v>25995</v>
      </c>
      <c r="M191" s="24">
        <f t="shared" si="46"/>
        <v>22536.142857142859</v>
      </c>
      <c r="N191" s="4">
        <f t="shared" si="40"/>
        <v>1415323</v>
      </c>
      <c r="O191" s="7">
        <f t="shared" si="31"/>
        <v>1273.516799999983</v>
      </c>
      <c r="P191" s="7">
        <f t="shared" si="45"/>
        <v>794674.48320000002</v>
      </c>
      <c r="Q191" s="4">
        <v>795948</v>
      </c>
      <c r="R191" s="4">
        <v>1221</v>
      </c>
      <c r="S191" s="4">
        <v>109701</v>
      </c>
      <c r="T191" s="4">
        <v>316074</v>
      </c>
      <c r="U191" s="4">
        <f t="shared" si="42"/>
        <v>73038</v>
      </c>
      <c r="V191" s="156">
        <f t="shared" si="38"/>
        <v>107141</v>
      </c>
      <c r="W191" s="53">
        <f t="shared" si="35"/>
        <v>2.5377773214735722E-2</v>
      </c>
      <c r="X191" s="43">
        <f t="shared" si="29"/>
        <v>2.0804585288200401E-2</v>
      </c>
      <c r="Y191" s="259">
        <f t="shared" si="43"/>
        <v>2.5377773214735722E-2</v>
      </c>
      <c r="Z191" s="110">
        <f t="shared" si="48"/>
        <v>4.0748579380725847E-2</v>
      </c>
      <c r="AA191" s="110">
        <f t="shared" si="41"/>
        <v>0.45511020392639118</v>
      </c>
      <c r="AB191" s="110">
        <f t="shared" si="47"/>
        <v>0.45511020392639123</v>
      </c>
      <c r="AD191" s="110">
        <f t="shared" si="39"/>
        <v>3.2276401614783623E-2</v>
      </c>
    </row>
    <row r="192" spans="1:30" x14ac:dyDescent="0.25">
      <c r="A192" s="2">
        <v>44083</v>
      </c>
      <c r="B192" s="190">
        <v>12259</v>
      </c>
      <c r="C192" s="24">
        <f t="shared" si="36"/>
        <v>10445.857142857143</v>
      </c>
      <c r="D192" s="190">
        <f t="shared" si="34"/>
        <v>512293</v>
      </c>
      <c r="E192" s="190">
        <f>52+202</f>
        <v>254</v>
      </c>
      <c r="F192" s="24">
        <f t="shared" si="37"/>
        <v>220.14285714285714</v>
      </c>
      <c r="G192" s="190">
        <f t="shared" si="44"/>
        <v>10657</v>
      </c>
      <c r="H192" s="190">
        <f t="shared" si="25"/>
        <v>7608</v>
      </c>
      <c r="I192" s="218">
        <v>390098</v>
      </c>
      <c r="J192" s="190">
        <v>2829</v>
      </c>
      <c r="K192" s="24">
        <f t="shared" si="46"/>
        <v>2576.1428571428573</v>
      </c>
      <c r="L192" s="190">
        <v>27171</v>
      </c>
      <c r="M192" s="24">
        <f t="shared" si="46"/>
        <v>23014.714285714286</v>
      </c>
      <c r="N192" s="4">
        <f t="shared" si="40"/>
        <v>1442494</v>
      </c>
      <c r="O192" s="7">
        <f t="shared" si="31"/>
        <v>1293.7232000000076</v>
      </c>
      <c r="P192" s="7">
        <f t="shared" si="45"/>
        <v>807283.27679999999</v>
      </c>
      <c r="Q192" s="4">
        <v>808577</v>
      </c>
      <c r="R192" s="4">
        <v>1222</v>
      </c>
      <c r="S192" s="4">
        <v>112220</v>
      </c>
      <c r="T192" s="4">
        <v>324064</v>
      </c>
      <c r="U192" s="4">
        <f t="shared" si="42"/>
        <v>74787</v>
      </c>
      <c r="V192" s="156">
        <f t="shared" si="38"/>
        <v>111538</v>
      </c>
      <c r="W192" s="53">
        <f t="shared" si="35"/>
        <v>2.5363553228496118E-2</v>
      </c>
      <c r="X192" s="43">
        <f t="shared" si="29"/>
        <v>2.0802548541557272E-2</v>
      </c>
      <c r="Y192" s="259">
        <f t="shared" si="43"/>
        <v>2.5363553228496118E-2</v>
      </c>
      <c r="Z192" s="110">
        <f t="shared" si="48"/>
        <v>3.1238541167179168E-2</v>
      </c>
      <c r="AA192" s="110">
        <f t="shared" si="41"/>
        <v>0.45387733313470263</v>
      </c>
      <c r="AB192" s="110">
        <f t="shared" si="47"/>
        <v>0.45387733313470263</v>
      </c>
      <c r="AD192" s="110">
        <f t="shared" si="39"/>
        <v>3.6646684325479795E-2</v>
      </c>
    </row>
    <row r="193" spans="1:30" x14ac:dyDescent="0.25">
      <c r="A193" s="2">
        <v>44084</v>
      </c>
      <c r="B193" s="190">
        <v>11905</v>
      </c>
      <c r="C193" s="24">
        <f t="shared" si="36"/>
        <v>10428.571428571429</v>
      </c>
      <c r="D193" s="190">
        <f t="shared" si="34"/>
        <v>524198</v>
      </c>
      <c r="E193" s="190">
        <f>55+195</f>
        <v>250</v>
      </c>
      <c r="F193" s="24">
        <f t="shared" si="37"/>
        <v>221</v>
      </c>
      <c r="G193" s="190">
        <f t="shared" si="44"/>
        <v>10907</v>
      </c>
      <c r="H193" s="190">
        <f t="shared" si="25"/>
        <v>10023</v>
      </c>
      <c r="I193" s="218">
        <v>400121</v>
      </c>
      <c r="J193" s="190">
        <v>2880</v>
      </c>
      <c r="K193" s="24">
        <f t="shared" si="46"/>
        <v>2645.5714285714284</v>
      </c>
      <c r="L193" s="190">
        <v>28057</v>
      </c>
      <c r="M193" s="24">
        <f t="shared" si="46"/>
        <v>23401.285714285714</v>
      </c>
      <c r="N193" s="4">
        <f t="shared" si="40"/>
        <v>1470551</v>
      </c>
      <c r="O193" s="7">
        <f t="shared" si="31"/>
        <v>1315.7488000000594</v>
      </c>
      <c r="P193" s="7">
        <f t="shared" si="45"/>
        <v>821027.25119999994</v>
      </c>
      <c r="Q193" s="4">
        <v>822343</v>
      </c>
      <c r="R193" s="4">
        <v>1227</v>
      </c>
      <c r="S193" s="4">
        <v>114335</v>
      </c>
      <c r="T193" s="4">
        <v>332280</v>
      </c>
      <c r="U193" s="4">
        <f t="shared" si="42"/>
        <v>76356</v>
      </c>
      <c r="V193" s="156">
        <f t="shared" si="38"/>
        <v>113170</v>
      </c>
      <c r="W193" s="53">
        <f t="shared" si="35"/>
        <v>2.5448440399399135E-2</v>
      </c>
      <c r="X193" s="43">
        <f t="shared" si="29"/>
        <v>2.0807023300355974E-2</v>
      </c>
      <c r="Y193" s="259">
        <f t="shared" si="43"/>
        <v>2.5448440399399135E-2</v>
      </c>
      <c r="Z193" s="110">
        <f t="shared" si="48"/>
        <v>4.4752622615316318E-2</v>
      </c>
      <c r="AA193" s="110">
        <f t="shared" si="41"/>
        <v>0.44564095989841834</v>
      </c>
      <c r="AB193" s="110">
        <f t="shared" si="47"/>
        <v>0.44564095989841829</v>
      </c>
      <c r="AD193" s="110">
        <f t="shared" si="39"/>
        <v>2.6792600052623516E-2</v>
      </c>
    </row>
    <row r="194" spans="1:30" x14ac:dyDescent="0.25">
      <c r="A194" s="52">
        <v>44085</v>
      </c>
      <c r="B194" s="188">
        <v>11507</v>
      </c>
      <c r="C194" s="24">
        <f t="shared" si="36"/>
        <v>10546.142857142857</v>
      </c>
      <c r="D194" s="188">
        <f t="shared" si="34"/>
        <v>535705</v>
      </c>
      <c r="E194" s="188">
        <f>87+154</f>
        <v>241</v>
      </c>
      <c r="F194" s="24">
        <f t="shared" si="37"/>
        <v>218</v>
      </c>
      <c r="G194" s="188">
        <f t="shared" si="44"/>
        <v>11148</v>
      </c>
      <c r="H194" s="190">
        <f t="shared" si="25"/>
        <v>9650</v>
      </c>
      <c r="I194" s="218">
        <v>409771</v>
      </c>
      <c r="J194" s="188">
        <v>3093</v>
      </c>
      <c r="K194" s="24">
        <f t="shared" si="46"/>
        <v>2741</v>
      </c>
      <c r="L194" s="190">
        <v>26254</v>
      </c>
      <c r="M194" s="24">
        <f t="shared" si="46"/>
        <v>23653.857142857141</v>
      </c>
      <c r="N194" s="4">
        <f t="shared" si="40"/>
        <v>1496805</v>
      </c>
      <c r="O194" s="7">
        <f t="shared" si="31"/>
        <v>1338.017600000021</v>
      </c>
      <c r="P194" s="7">
        <f t="shared" si="45"/>
        <v>834922.98239999998</v>
      </c>
      <c r="Q194" s="4">
        <v>836261</v>
      </c>
      <c r="R194" s="4">
        <v>1229</v>
      </c>
      <c r="S194" s="4">
        <v>116159</v>
      </c>
      <c r="T194" s="4">
        <v>340885</v>
      </c>
      <c r="U194" s="4">
        <f t="shared" si="42"/>
        <v>77432</v>
      </c>
      <c r="V194" s="156">
        <f t="shared" si="38"/>
        <v>114786</v>
      </c>
      <c r="W194" s="53">
        <f t="shared" si="35"/>
        <v>2.6945794783335947E-2</v>
      </c>
      <c r="X194" s="43">
        <f t="shared" si="29"/>
        <v>2.0809960705985571E-2</v>
      </c>
      <c r="Y194" s="259">
        <f t="shared" si="43"/>
        <v>2.6945794783335947E-2</v>
      </c>
      <c r="Z194" s="110">
        <f t="shared" si="48"/>
        <v>4.6140547281307009E-2</v>
      </c>
      <c r="AA194" s="110">
        <f t="shared" si="41"/>
        <v>0.44585298682788072</v>
      </c>
      <c r="AB194" s="110">
        <f t="shared" si="47"/>
        <v>0.44585298682788066</v>
      </c>
      <c r="AD194" s="110">
        <f t="shared" si="39"/>
        <v>2.5983428525460539E-2</v>
      </c>
    </row>
    <row r="195" spans="1:30" x14ac:dyDescent="0.25">
      <c r="A195" s="2">
        <v>44086</v>
      </c>
      <c r="B195" s="188">
        <v>10776</v>
      </c>
      <c r="C195" s="24">
        <f t="shared" si="36"/>
        <v>10667.857142857143</v>
      </c>
      <c r="D195" s="188">
        <f t="shared" si="34"/>
        <v>546481</v>
      </c>
      <c r="E195" s="188">
        <f>57+58</f>
        <v>115</v>
      </c>
      <c r="F195" s="24">
        <f t="shared" si="37"/>
        <v>217.71428571428572</v>
      </c>
      <c r="G195" s="188">
        <f t="shared" si="44"/>
        <v>11263</v>
      </c>
      <c r="H195" s="190">
        <f t="shared" ref="H195:H258" si="49">I195-I194</f>
        <v>9742</v>
      </c>
      <c r="I195" s="218">
        <v>419513</v>
      </c>
      <c r="J195" s="188">
        <v>2962</v>
      </c>
      <c r="K195" s="24">
        <f t="shared" si="46"/>
        <v>2813.2857142857142</v>
      </c>
      <c r="L195" s="190">
        <v>23140</v>
      </c>
      <c r="M195" s="24">
        <f t="shared" si="46"/>
        <v>23764.857142857141</v>
      </c>
      <c r="N195" s="4">
        <f t="shared" si="40"/>
        <v>1519945</v>
      </c>
      <c r="O195" s="7">
        <f t="shared" si="31"/>
        <v>1355.5903999999864</v>
      </c>
      <c r="P195" s="7">
        <f t="shared" si="45"/>
        <v>845888.40960000001</v>
      </c>
      <c r="Q195" s="4">
        <v>847244</v>
      </c>
      <c r="R195" s="4">
        <v>1232</v>
      </c>
      <c r="S195" s="4">
        <v>117339</v>
      </c>
      <c r="T195" s="4">
        <v>347893</v>
      </c>
      <c r="U195" s="4">
        <f t="shared" si="42"/>
        <v>80017</v>
      </c>
      <c r="V195" s="156">
        <f t="shared" si="38"/>
        <v>115705</v>
      </c>
      <c r="W195" s="53">
        <f t="shared" si="35"/>
        <v>2.5599585151894904E-2</v>
      </c>
      <c r="X195" s="43">
        <f t="shared" si="29"/>
        <v>2.0610048656769402E-2</v>
      </c>
      <c r="Y195" s="259">
        <f t="shared" si="43"/>
        <v>2.5599585151894904E-2</v>
      </c>
      <c r="Z195" s="110">
        <f t="shared" si="48"/>
        <v>6.1236961032316906E-2</v>
      </c>
      <c r="AA195" s="110">
        <f t="shared" si="41"/>
        <v>0.44889212162015946</v>
      </c>
      <c r="AB195" s="110">
        <f t="shared" si="47"/>
        <v>0.4488921216201594</v>
      </c>
      <c r="AD195" s="110">
        <f t="shared" si="39"/>
        <v>2.4527383007924897E-2</v>
      </c>
    </row>
    <row r="196" spans="1:30" ht="16.5" x14ac:dyDescent="0.25">
      <c r="A196" s="2">
        <v>44087</v>
      </c>
      <c r="B196" s="188">
        <v>9056</v>
      </c>
      <c r="C196" s="24">
        <f t="shared" si="36"/>
        <v>10963.571428571429</v>
      </c>
      <c r="D196" s="210">
        <f t="shared" si="34"/>
        <v>555537</v>
      </c>
      <c r="E196" s="188">
        <f>44+45</f>
        <v>89</v>
      </c>
      <c r="F196" s="24">
        <f t="shared" si="37"/>
        <v>213.42857142857142</v>
      </c>
      <c r="G196" s="188">
        <f t="shared" si="44"/>
        <v>11352</v>
      </c>
      <c r="H196" s="190">
        <f t="shared" si="49"/>
        <v>9440</v>
      </c>
      <c r="I196" s="218">
        <v>428953</v>
      </c>
      <c r="J196" s="188">
        <v>2984</v>
      </c>
      <c r="K196" s="24">
        <f t="shared" si="46"/>
        <v>2880.7142857142858</v>
      </c>
      <c r="L196" s="190">
        <v>17955</v>
      </c>
      <c r="M196" s="24">
        <f t="shared" si="46"/>
        <v>24149.571428571428</v>
      </c>
      <c r="N196" s="4">
        <f t="shared" si="40"/>
        <v>1537900</v>
      </c>
      <c r="O196" s="7">
        <f t="shared" si="31"/>
        <v>1368.1983999999939</v>
      </c>
      <c r="P196" s="7">
        <f t="shared" si="45"/>
        <v>853755.80160000001</v>
      </c>
      <c r="Q196" s="4">
        <v>855124</v>
      </c>
      <c r="R196" s="4">
        <v>1235</v>
      </c>
      <c r="S196" s="4">
        <v>118561</v>
      </c>
      <c r="T196" s="4">
        <v>353007</v>
      </c>
      <c r="U196" s="4">
        <f t="shared" si="42"/>
        <v>82734</v>
      </c>
      <c r="V196" s="156">
        <f t="shared" si="38"/>
        <v>115232</v>
      </c>
      <c r="W196" s="53">
        <f t="shared" si="35"/>
        <v>2.5895584559844486E-2</v>
      </c>
      <c r="X196" s="43">
        <f t="shared" si="29"/>
        <v>2.0434282505035668E-2</v>
      </c>
      <c r="Y196" s="259">
        <f t="shared" si="43"/>
        <v>2.5895584559844486E-2</v>
      </c>
      <c r="Z196" s="110">
        <f t="shared" si="48"/>
        <v>9.2113501821493582E-2</v>
      </c>
      <c r="AA196" s="110">
        <f t="shared" si="41"/>
        <v>0.45398616952681803</v>
      </c>
      <c r="AB196" s="110">
        <f t="shared" si="47"/>
        <v>0.45398616952681797</v>
      </c>
      <c r="AD196" s="110">
        <f t="shared" si="39"/>
        <v>3.3044663188281032E-2</v>
      </c>
    </row>
    <row r="197" spans="1:30" ht="16.5" x14ac:dyDescent="0.25">
      <c r="A197" s="52">
        <v>44088</v>
      </c>
      <c r="B197" s="190">
        <v>9909</v>
      </c>
      <c r="C197" s="24">
        <f t="shared" si="36"/>
        <v>11062.714285714286</v>
      </c>
      <c r="D197" s="210">
        <f t="shared" si="34"/>
        <v>565446</v>
      </c>
      <c r="E197" s="190">
        <f>60+254</f>
        <v>314</v>
      </c>
      <c r="F197" s="24">
        <f t="shared" si="37"/>
        <v>220</v>
      </c>
      <c r="G197" s="190">
        <f t="shared" si="44"/>
        <v>11666</v>
      </c>
      <c r="H197" s="190">
        <f t="shared" si="49"/>
        <v>9930</v>
      </c>
      <c r="I197" s="218">
        <v>438883</v>
      </c>
      <c r="J197" s="190">
        <v>2992</v>
      </c>
      <c r="K197" s="24">
        <f t="shared" si="46"/>
        <v>2922.7142857142858</v>
      </c>
      <c r="L197" s="190">
        <v>21207</v>
      </c>
      <c r="M197" s="24">
        <f t="shared" si="46"/>
        <v>24254.142857142859</v>
      </c>
      <c r="N197" s="4">
        <f t="shared" si="40"/>
        <v>1559107</v>
      </c>
      <c r="O197" s="7">
        <f t="shared" si="31"/>
        <v>1385.3168000000296</v>
      </c>
      <c r="P197" s="7">
        <f t="shared" si="45"/>
        <v>864437.68319999997</v>
      </c>
      <c r="Q197" s="4">
        <v>865823</v>
      </c>
      <c r="R197" s="4">
        <v>1236</v>
      </c>
      <c r="S197" s="4">
        <v>120192</v>
      </c>
      <c r="T197" s="4">
        <v>361677</v>
      </c>
      <c r="U197" s="4">
        <f t="shared" si="42"/>
        <v>82341</v>
      </c>
      <c r="V197" s="156">
        <f t="shared" si="38"/>
        <v>114897</v>
      </c>
      <c r="W197" s="53">
        <f t="shared" si="35"/>
        <v>2.6040714727103405E-2</v>
      </c>
      <c r="X197" s="43">
        <f t="shared" ref="X197:X210" si="50">G197/D187</f>
        <v>2.525753330937339E-2</v>
      </c>
      <c r="Y197" s="259">
        <f t="shared" si="43"/>
        <v>2.6040714727103405E-2</v>
      </c>
      <c r="Z197" s="110">
        <f t="shared" si="48"/>
        <v>7.8612716763005963E-2</v>
      </c>
      <c r="AA197" s="110">
        <f t="shared" si="41"/>
        <v>0.45611648083685263</v>
      </c>
      <c r="AB197" s="110">
        <f t="shared" si="47"/>
        <v>0.45611648083685263</v>
      </c>
      <c r="AD197" s="110">
        <f t="shared" si="39"/>
        <v>3.2401541903658071E-2</v>
      </c>
    </row>
    <row r="198" spans="1:30" ht="16.5" x14ac:dyDescent="0.25">
      <c r="A198" s="2">
        <v>44089</v>
      </c>
      <c r="B198" s="190">
        <v>11892</v>
      </c>
      <c r="C198" s="24">
        <f t="shared" si="36"/>
        <v>11043.428571428571</v>
      </c>
      <c r="D198" s="210">
        <f t="shared" si="34"/>
        <v>577338</v>
      </c>
      <c r="E198" s="190">
        <f>43+142</f>
        <v>185</v>
      </c>
      <c r="F198" s="24">
        <f t="shared" si="37"/>
        <v>206.85714285714286</v>
      </c>
      <c r="G198" s="190">
        <f t="shared" si="44"/>
        <v>11851</v>
      </c>
      <c r="H198" s="190">
        <f t="shared" si="49"/>
        <v>9380</v>
      </c>
      <c r="I198" s="218">
        <v>448263</v>
      </c>
      <c r="J198" s="190">
        <v>3049</v>
      </c>
      <c r="K198" s="24">
        <f t="shared" si="46"/>
        <v>2969.8571428571427</v>
      </c>
      <c r="L198" s="190">
        <v>25791</v>
      </c>
      <c r="M198" s="24">
        <f t="shared" si="46"/>
        <v>24225</v>
      </c>
      <c r="N198" s="4">
        <f t="shared" si="40"/>
        <v>1584898</v>
      </c>
      <c r="O198" s="7">
        <f t="shared" si="31"/>
        <v>1407.344000000041</v>
      </c>
      <c r="P198" s="7">
        <f t="shared" si="45"/>
        <v>878182.65599999996</v>
      </c>
      <c r="Q198" s="4">
        <v>879590</v>
      </c>
      <c r="R198" s="4">
        <v>1242</v>
      </c>
      <c r="S198" s="4">
        <v>125970</v>
      </c>
      <c r="T198" s="4">
        <v>371507</v>
      </c>
      <c r="U198" s="4">
        <f t="shared" si="42"/>
        <v>78619</v>
      </c>
      <c r="V198" s="156">
        <f t="shared" si="38"/>
        <v>117224</v>
      </c>
      <c r="W198" s="53">
        <f t="shared" si="35"/>
        <v>2.6010032075342932E-2</v>
      </c>
      <c r="X198" s="43">
        <f t="shared" si="50"/>
        <v>2.5118374925287089E-2</v>
      </c>
      <c r="Y198" s="259">
        <f t="shared" si="43"/>
        <v>2.6010032075342932E-2</v>
      </c>
      <c r="Z198" s="110">
        <f t="shared" si="48"/>
        <v>5.7206548050491524E-2</v>
      </c>
      <c r="AA198" s="110">
        <f t="shared" si="41"/>
        <v>0.45586908447589558</v>
      </c>
      <c r="AB198" s="110">
        <f t="shared" si="47"/>
        <v>0.45586908447589564</v>
      </c>
      <c r="AD198" s="110">
        <f t="shared" si="39"/>
        <v>9.4109631233608049E-2</v>
      </c>
    </row>
    <row r="199" spans="1:30" ht="16.5" x14ac:dyDescent="0.25">
      <c r="A199" s="2">
        <v>44090</v>
      </c>
      <c r="B199" s="190">
        <v>11674</v>
      </c>
      <c r="C199" s="24">
        <f t="shared" si="36"/>
        <v>10959.857142857143</v>
      </c>
      <c r="D199" s="210">
        <f t="shared" si="34"/>
        <v>589012</v>
      </c>
      <c r="E199" s="190">
        <f>58+206</f>
        <v>264</v>
      </c>
      <c r="F199" s="24">
        <f t="shared" si="37"/>
        <v>208.28571428571428</v>
      </c>
      <c r="G199" s="190">
        <f t="shared" si="44"/>
        <v>12115</v>
      </c>
      <c r="H199" s="190">
        <f t="shared" si="49"/>
        <v>8084</v>
      </c>
      <c r="I199" s="218">
        <v>456347</v>
      </c>
      <c r="J199" s="190">
        <v>3118</v>
      </c>
      <c r="K199" s="24">
        <f t="shared" si="46"/>
        <v>3011.1428571428573</v>
      </c>
      <c r="L199" s="190">
        <v>25422</v>
      </c>
      <c r="M199" s="24">
        <f t="shared" si="46"/>
        <v>23975.142857142859</v>
      </c>
      <c r="N199" s="4">
        <f t="shared" si="40"/>
        <v>1610320</v>
      </c>
      <c r="O199" s="7">
        <f t="shared" si="31"/>
        <v>1429.5023999999976</v>
      </c>
      <c r="P199" s="7">
        <f t="shared" si="45"/>
        <v>892009.4976</v>
      </c>
      <c r="Q199" s="4">
        <v>893439</v>
      </c>
      <c r="R199" s="4">
        <v>1247</v>
      </c>
      <c r="S199" s="4">
        <v>128236</v>
      </c>
      <c r="T199" s="4">
        <v>380805</v>
      </c>
      <c r="U199" s="7">
        <f>D199-T199-S199-R199</f>
        <v>78724</v>
      </c>
      <c r="V199" s="156">
        <f t="shared" si="38"/>
        <v>120550</v>
      </c>
      <c r="W199" s="53">
        <f t="shared" si="35"/>
        <v>2.5864786395686436E-2</v>
      </c>
      <c r="X199" s="43">
        <f t="shared" si="50"/>
        <v>2.530326321241792E-2</v>
      </c>
      <c r="Y199" s="259">
        <f t="shared" si="43"/>
        <v>2.5864786395686436E-2</v>
      </c>
      <c r="Z199" s="110">
        <f t="shared" si="48"/>
        <v>5.0945205479451916E-2</v>
      </c>
      <c r="AA199" s="110">
        <f t="shared" si="41"/>
        <v>0.45713417468091949</v>
      </c>
      <c r="AB199" s="110">
        <f t="shared" si="47"/>
        <v>0.45713417468091955</v>
      </c>
      <c r="AD199" s="110">
        <f t="shared" si="39"/>
        <v>8.0797575714106395E-2</v>
      </c>
    </row>
    <row r="200" spans="1:30" ht="16.5" x14ac:dyDescent="0.25">
      <c r="A200" s="2">
        <v>44091</v>
      </c>
      <c r="B200" s="190">
        <v>12701</v>
      </c>
      <c r="C200" s="24">
        <f t="shared" si="36"/>
        <v>11073.571428571429</v>
      </c>
      <c r="D200" s="210">
        <f t="shared" si="34"/>
        <v>601713</v>
      </c>
      <c r="E200" s="190">
        <v>345</v>
      </c>
      <c r="F200" s="24">
        <f t="shared" si="37"/>
        <v>221.85714285714286</v>
      </c>
      <c r="G200" s="190">
        <f t="shared" si="44"/>
        <v>12460</v>
      </c>
      <c r="H200" s="190">
        <f t="shared" si="49"/>
        <v>10939</v>
      </c>
      <c r="I200" s="218">
        <v>467286</v>
      </c>
      <c r="J200" s="190">
        <v>3108</v>
      </c>
      <c r="K200" s="24">
        <f t="shared" si="46"/>
        <v>3043.7142857142858</v>
      </c>
      <c r="L200" s="190">
        <v>28633</v>
      </c>
      <c r="M200" s="24">
        <f t="shared" si="46"/>
        <v>24057.428571428572</v>
      </c>
      <c r="N200" s="4">
        <f t="shared" si="40"/>
        <v>1638953</v>
      </c>
      <c r="O200" s="7">
        <f t="shared" si="31"/>
        <v>1451.9024000000209</v>
      </c>
      <c r="P200" s="7">
        <f t="shared" si="45"/>
        <v>905987.09759999998</v>
      </c>
      <c r="Q200" s="4">
        <v>907439</v>
      </c>
      <c r="R200" s="4">
        <v>1251</v>
      </c>
      <c r="S200" s="4">
        <v>130230</v>
      </c>
      <c r="T200" s="4">
        <v>390634</v>
      </c>
      <c r="U200" s="4">
        <f>D200-T200-S200-R200</f>
        <v>79598</v>
      </c>
      <c r="V200" s="156">
        <f t="shared" si="38"/>
        <v>121967</v>
      </c>
      <c r="W200" s="53">
        <f t="shared" si="35"/>
        <v>2.5482302590044848E-2</v>
      </c>
      <c r="X200" s="43">
        <f t="shared" si="50"/>
        <v>2.5532420641507191E-2</v>
      </c>
      <c r="Y200" s="259">
        <f t="shared" si="43"/>
        <v>2.5482302590044848E-2</v>
      </c>
      <c r="Z200" s="110">
        <f t="shared" si="48"/>
        <v>5.0011514026793824E-2</v>
      </c>
      <c r="AA200" s="110">
        <f t="shared" si="41"/>
        <v>0.46029738364152445</v>
      </c>
      <c r="AB200" s="110">
        <f t="shared" si="47"/>
        <v>0.46029738364152445</v>
      </c>
      <c r="AD200" s="110">
        <f t="shared" si="39"/>
        <v>7.7732614650525722E-2</v>
      </c>
    </row>
    <row r="201" spans="1:30" ht="16.5" x14ac:dyDescent="0.25">
      <c r="A201" s="2">
        <v>44092</v>
      </c>
      <c r="B201" s="190">
        <v>11945</v>
      </c>
      <c r="C201" s="24">
        <f t="shared" si="36"/>
        <v>11136.142857142857</v>
      </c>
      <c r="D201" s="210">
        <f t="shared" si="34"/>
        <v>613658</v>
      </c>
      <c r="E201" s="190">
        <f>31+166</f>
        <v>197</v>
      </c>
      <c r="F201" s="24">
        <f t="shared" si="37"/>
        <v>215.57142857142858</v>
      </c>
      <c r="G201" s="190">
        <f t="shared" si="44"/>
        <v>12657</v>
      </c>
      <c r="H201" s="190">
        <f t="shared" si="49"/>
        <v>10791</v>
      </c>
      <c r="I201" s="218">
        <v>478077</v>
      </c>
      <c r="J201" s="190">
        <v>3225</v>
      </c>
      <c r="K201" s="24">
        <f t="shared" si="46"/>
        <v>3062.5714285714284</v>
      </c>
      <c r="L201" s="190">
        <v>25698</v>
      </c>
      <c r="M201" s="24">
        <f t="shared" si="46"/>
        <v>23978</v>
      </c>
      <c r="N201" s="4">
        <f t="shared" si="40"/>
        <v>1664651</v>
      </c>
      <c r="O201" s="7">
        <f t="shared" si="31"/>
        <v>1474.3456000000006</v>
      </c>
      <c r="P201" s="7">
        <f t="shared" si="45"/>
        <v>919991.6544</v>
      </c>
      <c r="Q201" s="4">
        <v>921466</v>
      </c>
      <c r="R201" s="4">
        <v>1254</v>
      </c>
      <c r="S201" s="4">
        <v>132427</v>
      </c>
      <c r="T201" s="4">
        <v>400216</v>
      </c>
      <c r="U201" s="4">
        <f>D201-T201-S201-R201</f>
        <v>79761</v>
      </c>
      <c r="V201" s="156">
        <f t="shared" si="38"/>
        <v>122924</v>
      </c>
      <c r="W201" s="53">
        <f t="shared" si="35"/>
        <v>2.6235722885685465E-2</v>
      </c>
      <c r="X201" s="43">
        <f t="shared" si="50"/>
        <v>2.5312278765043977E-2</v>
      </c>
      <c r="Y201" s="259">
        <f t="shared" si="43"/>
        <v>2.6235722885685465E-2</v>
      </c>
      <c r="Z201" s="110">
        <f t="shared" si="48"/>
        <v>4.3896886508202115E-2</v>
      </c>
      <c r="AA201" s="110">
        <f t="shared" si="41"/>
        <v>0.4644316814222561</v>
      </c>
      <c r="AB201" s="110">
        <f t="shared" si="47"/>
        <v>0.4644316814222561</v>
      </c>
      <c r="AD201" s="110">
        <f t="shared" si="39"/>
        <v>7.0897147735786703E-2</v>
      </c>
    </row>
    <row r="202" spans="1:30" x14ac:dyDescent="0.25">
      <c r="A202" s="2">
        <v>44093</v>
      </c>
      <c r="B202" s="190">
        <v>9276</v>
      </c>
      <c r="C202" s="24">
        <f t="shared" si="36"/>
        <v>10921.857142857143</v>
      </c>
      <c r="D202" s="190">
        <f t="shared" si="34"/>
        <v>622934</v>
      </c>
      <c r="E202" s="190">
        <f>49+94</f>
        <v>143</v>
      </c>
      <c r="F202" s="24">
        <f t="shared" si="37"/>
        <v>219.57142857142858</v>
      </c>
      <c r="G202" s="190">
        <f t="shared" si="44"/>
        <v>12800</v>
      </c>
      <c r="H202" s="190">
        <f t="shared" si="49"/>
        <v>10154</v>
      </c>
      <c r="I202" s="218">
        <v>488231</v>
      </c>
      <c r="J202" s="190">
        <v>3213</v>
      </c>
      <c r="K202" s="24">
        <f t="shared" si="46"/>
        <v>3098.4285714285716</v>
      </c>
      <c r="L202" s="190">
        <v>21093</v>
      </c>
      <c r="M202" s="24">
        <f t="shared" si="46"/>
        <v>23685.571428571428</v>
      </c>
      <c r="N202" s="4">
        <f t="shared" si="40"/>
        <v>1685744</v>
      </c>
      <c r="O202" s="7">
        <f t="shared" si="31"/>
        <v>1492.0336000000825</v>
      </c>
      <c r="P202" s="7">
        <f t="shared" si="45"/>
        <v>931028.96639999992</v>
      </c>
      <c r="Q202" s="4">
        <v>932521</v>
      </c>
      <c r="R202" s="30">
        <v>1261</v>
      </c>
      <c r="S202" s="30">
        <v>133793</v>
      </c>
      <c r="T202" s="30">
        <v>406757</v>
      </c>
      <c r="U202" s="30">
        <f>D202-T202-S202-R202</f>
        <v>81123</v>
      </c>
      <c r="V202" s="156">
        <f t="shared" si="38"/>
        <v>121903</v>
      </c>
      <c r="W202" s="113">
        <f t="shared" si="35"/>
        <v>2.6357021566327327E-2</v>
      </c>
      <c r="X202" s="114">
        <f t="shared" si="50"/>
        <v>2.4985701541891066E-2</v>
      </c>
      <c r="Y202" s="259">
        <f t="shared" si="43"/>
        <v>2.6357021566327327E-2</v>
      </c>
      <c r="Z202" s="110">
        <f t="shared" si="48"/>
        <v>-3.8048081308229564E-3</v>
      </c>
      <c r="AA202" s="110">
        <f t="shared" si="41"/>
        <v>0.46111858334489353</v>
      </c>
      <c r="AB202" s="110">
        <f t="shared" si="47"/>
        <v>0.46111858334489353</v>
      </c>
      <c r="AD202" s="110">
        <f t="shared" si="39"/>
        <v>5.3567261570372837E-2</v>
      </c>
    </row>
    <row r="203" spans="1:30" x14ac:dyDescent="0.25">
      <c r="A203" s="2">
        <v>44094</v>
      </c>
      <c r="B203" s="190">
        <v>8431</v>
      </c>
      <c r="C203" s="24">
        <f t="shared" si="36"/>
        <v>10832.571428571429</v>
      </c>
      <c r="D203" s="190">
        <f t="shared" si="34"/>
        <v>631365</v>
      </c>
      <c r="E203" s="190">
        <f>110+143</f>
        <v>253</v>
      </c>
      <c r="F203" s="24">
        <f t="shared" si="37"/>
        <v>243</v>
      </c>
      <c r="G203" s="190">
        <f t="shared" si="44"/>
        <v>13053</v>
      </c>
      <c r="H203" s="190">
        <f t="shared" si="49"/>
        <v>10148</v>
      </c>
      <c r="I203" s="218">
        <v>498379</v>
      </c>
      <c r="J203" s="190">
        <v>3261</v>
      </c>
      <c r="K203" s="24">
        <f t="shared" si="46"/>
        <v>3138</v>
      </c>
      <c r="L203" s="190">
        <v>15454</v>
      </c>
      <c r="M203" s="24">
        <f t="shared" si="46"/>
        <v>23328.285714285714</v>
      </c>
      <c r="N203" s="4">
        <f t="shared" si="40"/>
        <v>1701198</v>
      </c>
      <c r="O203" s="7">
        <v>1348</v>
      </c>
      <c r="P203" s="7">
        <v>939868</v>
      </c>
      <c r="Q203" s="112">
        <f t="shared" ref="Q203:Q225" si="51">P203+O203</f>
        <v>941216</v>
      </c>
      <c r="R203" s="121">
        <v>1262</v>
      </c>
      <c r="S203" s="121">
        <v>134820</v>
      </c>
      <c r="T203" s="121">
        <v>412203</v>
      </c>
      <c r="U203" s="121">
        <f>D203-T203-S203-R203</f>
        <v>83080</v>
      </c>
      <c r="V203" s="156">
        <f t="shared" si="38"/>
        <v>119933</v>
      </c>
      <c r="W203" s="138">
        <f t="shared" si="35"/>
        <v>2.7190181184494677E-2</v>
      </c>
      <c r="X203" s="139">
        <f t="shared" si="50"/>
        <v>2.4900896226235127E-2</v>
      </c>
      <c r="Y203" s="259">
        <f t="shared" si="43"/>
        <v>2.7190181184494677E-2</v>
      </c>
      <c r="Z203" s="110">
        <f t="shared" si="48"/>
        <v>-2.0803471119203443E-2</v>
      </c>
      <c r="AA203" s="110">
        <f t="shared" si="41"/>
        <v>0.46435351320897994</v>
      </c>
      <c r="AB203" s="110">
        <f t="shared" si="47"/>
        <v>0.46435351320897988</v>
      </c>
      <c r="AD203" s="110">
        <f t="shared" si="39"/>
        <v>4.0795959455706798E-2</v>
      </c>
    </row>
    <row r="204" spans="1:30" x14ac:dyDescent="0.25">
      <c r="A204" s="2">
        <v>44095</v>
      </c>
      <c r="B204" s="190">
        <v>8782</v>
      </c>
      <c r="C204" s="24">
        <f t="shared" si="36"/>
        <v>10671.571428571429</v>
      </c>
      <c r="D204" s="190">
        <f t="shared" si="34"/>
        <v>640147</v>
      </c>
      <c r="E204" s="190">
        <v>427</v>
      </c>
      <c r="F204" s="24">
        <f t="shared" si="37"/>
        <v>259.14285714285717</v>
      </c>
      <c r="G204" s="190">
        <f t="shared" si="44"/>
        <v>13480</v>
      </c>
      <c r="H204" s="190">
        <f t="shared" si="49"/>
        <v>10184</v>
      </c>
      <c r="I204" s="218">
        <v>508563</v>
      </c>
      <c r="J204" s="190">
        <v>3387</v>
      </c>
      <c r="K204" s="24">
        <f t="shared" si="46"/>
        <v>3194.4285714285716</v>
      </c>
      <c r="L204" s="190">
        <v>18575</v>
      </c>
      <c r="M204" s="24">
        <f t="shared" si="46"/>
        <v>22952.285714285714</v>
      </c>
      <c r="N204" s="4">
        <f t="shared" si="40"/>
        <v>1719773</v>
      </c>
      <c r="O204" s="7">
        <v>1383</v>
      </c>
      <c r="P204" s="7">
        <v>949102</v>
      </c>
      <c r="Q204" s="112">
        <f t="shared" si="51"/>
        <v>950485</v>
      </c>
      <c r="R204" s="140">
        <v>6401</v>
      </c>
      <c r="S204" s="140">
        <v>138272</v>
      </c>
      <c r="T204" s="154">
        <v>417376</v>
      </c>
      <c r="U204" s="121">
        <f t="shared" ref="U204:U231" si="52">D204-T204-S204-R204</f>
        <v>78098</v>
      </c>
      <c r="V204" s="156">
        <f t="shared" si="38"/>
        <v>118104</v>
      </c>
      <c r="W204" s="138">
        <f t="shared" si="35"/>
        <v>2.8678114204429995E-2</v>
      </c>
      <c r="X204" s="139">
        <f t="shared" si="50"/>
        <v>2.5163102827115671E-2</v>
      </c>
      <c r="Y204" s="259">
        <f t="shared" si="43"/>
        <v>2.8678114204429995E-2</v>
      </c>
      <c r="Z204" s="110">
        <f t="shared" si="48"/>
        <v>-3.3672254993273198E-2</v>
      </c>
      <c r="AA204" s="110">
        <f t="shared" si="41"/>
        <v>0.46494591263864171</v>
      </c>
      <c r="AB204" s="110">
        <f t="shared" si="47"/>
        <v>0.46494591263864166</v>
      </c>
      <c r="AD204" s="110">
        <f t="shared" si="39"/>
        <v>2.7911955925742138E-2</v>
      </c>
    </row>
    <row r="205" spans="1:30" x14ac:dyDescent="0.25">
      <c r="A205" s="2">
        <v>44096</v>
      </c>
      <c r="B205" s="190">
        <v>12027</v>
      </c>
      <c r="C205" s="24">
        <f t="shared" si="36"/>
        <v>10690.857142857143</v>
      </c>
      <c r="D205" s="190">
        <f t="shared" si="34"/>
        <v>652174</v>
      </c>
      <c r="E205" s="190">
        <v>469</v>
      </c>
      <c r="F205" s="24">
        <f t="shared" si="37"/>
        <v>299.71428571428572</v>
      </c>
      <c r="G205" s="190">
        <f t="shared" si="44"/>
        <v>13949</v>
      </c>
      <c r="H205" s="190">
        <f t="shared" si="49"/>
        <v>8665</v>
      </c>
      <c r="I205" s="218">
        <v>517228</v>
      </c>
      <c r="J205" s="190">
        <v>3362</v>
      </c>
      <c r="K205" s="24">
        <f t="shared" si="46"/>
        <v>3239.1428571428573</v>
      </c>
      <c r="L205" s="190">
        <v>25766</v>
      </c>
      <c r="M205" s="24">
        <f t="shared" si="46"/>
        <v>22948.714285714286</v>
      </c>
      <c r="N205" s="4">
        <f t="shared" si="40"/>
        <v>1745539</v>
      </c>
      <c r="O205" s="7">
        <v>1448</v>
      </c>
      <c r="P205" s="7">
        <v>961776</v>
      </c>
      <c r="Q205" s="112">
        <f t="shared" si="51"/>
        <v>963224</v>
      </c>
      <c r="R205" s="141">
        <v>6521</v>
      </c>
      <c r="S205" s="141">
        <v>140870</v>
      </c>
      <c r="T205" s="141">
        <v>425218</v>
      </c>
      <c r="U205" s="121">
        <f t="shared" si="52"/>
        <v>79565</v>
      </c>
      <c r="V205" s="156">
        <f t="shared" si="38"/>
        <v>120997</v>
      </c>
      <c r="W205" s="138">
        <f t="shared" si="35"/>
        <v>2.7785812871393506E-2</v>
      </c>
      <c r="X205" s="139">
        <f t="shared" si="50"/>
        <v>2.5525132621262221E-2</v>
      </c>
      <c r="Y205" s="259">
        <f t="shared" si="43"/>
        <v>2.7785812871393506E-2</v>
      </c>
      <c r="Z205" s="110">
        <f t="shared" si="48"/>
        <v>-2.4544115538523648E-2</v>
      </c>
      <c r="AA205" s="110">
        <f t="shared" si="41"/>
        <v>0.46585865376834057</v>
      </c>
      <c r="AB205" s="110">
        <f t="shared" si="47"/>
        <v>0.46585865376834057</v>
      </c>
      <c r="AD205" s="110">
        <f t="shared" si="39"/>
        <v>3.2186241725243869E-2</v>
      </c>
    </row>
    <row r="206" spans="1:30" x14ac:dyDescent="0.25">
      <c r="A206" s="2">
        <v>44097</v>
      </c>
      <c r="B206" s="190">
        <v>12625</v>
      </c>
      <c r="C206" s="24">
        <f t="shared" si="36"/>
        <v>10826.714285714286</v>
      </c>
      <c r="D206" s="190">
        <f t="shared" si="34"/>
        <v>664799</v>
      </c>
      <c r="E206" s="190">
        <v>423</v>
      </c>
      <c r="F206" s="24">
        <f t="shared" si="37"/>
        <v>322.42857142857144</v>
      </c>
      <c r="G206" s="190">
        <f t="shared" si="44"/>
        <v>14372</v>
      </c>
      <c r="H206" s="190">
        <f t="shared" si="49"/>
        <v>8258</v>
      </c>
      <c r="I206" s="218">
        <v>525486</v>
      </c>
      <c r="J206" s="190">
        <v>3511</v>
      </c>
      <c r="K206" s="24">
        <f t="shared" si="46"/>
        <v>3295.2857142857142</v>
      </c>
      <c r="L206" s="190">
        <v>24903</v>
      </c>
      <c r="M206" s="24">
        <f t="shared" si="46"/>
        <v>22874.571428571428</v>
      </c>
      <c r="N206" s="4">
        <f t="shared" si="40"/>
        <v>1770442</v>
      </c>
      <c r="O206" s="7">
        <v>1456</v>
      </c>
      <c r="P206" s="7">
        <v>974788</v>
      </c>
      <c r="Q206" s="112">
        <f t="shared" si="51"/>
        <v>976244</v>
      </c>
      <c r="R206" s="141">
        <v>6647</v>
      </c>
      <c r="S206" s="141">
        <v>143597</v>
      </c>
      <c r="T206" s="141">
        <v>433450</v>
      </c>
      <c r="U206" s="121">
        <f t="shared" si="52"/>
        <v>81105</v>
      </c>
      <c r="V206" s="156">
        <f t="shared" si="38"/>
        <v>124941</v>
      </c>
      <c r="W206" s="138">
        <f t="shared" si="35"/>
        <v>2.8101263796511955E-2</v>
      </c>
      <c r="X206" s="139">
        <f t="shared" si="50"/>
        <v>2.5870464073500056E-2</v>
      </c>
      <c r="Y206" s="259">
        <f t="shared" si="43"/>
        <v>2.8101263796511955E-2</v>
      </c>
      <c r="Z206" s="110">
        <f t="shared" si="48"/>
        <v>-2.2292459523963082E-2</v>
      </c>
      <c r="AA206" s="110">
        <f t="shared" si="41"/>
        <v>0.47330785276226883</v>
      </c>
      <c r="AB206" s="110">
        <f t="shared" si="47"/>
        <v>0.47330785276226878</v>
      </c>
      <c r="AD206" s="110">
        <f t="shared" si="39"/>
        <v>3.6424720033181313E-2</v>
      </c>
    </row>
    <row r="207" spans="1:30" x14ac:dyDescent="0.25">
      <c r="A207" s="2">
        <v>44098</v>
      </c>
      <c r="B207" s="199">
        <v>13467</v>
      </c>
      <c r="C207" s="24">
        <f t="shared" si="36"/>
        <v>10936.142857142857</v>
      </c>
      <c r="D207" s="200">
        <f t="shared" si="34"/>
        <v>678266</v>
      </c>
      <c r="E207" s="190">
        <v>391</v>
      </c>
      <c r="F207" s="24">
        <f t="shared" si="37"/>
        <v>329</v>
      </c>
      <c r="G207" s="190">
        <f t="shared" si="44"/>
        <v>14763</v>
      </c>
      <c r="H207" s="190">
        <f t="shared" si="49"/>
        <v>11103</v>
      </c>
      <c r="I207" s="218">
        <v>536589</v>
      </c>
      <c r="J207" s="190">
        <v>3527</v>
      </c>
      <c r="K207" s="24">
        <f t="shared" si="46"/>
        <v>3355.1428571428573</v>
      </c>
      <c r="L207" s="190">
        <v>27253</v>
      </c>
      <c r="M207" s="24">
        <f t="shared" si="46"/>
        <v>22677.428571428572</v>
      </c>
      <c r="N207" s="4">
        <f t="shared" si="40"/>
        <v>1797695</v>
      </c>
      <c r="O207" s="7">
        <v>1488</v>
      </c>
      <c r="P207" s="7">
        <v>988976</v>
      </c>
      <c r="Q207" s="27">
        <f t="shared" si="51"/>
        <v>990464</v>
      </c>
      <c r="R207" s="141">
        <v>6740</v>
      </c>
      <c r="S207" s="141">
        <v>143045</v>
      </c>
      <c r="T207" s="141">
        <v>449054</v>
      </c>
      <c r="U207" s="121">
        <f t="shared" si="52"/>
        <v>79427</v>
      </c>
      <c r="V207" s="156">
        <f t="shared" si="38"/>
        <v>126914</v>
      </c>
      <c r="W207" s="138">
        <f t="shared" si="35"/>
        <v>2.7790472288321225E-2</v>
      </c>
      <c r="X207" s="139">
        <f t="shared" si="50"/>
        <v>2.6108593924088243E-2</v>
      </c>
      <c r="Y207" s="259">
        <f t="shared" si="43"/>
        <v>2.7790472288321225E-2</v>
      </c>
      <c r="Z207" s="110">
        <f t="shared" si="48"/>
        <v>-1.7959539722653406E-2</v>
      </c>
      <c r="AA207" s="110">
        <f t="shared" si="41"/>
        <v>0.48224792430484681</v>
      </c>
      <c r="AB207" s="110">
        <f t="shared" si="47"/>
        <v>0.48224792430484686</v>
      </c>
      <c r="AD207" s="110">
        <f t="shared" si="39"/>
        <v>4.0560151516393805E-2</v>
      </c>
    </row>
    <row r="208" spans="1:30" x14ac:dyDescent="0.25">
      <c r="A208" s="2">
        <v>44099</v>
      </c>
      <c r="B208" s="190">
        <v>12969</v>
      </c>
      <c r="C208" s="24">
        <f t="shared" si="36"/>
        <v>11082.428571428571</v>
      </c>
      <c r="D208" s="190">
        <f t="shared" si="34"/>
        <v>691235</v>
      </c>
      <c r="E208" s="190">
        <v>442</v>
      </c>
      <c r="F208" s="24">
        <f t="shared" si="37"/>
        <v>364</v>
      </c>
      <c r="G208" s="190">
        <f t="shared" si="44"/>
        <v>15205</v>
      </c>
      <c r="H208" s="190">
        <f t="shared" si="49"/>
        <v>10335</v>
      </c>
      <c r="I208" s="218">
        <v>546924</v>
      </c>
      <c r="J208" s="190">
        <v>3595</v>
      </c>
      <c r="K208" s="24">
        <f t="shared" si="46"/>
        <v>3408</v>
      </c>
      <c r="L208" s="190">
        <v>25098</v>
      </c>
      <c r="M208" s="24">
        <f t="shared" si="46"/>
        <v>22591.714285714286</v>
      </c>
      <c r="N208" s="4">
        <f t="shared" si="40"/>
        <v>1822793</v>
      </c>
      <c r="O208" s="7">
        <v>1500</v>
      </c>
      <c r="P208" s="7">
        <v>1001959</v>
      </c>
      <c r="Q208" s="27">
        <f t="shared" si="51"/>
        <v>1003459</v>
      </c>
      <c r="R208" s="141">
        <v>6798</v>
      </c>
      <c r="S208" s="141">
        <v>145075</v>
      </c>
      <c r="T208" s="141">
        <v>458440</v>
      </c>
      <c r="U208" s="121">
        <f t="shared" si="52"/>
        <v>80922</v>
      </c>
      <c r="V208" s="156">
        <f t="shared" si="38"/>
        <v>129106</v>
      </c>
      <c r="W208" s="138">
        <f t="shared" si="35"/>
        <v>2.7845336390252971E-2</v>
      </c>
      <c r="X208" s="139">
        <f t="shared" si="50"/>
        <v>2.633639220006305E-2</v>
      </c>
      <c r="Y208" s="259">
        <f t="shared" si="43"/>
        <v>2.7845336390252971E-2</v>
      </c>
      <c r="Z208" s="110">
        <f t="shared" si="48"/>
        <v>1.4701842962342893E-2</v>
      </c>
      <c r="AA208" s="110">
        <f t="shared" si="41"/>
        <v>0.49055279432408844</v>
      </c>
      <c r="AB208" s="110">
        <f t="shared" si="47"/>
        <v>0.49055279432408849</v>
      </c>
      <c r="AD208" s="110">
        <f t="shared" si="39"/>
        <v>5.0291236861800703E-2</v>
      </c>
    </row>
    <row r="209" spans="1:30" x14ac:dyDescent="0.25">
      <c r="A209" s="2">
        <v>44100</v>
      </c>
      <c r="B209" s="190">
        <v>11249</v>
      </c>
      <c r="C209" s="24">
        <f t="shared" si="36"/>
        <v>11364.285714285714</v>
      </c>
      <c r="D209" s="190">
        <f t="shared" si="34"/>
        <v>702484</v>
      </c>
      <c r="E209" s="190">
        <v>337</v>
      </c>
      <c r="F209" s="24">
        <f t="shared" si="37"/>
        <v>391.71428571428572</v>
      </c>
      <c r="G209" s="190">
        <f t="shared" si="44"/>
        <v>15542</v>
      </c>
      <c r="H209" s="190">
        <f t="shared" si="49"/>
        <v>9565</v>
      </c>
      <c r="I209" s="218">
        <v>556489</v>
      </c>
      <c r="J209" s="190">
        <v>3633</v>
      </c>
      <c r="K209" s="24">
        <f t="shared" si="46"/>
        <v>3468</v>
      </c>
      <c r="L209" s="190">
        <v>22101</v>
      </c>
      <c r="M209" s="24">
        <f t="shared" si="46"/>
        <v>22735.714285714286</v>
      </c>
      <c r="N209" s="4">
        <f t="shared" si="40"/>
        <v>1844894</v>
      </c>
      <c r="O209" s="7">
        <v>1537</v>
      </c>
      <c r="P209" s="7">
        <v>1014163</v>
      </c>
      <c r="Q209" s="27">
        <f t="shared" si="51"/>
        <v>1015700</v>
      </c>
      <c r="R209" s="141">
        <v>6835</v>
      </c>
      <c r="S209" s="141">
        <v>146416</v>
      </c>
      <c r="T209" s="141">
        <v>464913</v>
      </c>
      <c r="U209" s="121">
        <f t="shared" si="52"/>
        <v>84320</v>
      </c>
      <c r="V209" s="156">
        <f t="shared" si="38"/>
        <v>130453</v>
      </c>
      <c r="W209" s="138">
        <f t="shared" si="35"/>
        <v>2.7849110407579741E-2</v>
      </c>
      <c r="X209" s="139">
        <f t="shared" si="50"/>
        <v>2.6386559187249158E-2</v>
      </c>
      <c r="Y209" s="259">
        <f t="shared" si="43"/>
        <v>2.7849110407579741E-2</v>
      </c>
      <c r="Z209" s="110">
        <f t="shared" si="48"/>
        <v>4.9084770797066968E-2</v>
      </c>
      <c r="AA209" s="110">
        <f t="shared" si="41"/>
        <v>0.49984291548853282</v>
      </c>
      <c r="AB209" s="110">
        <f t="shared" si="47"/>
        <v>0.49984291548853282</v>
      </c>
      <c r="AD209" s="110">
        <f t="shared" si="39"/>
        <v>7.0137732459414348E-2</v>
      </c>
    </row>
    <row r="210" spans="1:30" x14ac:dyDescent="0.25">
      <c r="A210" s="2">
        <v>44101</v>
      </c>
      <c r="B210" s="190">
        <v>8841</v>
      </c>
      <c r="C210" s="24">
        <f t="shared" si="36"/>
        <v>11422.857142857143</v>
      </c>
      <c r="D210" s="190">
        <f t="shared" si="34"/>
        <v>711325</v>
      </c>
      <c r="E210" s="190">
        <v>206</v>
      </c>
      <c r="F210" s="24">
        <f t="shared" si="37"/>
        <v>385</v>
      </c>
      <c r="G210" s="190">
        <f t="shared" si="44"/>
        <v>15748</v>
      </c>
      <c r="H210" s="190">
        <f t="shared" si="49"/>
        <v>9446</v>
      </c>
      <c r="I210" s="218">
        <v>565935</v>
      </c>
      <c r="J210" s="190">
        <v>3604</v>
      </c>
      <c r="K210" s="24">
        <f t="shared" si="46"/>
        <v>3517</v>
      </c>
      <c r="L210" s="190">
        <v>15171</v>
      </c>
      <c r="M210" s="24">
        <f t="shared" si="46"/>
        <v>22695.285714285714</v>
      </c>
      <c r="N210" s="4">
        <f t="shared" si="40"/>
        <v>1860065</v>
      </c>
      <c r="O210" s="7">
        <v>1567</v>
      </c>
      <c r="P210" s="7">
        <v>1021244</v>
      </c>
      <c r="Q210" s="27">
        <f t="shared" si="51"/>
        <v>1022811</v>
      </c>
      <c r="R210" s="141">
        <v>6874</v>
      </c>
      <c r="S210" s="141">
        <v>147538</v>
      </c>
      <c r="T210" s="141">
        <v>469799</v>
      </c>
      <c r="U210" s="121">
        <f t="shared" si="52"/>
        <v>87114</v>
      </c>
      <c r="V210" s="156">
        <f t="shared" si="38"/>
        <v>129642</v>
      </c>
      <c r="W210" s="138">
        <f t="shared" si="35"/>
        <v>2.779963283503803E-2</v>
      </c>
      <c r="X210" s="139">
        <f t="shared" si="50"/>
        <v>2.6171945761517535E-2</v>
      </c>
      <c r="Y210" s="259">
        <f t="shared" si="43"/>
        <v>2.779963283503803E-2</v>
      </c>
      <c r="Z210" s="110">
        <f t="shared" si="48"/>
        <v>7.040066398040179E-2</v>
      </c>
      <c r="AA210" s="110">
        <f t="shared" si="41"/>
        <v>0.50331409292049323</v>
      </c>
      <c r="AB210" s="110">
        <f t="shared" si="47"/>
        <v>0.50331409292049323</v>
      </c>
      <c r="AD210" s="110">
        <f t="shared" si="39"/>
        <v>8.0953532388917226E-2</v>
      </c>
    </row>
    <row r="211" spans="1:30" x14ac:dyDescent="0.25">
      <c r="A211" s="2">
        <v>44102</v>
      </c>
      <c r="B211" s="190">
        <v>11807</v>
      </c>
      <c r="C211" s="24">
        <f t="shared" si="36"/>
        <v>11855</v>
      </c>
      <c r="D211" s="190">
        <f t="shared" si="34"/>
        <v>723132</v>
      </c>
      <c r="E211" s="190">
        <v>365</v>
      </c>
      <c r="F211" s="24">
        <f t="shared" si="37"/>
        <v>376.14285714285717</v>
      </c>
      <c r="G211" s="190">
        <f t="shared" si="44"/>
        <v>16113</v>
      </c>
      <c r="H211" s="190">
        <f t="shared" si="49"/>
        <v>10780</v>
      </c>
      <c r="I211" s="218">
        <v>576715</v>
      </c>
      <c r="J211" s="190">
        <v>3678</v>
      </c>
      <c r="K211" s="24">
        <f t="shared" si="46"/>
        <v>3558.5714285714284</v>
      </c>
      <c r="L211" s="190">
        <v>21356</v>
      </c>
      <c r="M211" s="24">
        <f t="shared" si="46"/>
        <v>23092.571428571428</v>
      </c>
      <c r="N211" s="4">
        <f t="shared" si="40"/>
        <v>1881421</v>
      </c>
      <c r="O211" s="7">
        <v>1611</v>
      </c>
      <c r="P211" s="7">
        <v>1031143</v>
      </c>
      <c r="Q211" s="27">
        <f t="shared" si="51"/>
        <v>1032754</v>
      </c>
      <c r="R211" s="141">
        <v>6984</v>
      </c>
      <c r="S211" s="141">
        <v>149538</v>
      </c>
      <c r="T211" s="141">
        <v>478119</v>
      </c>
      <c r="U211" s="121">
        <f t="shared" si="52"/>
        <v>88491</v>
      </c>
      <c r="V211" s="156">
        <f t="shared" si="38"/>
        <v>130304</v>
      </c>
      <c r="W211" s="138">
        <f t="shared" si="35"/>
        <v>2.8226301571709234E-2</v>
      </c>
      <c r="X211" s="139">
        <f>G211/D201</f>
        <v>2.6257296409400676E-2</v>
      </c>
      <c r="Y211" s="259">
        <f t="shared" si="43"/>
        <v>2.8226301571709234E-2</v>
      </c>
      <c r="Z211" s="110">
        <f t="shared" si="48"/>
        <v>0.10889144262119843</v>
      </c>
      <c r="AA211" s="110">
        <f t="shared" si="41"/>
        <v>0.51336855389488278</v>
      </c>
      <c r="AB211" s="110">
        <f t="shared" si="47"/>
        <v>0.51336855389488267</v>
      </c>
      <c r="AD211" s="110">
        <f t="shared" si="39"/>
        <v>0.10329878750931387</v>
      </c>
    </row>
    <row r="212" spans="1:30" x14ac:dyDescent="0.25">
      <c r="A212" s="2">
        <v>44103</v>
      </c>
      <c r="B212" s="190">
        <v>13477</v>
      </c>
      <c r="C212" s="24">
        <f t="shared" si="36"/>
        <v>12062.142857142857</v>
      </c>
      <c r="D212" s="190">
        <f t="shared" si="34"/>
        <v>736609</v>
      </c>
      <c r="E212" s="190">
        <v>405</v>
      </c>
      <c r="F212" s="24">
        <f t="shared" si="37"/>
        <v>367</v>
      </c>
      <c r="G212" s="190">
        <f t="shared" si="44"/>
        <v>16518</v>
      </c>
      <c r="H212" s="190">
        <f t="shared" si="49"/>
        <v>9142</v>
      </c>
      <c r="I212" s="218">
        <v>585857</v>
      </c>
      <c r="J212" s="190">
        <v>3768</v>
      </c>
      <c r="K212" s="24">
        <f t="shared" si="46"/>
        <v>3616.5714285714284</v>
      </c>
      <c r="L212" s="190">
        <v>25072</v>
      </c>
      <c r="M212" s="24">
        <f t="shared" si="46"/>
        <v>22993.428571428572</v>
      </c>
      <c r="N212" s="4">
        <f t="shared" si="40"/>
        <v>1906493</v>
      </c>
      <c r="O212" s="7">
        <v>1774</v>
      </c>
      <c r="P212" s="47">
        <v>1043210</v>
      </c>
      <c r="Q212" s="27">
        <f t="shared" si="51"/>
        <v>1044984</v>
      </c>
      <c r="R212" s="141">
        <v>7083</v>
      </c>
      <c r="S212" s="141">
        <v>151787</v>
      </c>
      <c r="T212" s="141">
        <v>487971</v>
      </c>
      <c r="U212" s="121">
        <f t="shared" si="52"/>
        <v>89768</v>
      </c>
      <c r="V212" s="156">
        <f t="shared" si="38"/>
        <v>134234</v>
      </c>
      <c r="W212" s="138">
        <f t="shared" si="35"/>
        <v>2.8070384552348882E-2</v>
      </c>
      <c r="X212" s="139">
        <f>G212/D202</f>
        <v>2.6516452786330493E-2</v>
      </c>
      <c r="Y212" s="259">
        <f t="shared" si="43"/>
        <v>2.8070384552348882E-2</v>
      </c>
      <c r="Z212" s="110">
        <f t="shared" si="48"/>
        <v>0.11410927995566511</v>
      </c>
      <c r="AA212" s="110">
        <f t="shared" si="41"/>
        <v>0.52459087689650452</v>
      </c>
      <c r="AB212" s="110">
        <f t="shared" si="47"/>
        <v>0.52459087689650463</v>
      </c>
      <c r="AD212" s="110">
        <f t="shared" si="39"/>
        <v>0.10939940659685776</v>
      </c>
    </row>
    <row r="213" spans="1:30" x14ac:dyDescent="0.25">
      <c r="A213" s="2">
        <v>44104</v>
      </c>
      <c r="B213" s="190">
        <v>14392</v>
      </c>
      <c r="C213" s="24">
        <f t="shared" si="36"/>
        <v>12314.571428571429</v>
      </c>
      <c r="D213" s="190">
        <f t="shared" si="34"/>
        <v>751001</v>
      </c>
      <c r="E213" s="190">
        <v>418</v>
      </c>
      <c r="F213" s="24">
        <f t="shared" si="37"/>
        <v>366.28571428571428</v>
      </c>
      <c r="G213" s="190">
        <f t="shared" si="44"/>
        <v>16936</v>
      </c>
      <c r="H213" s="190">
        <f t="shared" si="49"/>
        <v>8788</v>
      </c>
      <c r="I213" s="218">
        <v>594645</v>
      </c>
      <c r="J213" s="190">
        <v>3792</v>
      </c>
      <c r="K213" s="24">
        <f t="shared" si="46"/>
        <v>3656.7142857142858</v>
      </c>
      <c r="L213" s="190">
        <v>26524</v>
      </c>
      <c r="M213" s="24">
        <f t="shared" si="46"/>
        <v>23225</v>
      </c>
      <c r="N213" s="4">
        <f t="shared" si="40"/>
        <v>1933017</v>
      </c>
      <c r="O213" s="112">
        <v>2013</v>
      </c>
      <c r="P213" s="8">
        <v>1055774</v>
      </c>
      <c r="Q213" s="135">
        <f t="shared" si="51"/>
        <v>1057787</v>
      </c>
      <c r="R213" s="141">
        <v>7162</v>
      </c>
      <c r="S213" s="141">
        <v>153949</v>
      </c>
      <c r="T213" s="141">
        <v>498519</v>
      </c>
      <c r="U213" s="121">
        <f t="shared" si="52"/>
        <v>91371</v>
      </c>
      <c r="V213" s="156">
        <f t="shared" si="38"/>
        <v>139420</v>
      </c>
      <c r="W213" s="138">
        <f t="shared" si="35"/>
        <v>2.7198393343853107E-2</v>
      </c>
      <c r="X213" s="139">
        <f>G213/D203</f>
        <v>2.682442010564412E-2</v>
      </c>
      <c r="Y213" s="259">
        <f t="shared" si="43"/>
        <v>2.7198393343853107E-2</v>
      </c>
      <c r="Z213" s="110">
        <f t="shared" si="48"/>
        <v>0.12604339477224946</v>
      </c>
      <c r="AA213" s="110">
        <f t="shared" si="41"/>
        <v>0.53022912501922193</v>
      </c>
      <c r="AB213" s="110">
        <f t="shared" si="47"/>
        <v>0.53022912501922193</v>
      </c>
      <c r="AD213" s="110">
        <f t="shared" si="39"/>
        <v>0.11588669852170219</v>
      </c>
    </row>
    <row r="214" spans="1:30" x14ac:dyDescent="0.25">
      <c r="A214" s="2">
        <v>44105</v>
      </c>
      <c r="B214" s="190">
        <v>14001</v>
      </c>
      <c r="C214" s="24">
        <f t="shared" si="36"/>
        <v>12390.857142857143</v>
      </c>
      <c r="D214" s="190">
        <f t="shared" si="34"/>
        <v>765002</v>
      </c>
      <c r="E214" s="203">
        <v>3351</v>
      </c>
      <c r="F214" s="24">
        <f t="shared" si="37"/>
        <v>789.14285714285711</v>
      </c>
      <c r="G214" s="190">
        <f t="shared" si="44"/>
        <v>20287</v>
      </c>
      <c r="H214" s="190">
        <f t="shared" si="49"/>
        <v>8495</v>
      </c>
      <c r="I214" s="218">
        <v>603140</v>
      </c>
      <c r="J214" s="201">
        <v>3799</v>
      </c>
      <c r="K214" s="24">
        <f t="shared" si="46"/>
        <v>3695.5714285714284</v>
      </c>
      <c r="L214" s="190">
        <v>26662</v>
      </c>
      <c r="M214" s="24">
        <f t="shared" si="46"/>
        <v>23140.571428571428</v>
      </c>
      <c r="N214" s="4">
        <f t="shared" si="40"/>
        <v>1959679</v>
      </c>
      <c r="O214" s="112">
        <v>1482</v>
      </c>
      <c r="P214" s="8">
        <v>1068705</v>
      </c>
      <c r="Q214" s="135">
        <f t="shared" si="51"/>
        <v>1070187</v>
      </c>
      <c r="R214" s="141">
        <v>7226</v>
      </c>
      <c r="S214" s="141">
        <v>155848</v>
      </c>
      <c r="T214" s="141">
        <v>508945</v>
      </c>
      <c r="U214" s="121">
        <f t="shared" si="52"/>
        <v>92983</v>
      </c>
      <c r="V214" s="156">
        <f t="shared" si="38"/>
        <v>141575</v>
      </c>
      <c r="W214" s="138">
        <f t="shared" si="35"/>
        <v>2.6833833657072224E-2</v>
      </c>
      <c r="X214" s="139">
        <f>G214/D204</f>
        <v>3.1691158437046493E-2</v>
      </c>
      <c r="Y214" s="259">
        <f t="shared" si="43"/>
        <v>2.6833833657072224E-2</v>
      </c>
      <c r="Z214" s="110">
        <f t="shared" si="48"/>
        <v>0.11806334351676417</v>
      </c>
      <c r="AA214" s="110">
        <f t="shared" si="41"/>
        <v>0.5354602923745555</v>
      </c>
      <c r="AB214" s="110">
        <f t="shared" si="47"/>
        <v>0.5354602923745555</v>
      </c>
      <c r="AD214" s="110">
        <f t="shared" si="39"/>
        <v>0.11551917046188764</v>
      </c>
    </row>
    <row r="215" spans="1:30" x14ac:dyDescent="0.25">
      <c r="A215" s="2">
        <v>44106</v>
      </c>
      <c r="B215" s="199">
        <v>14687</v>
      </c>
      <c r="C215" s="24">
        <f t="shared" si="36"/>
        <v>12636.285714285714</v>
      </c>
      <c r="D215" s="190">
        <f t="shared" si="34"/>
        <v>779689</v>
      </c>
      <c r="E215" s="190">
        <v>309</v>
      </c>
      <c r="F215" s="24">
        <f t="shared" si="37"/>
        <v>770.14285714285711</v>
      </c>
      <c r="G215" s="190">
        <f t="shared" si="44"/>
        <v>20596</v>
      </c>
      <c r="H215" s="190">
        <f t="shared" si="49"/>
        <v>11375</v>
      </c>
      <c r="I215" s="218">
        <v>614515</v>
      </c>
      <c r="J215" s="201">
        <v>3828</v>
      </c>
      <c r="K215" s="24">
        <f t="shared" si="46"/>
        <v>3728.8571428571427</v>
      </c>
      <c r="L215" s="190">
        <v>27537</v>
      </c>
      <c r="M215" s="24">
        <f t="shared" si="46"/>
        <v>23489</v>
      </c>
      <c r="N215" s="4">
        <f t="shared" si="40"/>
        <v>1987216</v>
      </c>
      <c r="O215" s="7">
        <v>1492</v>
      </c>
      <c r="P215" s="8">
        <v>1082729</v>
      </c>
      <c r="Q215" s="27">
        <f t="shared" si="51"/>
        <v>1084221</v>
      </c>
      <c r="R215" s="141">
        <v>7323</v>
      </c>
      <c r="S215" s="141">
        <v>158001</v>
      </c>
      <c r="T215" s="141">
        <v>520163</v>
      </c>
      <c r="U215" s="121">
        <f t="shared" si="52"/>
        <v>94202</v>
      </c>
      <c r="V215" s="156">
        <f t="shared" si="38"/>
        <v>144578</v>
      </c>
      <c r="W215" s="138">
        <f t="shared" si="35"/>
        <v>2.6477057366957629E-2</v>
      </c>
      <c r="X215" s="43">
        <f t="shared" ref="X215:X245" si="53">G215/D195</f>
        <v>3.7688410027064072E-2</v>
      </c>
      <c r="Y215" s="259">
        <f t="shared" si="43"/>
        <v>2.6477057366957629E-2</v>
      </c>
      <c r="Z215" s="110">
        <f t="shared" si="48"/>
        <v>0.11192960402262719</v>
      </c>
      <c r="AA215" s="110">
        <f t="shared" si="41"/>
        <v>0.53796609963326292</v>
      </c>
      <c r="AB215" s="110">
        <f t="shared" si="47"/>
        <v>0.53796609963326303</v>
      </c>
      <c r="AD215" s="110">
        <f t="shared" si="39"/>
        <v>0.11983951171905249</v>
      </c>
    </row>
    <row r="216" spans="1:30" x14ac:dyDescent="0.25">
      <c r="A216" s="52">
        <v>44107</v>
      </c>
      <c r="B216" s="197">
        <v>11129</v>
      </c>
      <c r="C216" s="24">
        <f t="shared" si="36"/>
        <v>12619.142857142857</v>
      </c>
      <c r="D216" s="197">
        <f t="shared" si="34"/>
        <v>790818</v>
      </c>
      <c r="E216" s="197">
        <v>195</v>
      </c>
      <c r="F216" s="24">
        <f t="shared" si="37"/>
        <v>749.85714285714289</v>
      </c>
      <c r="G216" s="197">
        <f t="shared" si="44"/>
        <v>20791</v>
      </c>
      <c r="H216" s="190">
        <f t="shared" si="49"/>
        <v>11599</v>
      </c>
      <c r="I216" s="218">
        <v>626114</v>
      </c>
      <c r="J216" s="201">
        <v>3820</v>
      </c>
      <c r="K216" s="24">
        <f t="shared" si="46"/>
        <v>3755.5714285714284</v>
      </c>
      <c r="L216" s="197">
        <v>20525</v>
      </c>
      <c r="M216" s="24">
        <f t="shared" si="46"/>
        <v>23263.857142857141</v>
      </c>
      <c r="N216" s="4">
        <f t="shared" si="40"/>
        <v>2007741</v>
      </c>
      <c r="O216" s="47">
        <v>1499</v>
      </c>
      <c r="P216" s="47">
        <v>1095695</v>
      </c>
      <c r="Q216" s="136">
        <f t="shared" si="51"/>
        <v>1097194</v>
      </c>
      <c r="R216" s="141">
        <v>7387</v>
      </c>
      <c r="S216" s="141">
        <v>159347</v>
      </c>
      <c r="T216" s="141">
        <v>527803</v>
      </c>
      <c r="U216" s="121">
        <f t="shared" si="52"/>
        <v>96281</v>
      </c>
      <c r="V216" s="156">
        <f t="shared" si="38"/>
        <v>143913</v>
      </c>
      <c r="W216" s="138">
        <f t="shared" si="35"/>
        <v>2.6543814665805035E-2</v>
      </c>
      <c r="X216" s="43">
        <f t="shared" si="53"/>
        <v>3.7425049996669887E-2</v>
      </c>
      <c r="Y216" s="259">
        <f t="shared" si="43"/>
        <v>2.6543814665805035E-2</v>
      </c>
      <c r="Z216" s="110">
        <f t="shared" si="48"/>
        <v>0.10472736368184088</v>
      </c>
      <c r="AA216" s="110">
        <f t="shared" si="41"/>
        <v>0.54243553765190644</v>
      </c>
      <c r="AB216" s="110">
        <f t="shared" si="47"/>
        <v>0.54243553765190644</v>
      </c>
      <c r="AD216" s="110">
        <f t="shared" si="39"/>
        <v>0.10317892267713269</v>
      </c>
    </row>
    <row r="217" spans="1:30" x14ac:dyDescent="0.25">
      <c r="A217" s="2">
        <v>44108</v>
      </c>
      <c r="B217" s="190">
        <v>7668</v>
      </c>
      <c r="C217" s="24">
        <f t="shared" si="36"/>
        <v>12451.571428571429</v>
      </c>
      <c r="D217" s="190">
        <f t="shared" si="34"/>
        <v>798486</v>
      </c>
      <c r="E217" s="190">
        <v>222</v>
      </c>
      <c r="F217" s="24">
        <f t="shared" si="37"/>
        <v>752.14285714285711</v>
      </c>
      <c r="G217" s="190">
        <f t="shared" si="44"/>
        <v>21013</v>
      </c>
      <c r="H217" s="190">
        <f t="shared" si="49"/>
        <v>10558</v>
      </c>
      <c r="I217" s="218">
        <v>636672</v>
      </c>
      <c r="J217" s="201">
        <v>3950</v>
      </c>
      <c r="K217" s="24">
        <f t="shared" si="46"/>
        <v>3805</v>
      </c>
      <c r="L217" s="190">
        <v>13213</v>
      </c>
      <c r="M217" s="24">
        <f t="shared" si="46"/>
        <v>22984.142857142859</v>
      </c>
      <c r="N217" s="4">
        <f t="shared" si="40"/>
        <v>2020954</v>
      </c>
      <c r="O217" s="7">
        <v>1504</v>
      </c>
      <c r="P217" s="7">
        <v>1103068</v>
      </c>
      <c r="Q217" s="27">
        <f t="shared" si="51"/>
        <v>1104572</v>
      </c>
      <c r="R217" s="141">
        <v>7425</v>
      </c>
      <c r="S217" s="141">
        <v>160401</v>
      </c>
      <c r="T217" s="141">
        <v>533573</v>
      </c>
      <c r="U217" s="121">
        <f t="shared" si="52"/>
        <v>97087</v>
      </c>
      <c r="V217" s="156">
        <f t="shared" si="38"/>
        <v>140801</v>
      </c>
      <c r="W217" s="138">
        <f t="shared" si="35"/>
        <v>2.8053778027144694E-2</v>
      </c>
      <c r="X217" s="43">
        <f t="shared" si="53"/>
        <v>3.7161815628724934E-2</v>
      </c>
      <c r="Y217" s="259">
        <f t="shared" si="43"/>
        <v>2.8053778027144694E-2</v>
      </c>
      <c r="Z217" s="110">
        <f t="shared" si="48"/>
        <v>5.0322347412182999E-2</v>
      </c>
      <c r="AA217" s="110">
        <f t="shared" si="41"/>
        <v>0.5417461728272287</v>
      </c>
      <c r="AB217" s="110">
        <f t="shared" si="47"/>
        <v>0.5417461728272287</v>
      </c>
      <c r="AD217" s="110">
        <f t="shared" si="39"/>
        <v>8.6075500223693036E-2</v>
      </c>
    </row>
    <row r="218" spans="1:30" x14ac:dyDescent="0.25">
      <c r="A218" s="2">
        <v>44109</v>
      </c>
      <c r="B218" s="200">
        <v>11242</v>
      </c>
      <c r="C218" s="24">
        <f t="shared" si="36"/>
        <v>12370.857142857143</v>
      </c>
      <c r="D218" s="190">
        <f t="shared" si="34"/>
        <v>809728</v>
      </c>
      <c r="E218" s="190">
        <v>450</v>
      </c>
      <c r="F218" s="24">
        <f t="shared" si="37"/>
        <v>764.28571428571433</v>
      </c>
      <c r="G218" s="190">
        <f t="shared" si="44"/>
        <v>21463</v>
      </c>
      <c r="H218" s="190">
        <f t="shared" si="49"/>
        <v>12345</v>
      </c>
      <c r="I218" s="218">
        <v>649017</v>
      </c>
      <c r="J218" s="201">
        <v>3978</v>
      </c>
      <c r="K218" s="24">
        <f t="shared" si="46"/>
        <v>3847.8571428571427</v>
      </c>
      <c r="L218" s="190">
        <v>20263</v>
      </c>
      <c r="M218" s="24">
        <f t="shared" si="46"/>
        <v>22828</v>
      </c>
      <c r="N218" s="4">
        <f t="shared" si="40"/>
        <v>2041217</v>
      </c>
      <c r="O218" s="7">
        <v>1508</v>
      </c>
      <c r="P218" s="7">
        <v>1113469</v>
      </c>
      <c r="Q218" s="27">
        <f t="shared" si="51"/>
        <v>1114977</v>
      </c>
      <c r="R218" s="141">
        <v>7503</v>
      </c>
      <c r="S218" s="141">
        <v>162682</v>
      </c>
      <c r="T218" s="141">
        <v>544916</v>
      </c>
      <c r="U218" s="121">
        <f t="shared" si="52"/>
        <v>94627</v>
      </c>
      <c r="V218" s="156">
        <f t="shared" si="38"/>
        <v>139248</v>
      </c>
      <c r="W218" s="138">
        <f t="shared" si="35"/>
        <v>2.8567735263702172E-2</v>
      </c>
      <c r="X218" s="43">
        <f t="shared" si="53"/>
        <v>3.7175796500490181E-2</v>
      </c>
      <c r="Y218" s="259">
        <f t="shared" si="43"/>
        <v>2.8567735263702172E-2</v>
      </c>
      <c r="Z218" s="110">
        <f t="shared" si="48"/>
        <v>2.5593651921596461E-2</v>
      </c>
      <c r="AA218" s="110">
        <f t="shared" si="41"/>
        <v>0.54191594282710454</v>
      </c>
      <c r="AB218" s="110">
        <f t="shared" si="47"/>
        <v>0.54191594282710454</v>
      </c>
      <c r="AD218" s="110">
        <f t="shared" si="39"/>
        <v>6.8639489194499026E-2</v>
      </c>
    </row>
    <row r="219" spans="1:30" x14ac:dyDescent="0.25">
      <c r="A219" s="2">
        <v>44110</v>
      </c>
      <c r="B219" s="200">
        <v>14740</v>
      </c>
      <c r="C219" s="24">
        <f t="shared" si="36"/>
        <v>12551.285714285714</v>
      </c>
      <c r="D219" s="190">
        <f t="shared" si="34"/>
        <v>824468</v>
      </c>
      <c r="E219" s="190">
        <v>359</v>
      </c>
      <c r="F219" s="24">
        <f t="shared" si="37"/>
        <v>757.71428571428567</v>
      </c>
      <c r="G219" s="190">
        <f t="shared" si="44"/>
        <v>21822</v>
      </c>
      <c r="H219" s="190">
        <f t="shared" si="49"/>
        <v>11255</v>
      </c>
      <c r="I219" s="218">
        <v>660272</v>
      </c>
      <c r="J219" s="201">
        <v>4007</v>
      </c>
      <c r="K219" s="24">
        <f t="shared" si="46"/>
        <v>3882</v>
      </c>
      <c r="L219" s="190">
        <v>26481</v>
      </c>
      <c r="M219" s="24">
        <f t="shared" si="46"/>
        <v>23029.285714285714</v>
      </c>
      <c r="N219" s="4">
        <f t="shared" si="40"/>
        <v>2067698</v>
      </c>
      <c r="O219" s="7">
        <v>1528</v>
      </c>
      <c r="P219" s="7">
        <v>1127417</v>
      </c>
      <c r="Q219" s="27">
        <f t="shared" si="51"/>
        <v>1128945</v>
      </c>
      <c r="R219" s="141">
        <v>7581</v>
      </c>
      <c r="S219" s="141">
        <v>165737</v>
      </c>
      <c r="T219" s="141">
        <v>556132</v>
      </c>
      <c r="U219" s="121">
        <f t="shared" si="52"/>
        <v>95018</v>
      </c>
      <c r="V219" s="156">
        <f t="shared" si="38"/>
        <v>142374</v>
      </c>
      <c r="W219" s="138">
        <f t="shared" si="35"/>
        <v>2.8144183629033391E-2</v>
      </c>
      <c r="X219" s="43">
        <f t="shared" si="53"/>
        <v>3.7048481185442739E-2</v>
      </c>
      <c r="Y219" s="259">
        <f t="shared" si="43"/>
        <v>2.8144183629033391E-2</v>
      </c>
      <c r="Z219" s="110">
        <f t="shared" si="48"/>
        <v>1.9222291826175519E-2</v>
      </c>
      <c r="AA219" s="110">
        <f t="shared" si="41"/>
        <v>0.54501411246549425</v>
      </c>
      <c r="AB219" s="110">
        <f t="shared" si="47"/>
        <v>0.54501411246549425</v>
      </c>
      <c r="AD219" s="110">
        <f t="shared" si="39"/>
        <v>6.0640374271794029E-2</v>
      </c>
    </row>
    <row r="220" spans="1:30" x14ac:dyDescent="0.25">
      <c r="A220" s="2">
        <v>44111</v>
      </c>
      <c r="B220" s="200">
        <v>16447</v>
      </c>
      <c r="C220" s="24">
        <f t="shared" si="36"/>
        <v>12844.857142857143</v>
      </c>
      <c r="D220" s="190">
        <f t="shared" si="34"/>
        <v>840915</v>
      </c>
      <c r="E220" s="190">
        <v>401</v>
      </c>
      <c r="F220" s="24">
        <f t="shared" si="37"/>
        <v>755.28571428571433</v>
      </c>
      <c r="G220" s="190">
        <f t="shared" si="44"/>
        <v>22223</v>
      </c>
      <c r="H220" s="190">
        <f t="shared" si="49"/>
        <v>10453</v>
      </c>
      <c r="I220" s="218">
        <v>670725</v>
      </c>
      <c r="J220" s="201">
        <v>3997</v>
      </c>
      <c r="K220" s="24">
        <f t="shared" si="46"/>
        <v>3911.2857142857142</v>
      </c>
      <c r="L220" s="299">
        <v>29441</v>
      </c>
      <c r="M220" s="24">
        <f t="shared" si="46"/>
        <v>23446</v>
      </c>
      <c r="N220" s="4">
        <f t="shared" si="40"/>
        <v>2097139</v>
      </c>
      <c r="O220" s="7">
        <v>1542</v>
      </c>
      <c r="P220" s="7">
        <v>1142661</v>
      </c>
      <c r="Q220" s="27">
        <f t="shared" si="51"/>
        <v>1144203</v>
      </c>
      <c r="R220" s="141">
        <v>7669</v>
      </c>
      <c r="S220" s="141">
        <v>168593</v>
      </c>
      <c r="T220" s="141">
        <v>568246</v>
      </c>
      <c r="U220" s="121">
        <f t="shared" si="52"/>
        <v>96407</v>
      </c>
      <c r="V220" s="156">
        <f t="shared" si="38"/>
        <v>147967</v>
      </c>
      <c r="W220" s="138">
        <f t="shared" si="35"/>
        <v>2.7012779876594107E-2</v>
      </c>
      <c r="X220" s="43">
        <f t="shared" si="53"/>
        <v>3.6932889932575833E-2</v>
      </c>
      <c r="Y220" s="259">
        <f t="shared" si="43"/>
        <v>2.7012779876594107E-2</v>
      </c>
      <c r="Z220" s="110">
        <f t="shared" si="48"/>
        <v>3.663991883416351E-2</v>
      </c>
      <c r="AA220" s="110">
        <f t="shared" si="41"/>
        <v>0.54784855168715951</v>
      </c>
      <c r="AB220" s="110">
        <f t="shared" si="47"/>
        <v>0.54784855168715951</v>
      </c>
      <c r="AD220" s="110">
        <f t="shared" si="39"/>
        <v>6.1303973604934781E-2</v>
      </c>
    </row>
    <row r="221" spans="1:30" x14ac:dyDescent="0.25">
      <c r="A221" s="2">
        <v>44112</v>
      </c>
      <c r="B221" s="190">
        <v>15454</v>
      </c>
      <c r="C221" s="24">
        <f t="shared" si="36"/>
        <v>13052.428571428571</v>
      </c>
      <c r="D221" s="190">
        <f t="shared" si="34"/>
        <v>856369</v>
      </c>
      <c r="E221" s="190">
        <v>484</v>
      </c>
      <c r="F221" s="24">
        <f t="shared" si="37"/>
        <v>345.71428571428572</v>
      </c>
      <c r="G221" s="190">
        <f t="shared" si="44"/>
        <v>22707</v>
      </c>
      <c r="H221" s="190">
        <f t="shared" si="49"/>
        <v>14119</v>
      </c>
      <c r="I221" s="218">
        <v>684844</v>
      </c>
      <c r="J221" s="201">
        <v>4043</v>
      </c>
      <c r="K221" s="24">
        <f t="shared" si="46"/>
        <v>3946.1428571428573</v>
      </c>
      <c r="L221" s="190">
        <v>25841</v>
      </c>
      <c r="M221" s="24">
        <f t="shared" si="46"/>
        <v>23328.714285714286</v>
      </c>
      <c r="N221" s="4">
        <f t="shared" si="40"/>
        <v>2122980</v>
      </c>
      <c r="O221" s="7">
        <v>1544</v>
      </c>
      <c r="P221" s="7">
        <v>1155668</v>
      </c>
      <c r="Q221" s="27">
        <f t="shared" si="51"/>
        <v>1157212</v>
      </c>
      <c r="R221" s="141">
        <v>7761</v>
      </c>
      <c r="S221" s="141">
        <v>171322</v>
      </c>
      <c r="T221" s="141">
        <v>578517</v>
      </c>
      <c r="U221" s="121">
        <f t="shared" si="52"/>
        <v>98769</v>
      </c>
      <c r="V221" s="156">
        <f t="shared" si="38"/>
        <v>148818</v>
      </c>
      <c r="W221" s="138">
        <f t="shared" si="35"/>
        <v>2.7167412544181483E-2</v>
      </c>
      <c r="X221" s="43">
        <f t="shared" si="53"/>
        <v>3.7002695312372692E-2</v>
      </c>
      <c r="Y221" s="259">
        <f t="shared" si="43"/>
        <v>2.7167412544181483E-2</v>
      </c>
      <c r="Z221" s="110">
        <f t="shared" si="48"/>
        <v>3.2932371628190849E-2</v>
      </c>
      <c r="AA221" s="110">
        <f t="shared" si="41"/>
        <v>0.55950055419133993</v>
      </c>
      <c r="AB221" s="110">
        <f t="shared" si="47"/>
        <v>0.55950055419133993</v>
      </c>
      <c r="AD221" s="110">
        <f t="shared" si="39"/>
        <v>5.1160162458061098E-2</v>
      </c>
    </row>
    <row r="222" spans="1:30" x14ac:dyDescent="0.25">
      <c r="A222" s="387">
        <v>44113</v>
      </c>
      <c r="B222" s="197">
        <v>15099</v>
      </c>
      <c r="C222" s="24">
        <f t="shared" si="36"/>
        <v>13111.285714285714</v>
      </c>
      <c r="D222" s="190">
        <f t="shared" si="34"/>
        <v>871468</v>
      </c>
      <c r="E222" s="211">
        <v>514</v>
      </c>
      <c r="F222" s="24">
        <f t="shared" si="37"/>
        <v>375</v>
      </c>
      <c r="G222" s="197">
        <f t="shared" si="44"/>
        <v>23221</v>
      </c>
      <c r="H222" s="190">
        <f t="shared" si="49"/>
        <v>12297</v>
      </c>
      <c r="I222" s="218">
        <v>697141</v>
      </c>
      <c r="J222" s="201">
        <v>4092</v>
      </c>
      <c r="K222" s="24">
        <f t="shared" si="46"/>
        <v>3983.8571428571427</v>
      </c>
      <c r="L222" s="197">
        <v>25174</v>
      </c>
      <c r="M222" s="24">
        <f t="shared" si="46"/>
        <v>22991.142857142859</v>
      </c>
      <c r="N222" s="4">
        <f t="shared" si="40"/>
        <v>2148154</v>
      </c>
      <c r="O222" s="47">
        <v>1564</v>
      </c>
      <c r="P222" s="47">
        <v>1172099</v>
      </c>
      <c r="Q222" s="136">
        <f t="shared" si="51"/>
        <v>1173663</v>
      </c>
      <c r="R222" s="141">
        <v>7817</v>
      </c>
      <c r="S222" s="141">
        <v>174267</v>
      </c>
      <c r="T222" s="141">
        <v>588788</v>
      </c>
      <c r="U222" s="121">
        <f t="shared" si="52"/>
        <v>100596</v>
      </c>
      <c r="V222" s="156">
        <f t="shared" ref="V222:V285" si="54">D222-G222-I222</f>
        <v>151106</v>
      </c>
      <c r="W222" s="138">
        <f t="shared" si="35"/>
        <v>2.7080327716966897E-2</v>
      </c>
      <c r="X222" s="43">
        <f t="shared" si="53"/>
        <v>3.7276822263674805E-2</v>
      </c>
      <c r="Y222" s="259">
        <f t="shared" si="43"/>
        <v>2.7080327716966897E-2</v>
      </c>
      <c r="Z222" s="110">
        <f t="shared" si="48"/>
        <v>3.8999705662598805E-2</v>
      </c>
      <c r="AA222" s="110">
        <f t="shared" si="41"/>
        <v>0.57027550982365871</v>
      </c>
      <c r="AB222" s="110">
        <f t="shared" si="47"/>
        <v>0.57027550982365882</v>
      </c>
      <c r="AD222" s="110">
        <f t="shared" si="39"/>
        <v>4.5152097829545212E-2</v>
      </c>
    </row>
    <row r="223" spans="1:30" x14ac:dyDescent="0.25">
      <c r="A223" s="388">
        <v>44114</v>
      </c>
      <c r="B223" s="201">
        <v>12414</v>
      </c>
      <c r="C223" s="24">
        <f t="shared" si="36"/>
        <v>13294.857142857143</v>
      </c>
      <c r="D223" s="190">
        <f t="shared" si="34"/>
        <v>883882</v>
      </c>
      <c r="E223" s="201">
        <v>357</v>
      </c>
      <c r="F223" s="24">
        <f t="shared" si="37"/>
        <v>398.14285714285717</v>
      </c>
      <c r="G223" s="201">
        <f t="shared" si="44"/>
        <v>23578</v>
      </c>
      <c r="H223" s="190">
        <f t="shared" si="49"/>
        <v>12323</v>
      </c>
      <c r="I223" s="218">
        <v>709464</v>
      </c>
      <c r="J223" s="201">
        <v>4200</v>
      </c>
      <c r="K223" s="24">
        <f t="shared" si="46"/>
        <v>4038.1428571428573</v>
      </c>
      <c r="L223" s="201">
        <v>19871</v>
      </c>
      <c r="M223" s="24">
        <f t="shared" si="46"/>
        <v>22897.714285714286</v>
      </c>
      <c r="N223" s="4">
        <f t="shared" si="40"/>
        <v>2168025</v>
      </c>
      <c r="O223" s="122">
        <v>1566</v>
      </c>
      <c r="P223" s="122">
        <v>1182752</v>
      </c>
      <c r="Q223" s="137">
        <f t="shared" si="51"/>
        <v>1184318</v>
      </c>
      <c r="R223" s="141">
        <v>7886</v>
      </c>
      <c r="S223" s="141">
        <v>176230</v>
      </c>
      <c r="T223" s="141">
        <v>594738</v>
      </c>
      <c r="U223" s="121">
        <f t="shared" si="52"/>
        <v>105028</v>
      </c>
      <c r="V223" s="156">
        <f t="shared" si="54"/>
        <v>150840</v>
      </c>
      <c r="W223" s="138">
        <f t="shared" si="35"/>
        <v>2.7844073190135241E-2</v>
      </c>
      <c r="X223" s="43">
        <f t="shared" si="53"/>
        <v>3.7344483777212861E-2</v>
      </c>
      <c r="Y223" s="259">
        <f t="shared" si="43"/>
        <v>2.7844073190135241E-2</v>
      </c>
      <c r="Z223" s="110">
        <f t="shared" si="48"/>
        <v>6.7725244088525871E-2</v>
      </c>
      <c r="AA223" s="110">
        <f t="shared" si="41"/>
        <v>0.58061940056399886</v>
      </c>
      <c r="AB223" s="110">
        <f t="shared" si="47"/>
        <v>0.58061940056399886</v>
      </c>
      <c r="AD223" s="110">
        <f t="shared" ref="AD223:AD286" si="55">V223/V216-1</f>
        <v>4.8133247170165205E-2</v>
      </c>
    </row>
    <row r="224" spans="1:30" x14ac:dyDescent="0.25">
      <c r="A224" s="389">
        <v>44115</v>
      </c>
      <c r="B224" s="202">
        <v>10324</v>
      </c>
      <c r="C224" s="24">
        <f t="shared" si="36"/>
        <v>13674.285714285714</v>
      </c>
      <c r="D224" s="197">
        <f t="shared" si="34"/>
        <v>894206</v>
      </c>
      <c r="E224" s="202">
        <v>283</v>
      </c>
      <c r="F224" s="24">
        <f t="shared" si="37"/>
        <v>406.85714285714283</v>
      </c>
      <c r="G224" s="202">
        <f t="shared" si="44"/>
        <v>23861</v>
      </c>
      <c r="H224" s="190">
        <f t="shared" si="49"/>
        <v>11916</v>
      </c>
      <c r="I224" s="218">
        <v>721380</v>
      </c>
      <c r="J224" s="202">
        <v>4237</v>
      </c>
      <c r="K224" s="24">
        <f t="shared" si="46"/>
        <v>4079.1428571428573</v>
      </c>
      <c r="L224" s="202">
        <v>14237</v>
      </c>
      <c r="M224" s="24">
        <f t="shared" si="46"/>
        <v>23044</v>
      </c>
      <c r="N224" s="4">
        <f t="shared" si="40"/>
        <v>2182262</v>
      </c>
      <c r="O224" s="146">
        <v>1567</v>
      </c>
      <c r="P224" s="146">
        <v>1189378</v>
      </c>
      <c r="Q224" s="151">
        <f t="shared" si="51"/>
        <v>1190945</v>
      </c>
      <c r="R224" s="147">
        <v>7932</v>
      </c>
      <c r="S224" s="147">
        <v>177557</v>
      </c>
      <c r="T224" s="147">
        <v>599352</v>
      </c>
      <c r="U224" s="145">
        <f t="shared" si="52"/>
        <v>109365</v>
      </c>
      <c r="V224" s="156">
        <f t="shared" si="54"/>
        <v>148965</v>
      </c>
      <c r="W224" s="148">
        <f t="shared" si="35"/>
        <v>2.8442922834222804E-2</v>
      </c>
      <c r="X224" s="114">
        <f t="shared" si="53"/>
        <v>3.7274251070457252E-2</v>
      </c>
      <c r="Y224" s="259">
        <f t="shared" si="43"/>
        <v>2.8442922834222804E-2</v>
      </c>
      <c r="Z224" s="110">
        <f t="shared" si="48"/>
        <v>0.10536283431105353</v>
      </c>
      <c r="AA224" s="110">
        <f t="shared" si="41"/>
        <v>0.59339896347360332</v>
      </c>
      <c r="AB224" s="110">
        <f t="shared" si="47"/>
        <v>0.59339896347360332</v>
      </c>
      <c r="AD224" s="110">
        <f t="shared" si="55"/>
        <v>5.79825427376226E-2</v>
      </c>
    </row>
    <row r="225" spans="1:30" x14ac:dyDescent="0.25">
      <c r="A225" s="390">
        <v>44116</v>
      </c>
      <c r="B225" s="190">
        <v>9524</v>
      </c>
      <c r="C225" s="24">
        <f t="shared" si="36"/>
        <v>13428.857142857143</v>
      </c>
      <c r="D225" s="190">
        <f t="shared" ref="D225:D241" si="56">D224+B225</f>
        <v>903730</v>
      </c>
      <c r="E225" s="190">
        <v>318</v>
      </c>
      <c r="F225" s="24">
        <f t="shared" si="37"/>
        <v>388</v>
      </c>
      <c r="G225" s="190">
        <f t="shared" si="44"/>
        <v>24179</v>
      </c>
      <c r="H225" s="190">
        <f t="shared" si="49"/>
        <v>11202</v>
      </c>
      <c r="I225" s="219">
        <v>732582</v>
      </c>
      <c r="J225" s="190">
        <v>4287</v>
      </c>
      <c r="K225" s="24">
        <f t="shared" si="46"/>
        <v>4123.2857142857147</v>
      </c>
      <c r="L225" s="190">
        <v>13956</v>
      </c>
      <c r="M225" s="24">
        <f t="shared" si="46"/>
        <v>22143</v>
      </c>
      <c r="N225" s="4">
        <f t="shared" si="40"/>
        <v>2196218</v>
      </c>
      <c r="O225" s="7">
        <v>1567</v>
      </c>
      <c r="P225" s="7">
        <v>1196534</v>
      </c>
      <c r="Q225" s="4">
        <f t="shared" si="51"/>
        <v>1198101</v>
      </c>
      <c r="R225" s="8">
        <v>7963</v>
      </c>
      <c r="S225" s="8">
        <v>179298</v>
      </c>
      <c r="T225" s="8">
        <v>608522</v>
      </c>
      <c r="U225" s="4">
        <f t="shared" si="52"/>
        <v>107947</v>
      </c>
      <c r="V225" s="156">
        <f t="shared" si="54"/>
        <v>146969</v>
      </c>
      <c r="W225" s="53">
        <f t="shared" si="35"/>
        <v>2.9169416679707967E-2</v>
      </c>
      <c r="X225" s="43">
        <f t="shared" si="53"/>
        <v>3.7074461723405103E-2</v>
      </c>
      <c r="Y225" s="259">
        <f t="shared" si="43"/>
        <v>2.9169416679707967E-2</v>
      </c>
      <c r="Z225" s="110">
        <f t="shared" si="48"/>
        <v>6.9918847243879423E-2</v>
      </c>
      <c r="AA225" s="110">
        <f t="shared" si="41"/>
        <v>0.60646060347997754</v>
      </c>
      <c r="AB225" s="110">
        <f t="shared" si="47"/>
        <v>0.60646060347997754</v>
      </c>
      <c r="AD225" s="110">
        <f t="shared" si="55"/>
        <v>5.5447834080202263E-2</v>
      </c>
    </row>
    <row r="226" spans="1:30" x14ac:dyDescent="0.25">
      <c r="A226" s="390">
        <v>44117</v>
      </c>
      <c r="B226" s="190">
        <v>13305</v>
      </c>
      <c r="C226" s="24">
        <f t="shared" si="36"/>
        <v>13223.857142857143</v>
      </c>
      <c r="D226" s="190">
        <f t="shared" si="56"/>
        <v>917035</v>
      </c>
      <c r="E226" s="190">
        <v>384</v>
      </c>
      <c r="F226" s="24">
        <f t="shared" si="37"/>
        <v>391.57142857142856</v>
      </c>
      <c r="G226" s="190">
        <f t="shared" si="44"/>
        <v>24563</v>
      </c>
      <c r="H226" s="190">
        <f t="shared" si="49"/>
        <v>9653</v>
      </c>
      <c r="I226" s="219">
        <v>742235</v>
      </c>
      <c r="J226" s="190">
        <v>4294</v>
      </c>
      <c r="K226" s="24">
        <f t="shared" si="46"/>
        <v>4164.2857142857147</v>
      </c>
      <c r="L226" s="190">
        <v>20544</v>
      </c>
      <c r="M226" s="24">
        <f t="shared" si="46"/>
        <v>21294.857142857141</v>
      </c>
      <c r="N226" s="4">
        <f t="shared" si="40"/>
        <v>2216762</v>
      </c>
      <c r="O226" s="7">
        <v>1574</v>
      </c>
      <c r="P226" s="7">
        <v>1207475</v>
      </c>
      <c r="Q226" s="7">
        <f t="shared" ref="Q226:Q231" si="57">O226+P226</f>
        <v>1209049</v>
      </c>
      <c r="R226" s="8">
        <v>8033</v>
      </c>
      <c r="S226" s="8">
        <v>182045</v>
      </c>
      <c r="T226" s="8">
        <v>619199</v>
      </c>
      <c r="U226" s="4">
        <f t="shared" si="52"/>
        <v>107758</v>
      </c>
      <c r="V226" s="156">
        <f t="shared" si="54"/>
        <v>150237</v>
      </c>
      <c r="W226" s="53">
        <f t="shared" ref="W226:W245" si="58">J226/(D226-G226-I226)</f>
        <v>2.8581507884209614E-2</v>
      </c>
      <c r="X226" s="43">
        <f t="shared" si="53"/>
        <v>3.6948009849593635E-2</v>
      </c>
      <c r="Y226" s="259">
        <f t="shared" si="43"/>
        <v>2.8581507884209614E-2</v>
      </c>
      <c r="Z226" s="110">
        <f t="shared" si="48"/>
        <v>2.950597237360153E-2</v>
      </c>
      <c r="AA226" s="110">
        <f t="shared" si="41"/>
        <v>0.62098830032737617</v>
      </c>
      <c r="AB226" s="110">
        <f t="shared" si="47"/>
        <v>0.62098830032737617</v>
      </c>
      <c r="AD226" s="110">
        <f t="shared" si="55"/>
        <v>5.5227780353154454E-2</v>
      </c>
    </row>
    <row r="227" spans="1:30" x14ac:dyDescent="0.25">
      <c r="A227" s="390">
        <v>44118</v>
      </c>
      <c r="B227" s="190">
        <v>14932</v>
      </c>
      <c r="C227" s="24">
        <f t="shared" si="36"/>
        <v>13007.428571428571</v>
      </c>
      <c r="D227" s="190">
        <f t="shared" si="56"/>
        <v>931967</v>
      </c>
      <c r="E227" s="190">
        <v>350</v>
      </c>
      <c r="F227" s="24">
        <f t="shared" si="37"/>
        <v>384.28571428571428</v>
      </c>
      <c r="G227" s="190">
        <f t="shared" si="44"/>
        <v>24913</v>
      </c>
      <c r="H227" s="190">
        <f t="shared" si="49"/>
        <v>8911</v>
      </c>
      <c r="I227" s="219">
        <v>751146</v>
      </c>
      <c r="J227" s="190">
        <v>4316</v>
      </c>
      <c r="K227" s="24">
        <f t="shared" si="46"/>
        <v>4209.8571428571431</v>
      </c>
      <c r="L227" s="190">
        <v>23519</v>
      </c>
      <c r="M227" s="24">
        <f t="shared" si="46"/>
        <v>20448.857142857141</v>
      </c>
      <c r="N227" s="4">
        <f t="shared" si="40"/>
        <v>2240281</v>
      </c>
      <c r="O227" s="7">
        <v>1574</v>
      </c>
      <c r="P227" s="7">
        <v>1219715</v>
      </c>
      <c r="Q227" s="7">
        <f t="shared" si="57"/>
        <v>1221289</v>
      </c>
      <c r="R227" s="8">
        <v>8098</v>
      </c>
      <c r="S227" s="8">
        <v>184890</v>
      </c>
      <c r="T227" s="8">
        <v>629734</v>
      </c>
      <c r="U227" s="4">
        <f t="shared" si="52"/>
        <v>109245</v>
      </c>
      <c r="V227" s="156">
        <f t="shared" si="54"/>
        <v>155908</v>
      </c>
      <c r="W227" s="53">
        <f t="shared" si="58"/>
        <v>2.7682992534058547E-2</v>
      </c>
      <c r="X227" s="43">
        <f t="shared" si="53"/>
        <v>3.673042729548584E-2</v>
      </c>
      <c r="Y227" s="259">
        <f t="shared" si="43"/>
        <v>2.7682992534058547E-2</v>
      </c>
      <c r="Z227" s="110">
        <f t="shared" si="48"/>
        <v>-3.4476342662010939E-3</v>
      </c>
      <c r="AA227" s="110">
        <f t="shared" si="41"/>
        <v>0.63609562532310571</v>
      </c>
      <c r="AB227" s="110">
        <f t="shared" si="47"/>
        <v>0.63609562532310571</v>
      </c>
      <c r="AD227" s="110">
        <f t="shared" si="55"/>
        <v>5.366737177884251E-2</v>
      </c>
    </row>
    <row r="228" spans="1:30" x14ac:dyDescent="0.25">
      <c r="A228" s="390">
        <v>44119</v>
      </c>
      <c r="B228" s="203">
        <v>17096</v>
      </c>
      <c r="C228" s="24">
        <f t="shared" si="36"/>
        <v>13242</v>
      </c>
      <c r="D228" s="190">
        <f t="shared" si="56"/>
        <v>949063</v>
      </c>
      <c r="E228" s="190">
        <v>421</v>
      </c>
      <c r="F228" s="24">
        <f t="shared" si="37"/>
        <v>375.28571428571428</v>
      </c>
      <c r="G228" s="190">
        <f t="shared" si="44"/>
        <v>25334</v>
      </c>
      <c r="H228" s="190">
        <f t="shared" si="49"/>
        <v>13713</v>
      </c>
      <c r="I228" s="219">
        <v>764859</v>
      </c>
      <c r="J228" s="190">
        <v>4278</v>
      </c>
      <c r="K228" s="24">
        <f t="shared" si="46"/>
        <v>4243.4285714285716</v>
      </c>
      <c r="L228" s="190">
        <v>27662</v>
      </c>
      <c r="M228" s="24">
        <f t="shared" si="46"/>
        <v>20709</v>
      </c>
      <c r="N228" s="4">
        <f t="shared" si="40"/>
        <v>2267943</v>
      </c>
      <c r="O228" s="7">
        <v>1575</v>
      </c>
      <c r="P228" s="7">
        <v>1234321</v>
      </c>
      <c r="Q228" s="7">
        <f t="shared" si="57"/>
        <v>1235896</v>
      </c>
      <c r="R228" s="8">
        <v>8172</v>
      </c>
      <c r="S228" s="8">
        <v>187747</v>
      </c>
      <c r="T228" s="8">
        <v>642465</v>
      </c>
      <c r="U228" s="4">
        <f t="shared" si="52"/>
        <v>110679</v>
      </c>
      <c r="V228" s="156">
        <f t="shared" si="54"/>
        <v>158870</v>
      </c>
      <c r="W228" s="53">
        <f t="shared" si="58"/>
        <v>2.6927676716812489E-2</v>
      </c>
      <c r="X228" s="43">
        <f t="shared" si="53"/>
        <v>3.6650343226254455E-2</v>
      </c>
      <c r="Y228" s="259">
        <f t="shared" si="43"/>
        <v>2.6927676716812489E-2</v>
      </c>
      <c r="Z228" s="110">
        <f t="shared" si="48"/>
        <v>9.9696008890923782E-3</v>
      </c>
      <c r="AA228" s="110">
        <f t="shared" si="41"/>
        <v>0.63943213095755469</v>
      </c>
      <c r="AB228" s="110">
        <f t="shared" si="47"/>
        <v>0.63943213095755469</v>
      </c>
      <c r="AD228" s="110">
        <f t="shared" si="55"/>
        <v>6.7545592603045268E-2</v>
      </c>
    </row>
    <row r="229" spans="1:30" x14ac:dyDescent="0.25">
      <c r="A229" s="390">
        <v>44120</v>
      </c>
      <c r="B229" s="190">
        <v>16546</v>
      </c>
      <c r="C229" s="24">
        <f t="shared" ref="C229:C292" si="59">AVERAGE(B223:B229)</f>
        <v>13448.714285714286</v>
      </c>
      <c r="D229" s="190">
        <f t="shared" si="56"/>
        <v>965609</v>
      </c>
      <c r="E229" s="190">
        <v>379</v>
      </c>
      <c r="F229" s="24">
        <f t="shared" ref="F229:F292" si="60">AVERAGE(E223:E229)</f>
        <v>356</v>
      </c>
      <c r="G229" s="190">
        <f t="shared" si="44"/>
        <v>25713</v>
      </c>
      <c r="H229" s="190">
        <f t="shared" si="49"/>
        <v>13642</v>
      </c>
      <c r="I229" s="219">
        <v>778501</v>
      </c>
      <c r="J229" s="190">
        <v>4346</v>
      </c>
      <c r="K229" s="24">
        <f t="shared" si="46"/>
        <v>4279.7142857142853</v>
      </c>
      <c r="L229" s="190">
        <v>27412</v>
      </c>
      <c r="M229" s="24">
        <f t="shared" si="46"/>
        <v>21028.714285714286</v>
      </c>
      <c r="N229" s="4">
        <f t="shared" si="40"/>
        <v>2295355</v>
      </c>
      <c r="O229" s="7">
        <v>1597</v>
      </c>
      <c r="P229" s="7">
        <v>1248101</v>
      </c>
      <c r="Q229" s="7">
        <f t="shared" si="57"/>
        <v>1249698</v>
      </c>
      <c r="R229" s="8">
        <v>8249</v>
      </c>
      <c r="S229" s="8">
        <v>190484</v>
      </c>
      <c r="T229" s="8">
        <v>653179</v>
      </c>
      <c r="U229" s="4">
        <f t="shared" si="52"/>
        <v>113697</v>
      </c>
      <c r="V229" s="156">
        <f t="shared" si="54"/>
        <v>161395</v>
      </c>
      <c r="W229" s="53">
        <f t="shared" si="58"/>
        <v>2.6927723907184238E-2</v>
      </c>
      <c r="X229" s="43">
        <f t="shared" si="53"/>
        <v>3.6602968893241696E-2</v>
      </c>
      <c r="Y229" s="259">
        <f t="shared" si="43"/>
        <v>2.6927723907184238E-2</v>
      </c>
      <c r="Z229" s="110">
        <f t="shared" si="48"/>
        <v>1.1572681165649357E-2</v>
      </c>
      <c r="AA229" s="110">
        <f t="shared" si="41"/>
        <v>0.63954049225209064</v>
      </c>
      <c r="AB229" s="110">
        <f t="shared" si="47"/>
        <v>0.63954049225209064</v>
      </c>
      <c r="AD229" s="110">
        <f t="shared" si="55"/>
        <v>6.8091273675433106E-2</v>
      </c>
    </row>
    <row r="230" spans="1:30" x14ac:dyDescent="0.25">
      <c r="A230" s="390">
        <v>44121</v>
      </c>
      <c r="B230" s="190">
        <v>13510</v>
      </c>
      <c r="C230" s="24">
        <f t="shared" si="59"/>
        <v>13605.285714285714</v>
      </c>
      <c r="D230" s="190">
        <f t="shared" si="56"/>
        <v>979119</v>
      </c>
      <c r="E230" s="190">
        <v>383</v>
      </c>
      <c r="F230" s="24">
        <f t="shared" si="60"/>
        <v>359.71428571428572</v>
      </c>
      <c r="G230" s="190">
        <f t="shared" si="44"/>
        <v>26096</v>
      </c>
      <c r="H230" s="190">
        <f t="shared" si="49"/>
        <v>12673</v>
      </c>
      <c r="I230" s="219">
        <v>791174</v>
      </c>
      <c r="J230" s="190">
        <v>4386</v>
      </c>
      <c r="K230" s="24">
        <f t="shared" si="46"/>
        <v>4306.2857142857147</v>
      </c>
      <c r="L230" s="190">
        <v>20955</v>
      </c>
      <c r="M230" s="24">
        <f t="shared" si="46"/>
        <v>21183.571428571428</v>
      </c>
      <c r="N230" s="4">
        <f t="shared" si="40"/>
        <v>2316310</v>
      </c>
      <c r="O230" s="7">
        <v>1611</v>
      </c>
      <c r="P230" s="7">
        <v>1260920</v>
      </c>
      <c r="Q230" s="7">
        <f t="shared" si="57"/>
        <v>1262531</v>
      </c>
      <c r="R230" s="8">
        <v>8311</v>
      </c>
      <c r="S230" s="8">
        <v>192192</v>
      </c>
      <c r="T230" s="8">
        <v>661955</v>
      </c>
      <c r="U230" s="4">
        <f t="shared" si="52"/>
        <v>116661</v>
      </c>
      <c r="V230" s="156">
        <f t="shared" si="54"/>
        <v>161849</v>
      </c>
      <c r="W230" s="53">
        <f t="shared" si="58"/>
        <v>2.7099333329214267E-2</v>
      </c>
      <c r="X230" s="43">
        <f t="shared" si="53"/>
        <v>3.6686465399079181E-2</v>
      </c>
      <c r="Y230" s="259">
        <f t="shared" si="43"/>
        <v>2.7099333329214267E-2</v>
      </c>
      <c r="Z230" s="110">
        <f t="shared" si="48"/>
        <v>-5.0459674049310177E-3</v>
      </c>
      <c r="AA230" s="110">
        <f t="shared" si="41"/>
        <v>0.64225646558991134</v>
      </c>
      <c r="AB230" s="110">
        <f t="shared" si="47"/>
        <v>0.64225646558991134</v>
      </c>
      <c r="AD230" s="110">
        <f t="shared" si="55"/>
        <v>7.29846194643331E-2</v>
      </c>
    </row>
    <row r="231" spans="1:30" x14ac:dyDescent="0.25">
      <c r="A231" s="390">
        <v>44122</v>
      </c>
      <c r="B231" s="190">
        <v>10561</v>
      </c>
      <c r="C231" s="24">
        <f t="shared" si="59"/>
        <v>13639.142857142857</v>
      </c>
      <c r="D231" s="190">
        <f t="shared" si="56"/>
        <v>989680</v>
      </c>
      <c r="E231" s="190">
        <v>159</v>
      </c>
      <c r="F231" s="24">
        <f t="shared" si="60"/>
        <v>342</v>
      </c>
      <c r="G231" s="190">
        <f t="shared" si="44"/>
        <v>26255</v>
      </c>
      <c r="H231" s="190">
        <f t="shared" si="49"/>
        <v>12791</v>
      </c>
      <c r="I231" s="219">
        <v>803965</v>
      </c>
      <c r="J231" s="190">
        <v>4387</v>
      </c>
      <c r="K231" s="24">
        <f t="shared" si="46"/>
        <v>4327.7142857142853</v>
      </c>
      <c r="L231" s="190">
        <v>13890</v>
      </c>
      <c r="M231" s="24">
        <f t="shared" si="46"/>
        <v>21134</v>
      </c>
      <c r="N231" s="4">
        <f t="shared" si="40"/>
        <v>2330200</v>
      </c>
      <c r="O231" s="7">
        <v>1617</v>
      </c>
      <c r="P231" s="7">
        <v>1269203</v>
      </c>
      <c r="Q231" s="4">
        <f t="shared" si="57"/>
        <v>1270820</v>
      </c>
      <c r="R231" s="8">
        <v>8370</v>
      </c>
      <c r="S231" s="8">
        <v>193297</v>
      </c>
      <c r="T231" s="8">
        <v>669231</v>
      </c>
      <c r="U231" s="4">
        <f t="shared" si="52"/>
        <v>118782</v>
      </c>
      <c r="V231" s="156">
        <f t="shared" si="54"/>
        <v>159460</v>
      </c>
      <c r="W231" s="53">
        <f t="shared" si="58"/>
        <v>2.7511601655587609E-2</v>
      </c>
      <c r="X231" s="43">
        <f t="shared" si="53"/>
        <v>3.6307340845101586E-2</v>
      </c>
      <c r="Y231" s="259">
        <f t="shared" si="43"/>
        <v>2.7511601655587609E-2</v>
      </c>
      <c r="Z231" s="110">
        <f t="shared" si="48"/>
        <v>1.5659241292738324E-2</v>
      </c>
      <c r="AA231" s="110">
        <f t="shared" si="41"/>
        <v>0.64536495018183293</v>
      </c>
      <c r="AB231" s="391">
        <f>SUM(B225:B231)/SUM(L225:L231)</f>
        <v>0.64536495018183293</v>
      </c>
      <c r="AD231" s="110">
        <f t="shared" si="55"/>
        <v>7.0452790924042663E-2</v>
      </c>
    </row>
    <row r="232" spans="1:30" x14ac:dyDescent="0.25">
      <c r="A232" s="390">
        <v>44123</v>
      </c>
      <c r="B232" s="190">
        <v>12982</v>
      </c>
      <c r="C232" s="24">
        <f t="shared" si="59"/>
        <v>14133.142857142857</v>
      </c>
      <c r="D232" s="190">
        <f t="shared" si="56"/>
        <v>1002662</v>
      </c>
      <c r="E232" s="190">
        <v>448</v>
      </c>
      <c r="F232" s="24">
        <f t="shared" si="60"/>
        <v>360.57142857142856</v>
      </c>
      <c r="G232" s="190">
        <f t="shared" si="44"/>
        <v>26703</v>
      </c>
      <c r="H232" s="190">
        <f t="shared" si="49"/>
        <v>12282</v>
      </c>
      <c r="I232" s="219">
        <v>816247</v>
      </c>
      <c r="J232" s="190">
        <v>4392</v>
      </c>
      <c r="K232" s="24">
        <f t="shared" si="46"/>
        <v>4342.7142857142853</v>
      </c>
      <c r="L232" s="190">
        <v>28395</v>
      </c>
      <c r="M232" s="24">
        <f t="shared" si="46"/>
        <v>23196.714285714286</v>
      </c>
      <c r="N232" s="4">
        <f t="shared" si="40"/>
        <v>2358595</v>
      </c>
      <c r="O232" s="7">
        <v>1656</v>
      </c>
      <c r="P232" s="7">
        <v>1281757</v>
      </c>
      <c r="Q232" s="4">
        <v>1283413</v>
      </c>
      <c r="R232" s="4">
        <v>8406</v>
      </c>
      <c r="S232" s="4">
        <v>195959</v>
      </c>
      <c r="T232" s="4">
        <v>676839</v>
      </c>
      <c r="U232" s="4">
        <v>121458</v>
      </c>
      <c r="V232" s="156">
        <f t="shared" si="54"/>
        <v>159712</v>
      </c>
      <c r="W232" s="53">
        <f t="shared" si="58"/>
        <v>2.7499499098377077E-2</v>
      </c>
      <c r="X232" s="43">
        <f t="shared" si="53"/>
        <v>3.6251254057444317E-2</v>
      </c>
      <c r="Y232" s="259">
        <f t="shared" si="43"/>
        <v>2.7499499098377077E-2</v>
      </c>
      <c r="Z232" s="110">
        <f t="shared" si="48"/>
        <v>6.8761005541931652E-2</v>
      </c>
      <c r="AA232" s="110">
        <f t="shared" si="41"/>
        <v>0.60927348085012034</v>
      </c>
      <c r="AB232" s="110">
        <f t="shared" si="47"/>
        <v>0.60927348085012045</v>
      </c>
      <c r="AD232" s="110">
        <f t="shared" si="55"/>
        <v>8.6705359633664214E-2</v>
      </c>
    </row>
    <row r="233" spans="1:30" x14ac:dyDescent="0.25">
      <c r="A233" s="390">
        <v>44124</v>
      </c>
      <c r="B233" s="190">
        <v>16337</v>
      </c>
      <c r="C233" s="24">
        <f t="shared" si="59"/>
        <v>14566.285714285714</v>
      </c>
      <c r="D233" s="190">
        <f t="shared" si="56"/>
        <v>1018999</v>
      </c>
      <c r="E233" s="190">
        <v>381</v>
      </c>
      <c r="F233" s="24">
        <f t="shared" si="60"/>
        <v>360.14285714285717</v>
      </c>
      <c r="G233" s="190">
        <f t="shared" si="44"/>
        <v>27084</v>
      </c>
      <c r="H233" s="190">
        <f t="shared" si="49"/>
        <v>13400</v>
      </c>
      <c r="I233" s="219">
        <v>829647</v>
      </c>
      <c r="J233" s="190">
        <v>4451</v>
      </c>
      <c r="K233" s="24">
        <f t="shared" si="46"/>
        <v>4365.1428571428569</v>
      </c>
      <c r="L233" s="190">
        <v>37474</v>
      </c>
      <c r="M233" s="24">
        <f t="shared" si="46"/>
        <v>25615.285714285714</v>
      </c>
      <c r="N233" s="4">
        <f t="shared" si="40"/>
        <v>2396069</v>
      </c>
      <c r="O233" s="7">
        <v>1707</v>
      </c>
      <c r="P233" s="7">
        <v>1298433</v>
      </c>
      <c r="Q233" s="4">
        <v>1283413</v>
      </c>
      <c r="R233" s="4">
        <v>8482</v>
      </c>
      <c r="S233" s="4">
        <v>199382</v>
      </c>
      <c r="T233" s="4">
        <v>689632</v>
      </c>
      <c r="U233" s="13">
        <f>D233-R233-S233-T233</f>
        <v>121503</v>
      </c>
      <c r="V233" s="156">
        <f t="shared" si="54"/>
        <v>162268</v>
      </c>
      <c r="W233" s="53">
        <f t="shared" si="58"/>
        <v>2.7429930731875662E-2</v>
      </c>
      <c r="X233" s="43">
        <f t="shared" si="53"/>
        <v>3.6063866759165432E-2</v>
      </c>
      <c r="Y233" s="259">
        <f t="shared" si="43"/>
        <v>2.7429930731875662E-2</v>
      </c>
      <c r="Z233" s="110">
        <f t="shared" si="48"/>
        <v>0.11984360585160125</v>
      </c>
      <c r="AA233" s="110">
        <f t="shared" si="41"/>
        <v>0.56865599223677821</v>
      </c>
      <c r="AB233" s="110">
        <f t="shared" si="47"/>
        <v>0.56865599223677832</v>
      </c>
      <c r="AD233" s="110">
        <f t="shared" si="55"/>
        <v>8.0080140045394987E-2</v>
      </c>
    </row>
    <row r="234" spans="1:30" x14ac:dyDescent="0.25">
      <c r="A234" s="390">
        <v>44125</v>
      </c>
      <c r="B234" s="203">
        <v>18326</v>
      </c>
      <c r="C234" s="392">
        <f t="shared" si="59"/>
        <v>15051.142857142857</v>
      </c>
      <c r="D234" s="190">
        <f t="shared" si="56"/>
        <v>1037325</v>
      </c>
      <c r="E234" s="190">
        <v>421</v>
      </c>
      <c r="F234" s="24">
        <f t="shared" si="60"/>
        <v>370.28571428571428</v>
      </c>
      <c r="G234" s="190">
        <f t="shared" si="44"/>
        <v>27505</v>
      </c>
      <c r="H234" s="190">
        <f t="shared" si="49"/>
        <v>10873</v>
      </c>
      <c r="I234" s="219">
        <v>840520</v>
      </c>
      <c r="J234" s="190">
        <v>4573</v>
      </c>
      <c r="K234" s="24">
        <f t="shared" si="46"/>
        <v>4401.8571428571431</v>
      </c>
      <c r="L234" s="190">
        <v>38340</v>
      </c>
      <c r="M234" s="24">
        <f t="shared" si="46"/>
        <v>27732.571428571428</v>
      </c>
      <c r="N234" s="4">
        <f t="shared" ref="N234:N297" si="61">N235-L235</f>
        <v>2434409</v>
      </c>
      <c r="O234" s="7">
        <v>1753</v>
      </c>
      <c r="P234" s="7">
        <v>1314443</v>
      </c>
      <c r="Q234" s="7">
        <f>O234+P234</f>
        <v>1316196</v>
      </c>
      <c r="R234" s="4">
        <v>8552</v>
      </c>
      <c r="S234" s="4">
        <v>202216</v>
      </c>
      <c r="T234" s="4">
        <v>702103</v>
      </c>
      <c r="U234" s="13">
        <f>D234-R234-S234-T234</f>
        <v>124454</v>
      </c>
      <c r="V234" s="156">
        <f t="shared" si="54"/>
        <v>169300</v>
      </c>
      <c r="W234" s="53">
        <f t="shared" si="58"/>
        <v>2.7011222681630243E-2</v>
      </c>
      <c r="X234" s="43">
        <f t="shared" si="53"/>
        <v>3.5954154368223877E-2</v>
      </c>
      <c r="Y234" s="259">
        <f t="shared" si="43"/>
        <v>2.7011222681630243E-2</v>
      </c>
      <c r="Z234" s="110">
        <f t="shared" si="48"/>
        <v>0.13662157205428604</v>
      </c>
      <c r="AA234" s="110">
        <f t="shared" si="41"/>
        <v>0.54272438803263823</v>
      </c>
      <c r="AB234" s="110">
        <f t="shared" si="47"/>
        <v>0.54272438803263823</v>
      </c>
      <c r="AD234" s="110">
        <f t="shared" si="55"/>
        <v>8.5896810939785073E-2</v>
      </c>
    </row>
    <row r="235" spans="1:30" x14ac:dyDescent="0.25">
      <c r="A235" s="390">
        <v>44126</v>
      </c>
      <c r="B235" s="190">
        <v>16325</v>
      </c>
      <c r="C235" s="24">
        <f t="shared" si="59"/>
        <v>14941</v>
      </c>
      <c r="D235" s="190">
        <f t="shared" si="56"/>
        <v>1053650</v>
      </c>
      <c r="E235" s="188">
        <v>437</v>
      </c>
      <c r="F235" s="24">
        <f t="shared" si="60"/>
        <v>372.57142857142856</v>
      </c>
      <c r="G235" s="188">
        <f t="shared" si="44"/>
        <v>27942</v>
      </c>
      <c r="H235" s="190">
        <f t="shared" si="49"/>
        <v>11334</v>
      </c>
      <c r="I235" s="213">
        <v>851854</v>
      </c>
      <c r="J235" s="188">
        <v>4611</v>
      </c>
      <c r="K235" s="24">
        <f t="shared" si="46"/>
        <v>4449.4285714285716</v>
      </c>
      <c r="L235" s="188">
        <v>39196</v>
      </c>
      <c r="M235" s="24">
        <f t="shared" si="46"/>
        <v>29380.285714285714</v>
      </c>
      <c r="N235" s="4">
        <f t="shared" si="61"/>
        <v>2473605</v>
      </c>
      <c r="O235" s="155">
        <v>1832</v>
      </c>
      <c r="P235" s="155">
        <v>1332741</v>
      </c>
      <c r="Q235" s="155">
        <f>P235+O235</f>
        <v>1334573</v>
      </c>
      <c r="R235" s="155">
        <v>8614</v>
      </c>
      <c r="S235" s="155">
        <v>205085</v>
      </c>
      <c r="T235" s="155">
        <v>714929</v>
      </c>
      <c r="U235" s="155">
        <f>D235-R235-S235-T235</f>
        <v>125022</v>
      </c>
      <c r="V235" s="156">
        <f t="shared" si="54"/>
        <v>173854</v>
      </c>
      <c r="W235" s="53">
        <f t="shared" si="58"/>
        <v>2.6522254305336661E-2</v>
      </c>
      <c r="X235" s="43">
        <f t="shared" si="53"/>
        <v>3.5837365924105635E-2</v>
      </c>
      <c r="Y235" s="259">
        <f t="shared" si="43"/>
        <v>2.6522254305336661E-2</v>
      </c>
      <c r="Z235" s="110">
        <f t="shared" si="48"/>
        <v>0.11096121774784629</v>
      </c>
      <c r="AA235" s="110">
        <f t="shared" si="41"/>
        <v>0.50853828125759748</v>
      </c>
      <c r="AB235" s="110">
        <f t="shared" si="47"/>
        <v>0.50853828125759737</v>
      </c>
      <c r="AD235" s="110">
        <f t="shared" si="55"/>
        <v>9.431610750928443E-2</v>
      </c>
    </row>
    <row r="236" spans="1:30" x14ac:dyDescent="0.25">
      <c r="A236" s="390">
        <v>44127</v>
      </c>
      <c r="B236" s="190">
        <v>15718</v>
      </c>
      <c r="C236" s="24">
        <f t="shared" si="59"/>
        <v>14822.714285714286</v>
      </c>
      <c r="D236" s="190">
        <f t="shared" si="56"/>
        <v>1069368</v>
      </c>
      <c r="E236" s="188">
        <v>380</v>
      </c>
      <c r="F236" s="24">
        <f t="shared" si="60"/>
        <v>372.71428571428572</v>
      </c>
      <c r="G236" s="188">
        <f t="shared" si="44"/>
        <v>28322</v>
      </c>
      <c r="H236" s="190">
        <f t="shared" si="49"/>
        <v>14841</v>
      </c>
      <c r="I236" s="213">
        <v>866695</v>
      </c>
      <c r="J236" s="188">
        <v>4696</v>
      </c>
      <c r="K236" s="24">
        <f t="shared" si="46"/>
        <v>4499.4285714285716</v>
      </c>
      <c r="L236" s="188">
        <v>35671</v>
      </c>
      <c r="M236" s="24">
        <f t="shared" si="46"/>
        <v>30560.142857142859</v>
      </c>
      <c r="N236" s="4">
        <f t="shared" si="61"/>
        <v>2509276</v>
      </c>
      <c r="O236" s="155">
        <v>1839</v>
      </c>
      <c r="P236" s="155">
        <v>1348372</v>
      </c>
      <c r="Q236" s="155">
        <f t="shared" ref="Q236:Q299" si="62">P236+O236</f>
        <v>1350211</v>
      </c>
      <c r="R236" s="155">
        <v>8671</v>
      </c>
      <c r="S236" s="157">
        <v>208116</v>
      </c>
      <c r="T236" s="157">
        <v>727467</v>
      </c>
      <c r="U236" s="155">
        <f t="shared" ref="U236:U299" si="63">D236-R236-S236-T236</f>
        <v>125114</v>
      </c>
      <c r="V236" s="156">
        <f t="shared" si="54"/>
        <v>174351</v>
      </c>
      <c r="W236" s="53">
        <f t="shared" si="58"/>
        <v>2.6934173018795419E-2</v>
      </c>
      <c r="X236" s="43">
        <f t="shared" si="53"/>
        <v>3.5813550020358666E-2</v>
      </c>
      <c r="Y236" s="259">
        <f t="shared" si="43"/>
        <v>2.6934173018795419E-2</v>
      </c>
      <c r="Z236" s="110">
        <f t="shared" si="48"/>
        <v>8.9482029043334022E-2</v>
      </c>
      <c r="AA236" s="110">
        <f t="shared" ref="AA236:AA299" si="64">C236/M236</f>
        <v>0.48503419486632915</v>
      </c>
      <c r="AB236" s="110">
        <f t="shared" si="47"/>
        <v>0.48503419486632915</v>
      </c>
      <c r="AD236" s="110">
        <f t="shared" si="55"/>
        <v>8.0275101459152953E-2</v>
      </c>
    </row>
    <row r="237" spans="1:30" x14ac:dyDescent="0.25">
      <c r="A237" s="390">
        <v>44128</v>
      </c>
      <c r="B237" s="190">
        <v>11968</v>
      </c>
      <c r="C237" s="24">
        <f t="shared" si="59"/>
        <v>14602.428571428571</v>
      </c>
      <c r="D237" s="190">
        <f t="shared" si="56"/>
        <v>1081336</v>
      </c>
      <c r="E237" s="188">
        <v>273</v>
      </c>
      <c r="F237" s="24">
        <f t="shared" si="60"/>
        <v>357</v>
      </c>
      <c r="G237" s="188">
        <f t="shared" si="44"/>
        <v>28595</v>
      </c>
      <c r="H237" s="190">
        <f t="shared" si="49"/>
        <v>14418</v>
      </c>
      <c r="I237" s="213">
        <v>881113</v>
      </c>
      <c r="J237" s="188">
        <v>4850</v>
      </c>
      <c r="K237" s="24">
        <f t="shared" si="46"/>
        <v>4565.7142857142853</v>
      </c>
      <c r="L237" s="188">
        <v>27027</v>
      </c>
      <c r="M237" s="24">
        <f t="shared" si="46"/>
        <v>31427.571428571428</v>
      </c>
      <c r="N237" s="4">
        <f t="shared" si="61"/>
        <v>2536303</v>
      </c>
      <c r="O237" s="155">
        <v>1868</v>
      </c>
      <c r="P237" s="155">
        <v>1359984</v>
      </c>
      <c r="Q237" s="155">
        <f t="shared" si="62"/>
        <v>1361852</v>
      </c>
      <c r="R237" s="155">
        <v>8708</v>
      </c>
      <c r="S237" s="157">
        <v>210053</v>
      </c>
      <c r="T237" s="157">
        <v>735763</v>
      </c>
      <c r="U237" s="155">
        <f t="shared" si="63"/>
        <v>126812</v>
      </c>
      <c r="V237" s="156">
        <f t="shared" si="54"/>
        <v>171628</v>
      </c>
      <c r="W237" s="53">
        <f t="shared" si="58"/>
        <v>2.8258792271657306E-2</v>
      </c>
      <c r="X237" s="43">
        <f t="shared" si="53"/>
        <v>3.5811523307860124E-2</v>
      </c>
      <c r="Y237" s="259">
        <f t="shared" si="43"/>
        <v>2.8258792271657306E-2</v>
      </c>
      <c r="Z237" s="110">
        <f t="shared" si="48"/>
        <v>7.062655801579476E-2</v>
      </c>
      <c r="AA237" s="110">
        <f t="shared" si="64"/>
        <v>0.46463751119353797</v>
      </c>
      <c r="AB237" s="110">
        <f t="shared" si="47"/>
        <v>0.46463751119353797</v>
      </c>
      <c r="AD237" s="110">
        <f t="shared" si="55"/>
        <v>6.0420515418692755E-2</v>
      </c>
    </row>
    <row r="238" spans="1:30" x14ac:dyDescent="0.25">
      <c r="A238" s="390">
        <v>44129</v>
      </c>
      <c r="B238" s="190">
        <v>9253</v>
      </c>
      <c r="C238" s="24">
        <f t="shared" si="59"/>
        <v>14415.571428571429</v>
      </c>
      <c r="D238" s="190">
        <f t="shared" si="56"/>
        <v>1090589</v>
      </c>
      <c r="E238" s="188">
        <v>282</v>
      </c>
      <c r="F238" s="24">
        <f t="shared" si="60"/>
        <v>374.57142857142856</v>
      </c>
      <c r="G238" s="188">
        <f t="shared" si="44"/>
        <v>28877</v>
      </c>
      <c r="H238" s="190">
        <f t="shared" si="49"/>
        <v>13706</v>
      </c>
      <c r="I238" s="213">
        <v>894819</v>
      </c>
      <c r="J238" s="188">
        <v>4863</v>
      </c>
      <c r="K238" s="24">
        <f t="shared" si="46"/>
        <v>4633.7142857142853</v>
      </c>
      <c r="L238" s="188">
        <v>20303</v>
      </c>
      <c r="M238" s="24">
        <f t="shared" si="46"/>
        <v>32343.714285714286</v>
      </c>
      <c r="N238" s="4">
        <f t="shared" si="61"/>
        <v>2556606</v>
      </c>
      <c r="O238" s="155">
        <v>1904</v>
      </c>
      <c r="P238" s="155">
        <v>1367953</v>
      </c>
      <c r="Q238" s="155">
        <f t="shared" si="62"/>
        <v>1369857</v>
      </c>
      <c r="R238" s="155">
        <v>8749</v>
      </c>
      <c r="S238" s="155">
        <v>211123</v>
      </c>
      <c r="T238" s="155">
        <v>741313</v>
      </c>
      <c r="U238" s="155">
        <f t="shared" si="63"/>
        <v>129404</v>
      </c>
      <c r="V238" s="156">
        <f t="shared" si="54"/>
        <v>166893</v>
      </c>
      <c r="W238" s="53">
        <f t="shared" si="58"/>
        <v>2.9138430012043644E-2</v>
      </c>
      <c r="X238" s="43">
        <f t="shared" si="53"/>
        <v>3.5662592870692379E-2</v>
      </c>
      <c r="Y238" s="259">
        <f t="shared" si="43"/>
        <v>2.9138430012043644E-2</v>
      </c>
      <c r="Z238" s="110">
        <f t="shared" si="48"/>
        <v>1.9983422957182695E-2</v>
      </c>
      <c r="AA238" s="110">
        <f t="shared" si="64"/>
        <v>0.44569931892264342</v>
      </c>
      <c r="AB238" s="110">
        <f t="shared" si="47"/>
        <v>0.44569931892264342</v>
      </c>
      <c r="AD238" s="110">
        <f t="shared" si="55"/>
        <v>4.6613570801455007E-2</v>
      </c>
    </row>
    <row r="239" spans="1:30" x14ac:dyDescent="0.25">
      <c r="A239" s="390">
        <v>44130</v>
      </c>
      <c r="B239" s="190">
        <v>11712</v>
      </c>
      <c r="C239" s="24">
        <f t="shared" si="59"/>
        <v>14234.142857142857</v>
      </c>
      <c r="D239" s="190">
        <f t="shared" si="56"/>
        <v>1102301</v>
      </c>
      <c r="E239" s="188">
        <v>405</v>
      </c>
      <c r="F239" s="24">
        <f t="shared" si="60"/>
        <v>368.42857142857144</v>
      </c>
      <c r="G239" s="188">
        <f t="shared" si="44"/>
        <v>29282</v>
      </c>
      <c r="H239" s="190">
        <f t="shared" si="49"/>
        <v>14767</v>
      </c>
      <c r="I239" s="213">
        <v>909586</v>
      </c>
      <c r="J239" s="188">
        <v>5038</v>
      </c>
      <c r="K239" s="24">
        <f t="shared" si="46"/>
        <v>4726</v>
      </c>
      <c r="L239" s="188">
        <v>26448</v>
      </c>
      <c r="M239" s="24">
        <f t="shared" si="46"/>
        <v>32065.571428571428</v>
      </c>
      <c r="N239" s="4">
        <f t="shared" si="61"/>
        <v>2583054</v>
      </c>
      <c r="O239" s="155">
        <v>1956</v>
      </c>
      <c r="P239" s="155">
        <v>1378916</v>
      </c>
      <c r="Q239" s="155">
        <f t="shared" si="62"/>
        <v>1380872</v>
      </c>
      <c r="R239" s="157">
        <v>8816</v>
      </c>
      <c r="S239" s="157">
        <v>213578</v>
      </c>
      <c r="T239" s="157">
        <v>753406</v>
      </c>
      <c r="U239" s="155">
        <f t="shared" si="63"/>
        <v>126501</v>
      </c>
      <c r="V239" s="156">
        <f t="shared" si="54"/>
        <v>163433</v>
      </c>
      <c r="W239" s="53">
        <f t="shared" si="58"/>
        <v>3.0826087754615043E-2</v>
      </c>
      <c r="X239" s="43">
        <f t="shared" si="53"/>
        <v>3.5516235924256609E-2</v>
      </c>
      <c r="Y239" s="259">
        <f t="shared" si="43"/>
        <v>3.0826087754615043E-2</v>
      </c>
      <c r="Z239" s="110">
        <f t="shared" si="48"/>
        <v>-2.2802165470165892E-2</v>
      </c>
      <c r="AA239" s="110">
        <f t="shared" si="64"/>
        <v>0.44390735056290903</v>
      </c>
      <c r="AB239" s="110">
        <f t="shared" si="47"/>
        <v>0.44390735056290903</v>
      </c>
      <c r="AD239" s="110">
        <f t="shared" si="55"/>
        <v>2.3298186736125048E-2</v>
      </c>
    </row>
    <row r="240" spans="1:30" x14ac:dyDescent="0.25">
      <c r="A240" s="390">
        <v>44131</v>
      </c>
      <c r="B240" s="190">
        <v>14308</v>
      </c>
      <c r="C240" s="24">
        <f t="shared" si="59"/>
        <v>13944.285714285714</v>
      </c>
      <c r="D240" s="190">
        <f t="shared" si="56"/>
        <v>1116609</v>
      </c>
      <c r="E240" s="188">
        <v>425</v>
      </c>
      <c r="F240" s="24">
        <f t="shared" si="60"/>
        <v>374.71428571428572</v>
      </c>
      <c r="G240" s="188">
        <f>G239+E240</f>
        <v>29707</v>
      </c>
      <c r="H240" s="190">
        <f t="shared" si="49"/>
        <v>11758</v>
      </c>
      <c r="I240" s="213">
        <v>921344</v>
      </c>
      <c r="J240" s="188">
        <v>4952</v>
      </c>
      <c r="K240" s="24">
        <f t="shared" si="46"/>
        <v>4797.5714285714284</v>
      </c>
      <c r="L240" s="188">
        <v>32847</v>
      </c>
      <c r="M240" s="24">
        <f t="shared" si="46"/>
        <v>31404.571428571428</v>
      </c>
      <c r="N240" s="4">
        <f t="shared" si="61"/>
        <v>2615901</v>
      </c>
      <c r="O240" s="155">
        <v>2043</v>
      </c>
      <c r="P240" s="155">
        <v>1392805</v>
      </c>
      <c r="Q240" s="155">
        <f t="shared" si="62"/>
        <v>1394848</v>
      </c>
      <c r="R240" s="155">
        <v>8868</v>
      </c>
      <c r="S240" s="155">
        <v>216480</v>
      </c>
      <c r="T240" s="155">
        <v>765831</v>
      </c>
      <c r="U240" s="155">
        <f t="shared" si="63"/>
        <v>125430</v>
      </c>
      <c r="V240" s="156">
        <f t="shared" si="54"/>
        <v>165558</v>
      </c>
      <c r="W240" s="53">
        <f t="shared" si="58"/>
        <v>2.9910967757523044E-2</v>
      </c>
      <c r="X240" s="43">
        <f t="shared" si="53"/>
        <v>3.5326994999494599E-2</v>
      </c>
      <c r="Y240" s="259">
        <f t="shared" ref="Y240:Y303" si="65">J240/V240</f>
        <v>2.9910967757523044E-2</v>
      </c>
      <c r="Z240" s="110">
        <f t="shared" si="48"/>
        <v>-7.3539740693635003E-2</v>
      </c>
      <c r="AA240" s="110">
        <f t="shared" si="64"/>
        <v>0.44402088867862732</v>
      </c>
      <c r="AB240" s="110">
        <f t="shared" si="47"/>
        <v>0.44402088867862732</v>
      </c>
      <c r="AD240" s="110">
        <f t="shared" si="55"/>
        <v>2.0275100451105477E-2</v>
      </c>
    </row>
    <row r="241" spans="1:30" x14ac:dyDescent="0.25">
      <c r="A241" s="390">
        <v>44132</v>
      </c>
      <c r="B241" s="190">
        <v>13924</v>
      </c>
      <c r="C241" s="24">
        <f t="shared" si="59"/>
        <v>13315.428571428571</v>
      </c>
      <c r="D241" s="190">
        <f t="shared" si="56"/>
        <v>1130533</v>
      </c>
      <c r="E241" s="188">
        <v>345</v>
      </c>
      <c r="F241" s="24">
        <f t="shared" si="60"/>
        <v>363.85714285714283</v>
      </c>
      <c r="G241" s="188">
        <f t="shared" ref="G241:G304" si="66">G240+E241</f>
        <v>30052</v>
      </c>
      <c r="H241" s="190">
        <f t="shared" si="49"/>
        <v>9803</v>
      </c>
      <c r="I241" s="213">
        <v>931147</v>
      </c>
      <c r="J241" s="188">
        <v>5037</v>
      </c>
      <c r="K241" s="24">
        <f t="shared" si="46"/>
        <v>4863.8571428571431</v>
      </c>
      <c r="L241" s="188">
        <v>32827</v>
      </c>
      <c r="M241" s="24">
        <f t="shared" si="46"/>
        <v>30617</v>
      </c>
      <c r="N241" s="4">
        <f t="shared" si="61"/>
        <v>2648728</v>
      </c>
      <c r="O241" s="155">
        <v>2109</v>
      </c>
      <c r="P241" s="155">
        <v>1406416</v>
      </c>
      <c r="Q241" s="155">
        <f t="shared" si="62"/>
        <v>1408525</v>
      </c>
      <c r="R241" s="157">
        <v>8959</v>
      </c>
      <c r="S241" s="157">
        <v>219233</v>
      </c>
      <c r="T241" s="157">
        <v>777424</v>
      </c>
      <c r="U241" s="155">
        <f t="shared" si="63"/>
        <v>124917</v>
      </c>
      <c r="V241" s="156">
        <f t="shared" si="54"/>
        <v>169334</v>
      </c>
      <c r="W241" s="53">
        <f t="shared" si="58"/>
        <v>2.9745945882102828E-2</v>
      </c>
      <c r="X241" s="43">
        <f t="shared" si="53"/>
        <v>3.5092349209277778E-2</v>
      </c>
      <c r="Y241" s="259">
        <f t="shared" si="65"/>
        <v>2.9745945882102828E-2</v>
      </c>
      <c r="Z241" s="110">
        <f t="shared" si="48"/>
        <v>-0.1087993727709945</v>
      </c>
      <c r="AA241" s="110">
        <f t="shared" si="64"/>
        <v>0.43490311171664664</v>
      </c>
      <c r="AB241" s="110">
        <f t="shared" si="47"/>
        <v>0.4349031117166467</v>
      </c>
      <c r="AD241" s="110">
        <f t="shared" si="55"/>
        <v>2.0082693443601585E-4</v>
      </c>
    </row>
    <row r="242" spans="1:30" x14ac:dyDescent="0.25">
      <c r="A242" s="390">
        <v>44133</v>
      </c>
      <c r="B242" s="190">
        <v>13267</v>
      </c>
      <c r="C242" s="24">
        <f t="shared" si="59"/>
        <v>12878.571428571429</v>
      </c>
      <c r="D242" s="190">
        <f>D241+B242</f>
        <v>1143800</v>
      </c>
      <c r="E242" s="188">
        <v>370</v>
      </c>
      <c r="F242" s="24">
        <f t="shared" si="60"/>
        <v>354.28571428571428</v>
      </c>
      <c r="G242" s="188">
        <f t="shared" si="66"/>
        <v>30422</v>
      </c>
      <c r="H242" s="190">
        <f t="shared" si="49"/>
        <v>14987</v>
      </c>
      <c r="I242" s="213">
        <v>946134</v>
      </c>
      <c r="J242" s="188">
        <v>4981</v>
      </c>
      <c r="K242" s="24">
        <f t="shared" si="46"/>
        <v>4916.7142857142853</v>
      </c>
      <c r="L242" s="188">
        <v>31568</v>
      </c>
      <c r="M242" s="24">
        <f t="shared" si="46"/>
        <v>29527.285714285714</v>
      </c>
      <c r="N242" s="4">
        <f t="shared" si="61"/>
        <v>2680296</v>
      </c>
      <c r="O242" s="155">
        <v>2160</v>
      </c>
      <c r="P242" s="155">
        <v>1420288</v>
      </c>
      <c r="Q242" s="155">
        <f t="shared" si="62"/>
        <v>1422448</v>
      </c>
      <c r="R242" s="155">
        <v>9010</v>
      </c>
      <c r="S242" s="155">
        <v>221851</v>
      </c>
      <c r="T242" s="155">
        <v>788337</v>
      </c>
      <c r="U242" s="155">
        <f t="shared" si="63"/>
        <v>124602</v>
      </c>
      <c r="V242" s="156">
        <f t="shared" si="54"/>
        <v>167244</v>
      </c>
      <c r="W242" s="53">
        <f t="shared" si="58"/>
        <v>2.9782832269020114E-2</v>
      </c>
      <c r="X242" s="43">
        <f t="shared" si="53"/>
        <v>3.4908912318065609E-2</v>
      </c>
      <c r="Y242" s="259">
        <f t="shared" si="65"/>
        <v>2.9782832269020114E-2</v>
      </c>
      <c r="Z242" s="110">
        <f t="shared" si="48"/>
        <v>-0.13115970662785881</v>
      </c>
      <c r="AA242" s="110">
        <f t="shared" si="64"/>
        <v>0.4361583232941928</v>
      </c>
      <c r="AB242" s="110">
        <f t="shared" si="47"/>
        <v>0.4361583232941928</v>
      </c>
      <c r="AD242" s="110">
        <f t="shared" si="55"/>
        <v>-3.8020407928491706E-2</v>
      </c>
    </row>
    <row r="243" spans="1:30" x14ac:dyDescent="0.25">
      <c r="A243" s="390">
        <v>44134</v>
      </c>
      <c r="B243" s="190">
        <v>13379</v>
      </c>
      <c r="C243" s="24">
        <f t="shared" si="59"/>
        <v>12544.428571428571</v>
      </c>
      <c r="D243" s="190">
        <f>D242+B243</f>
        <v>1157179</v>
      </c>
      <c r="E243" s="188">
        <v>349</v>
      </c>
      <c r="F243" s="24">
        <f t="shared" si="60"/>
        <v>349.85714285714283</v>
      </c>
      <c r="G243" s="188">
        <f t="shared" si="66"/>
        <v>30771</v>
      </c>
      <c r="H243" s="190">
        <f t="shared" si="49"/>
        <v>14967</v>
      </c>
      <c r="I243" s="213">
        <v>961101</v>
      </c>
      <c r="J243" s="188">
        <v>4981</v>
      </c>
      <c r="K243" s="24">
        <f t="shared" si="46"/>
        <v>4957.4285714285716</v>
      </c>
      <c r="L243" s="188">
        <v>32761</v>
      </c>
      <c r="M243" s="24">
        <f t="shared" si="46"/>
        <v>29111.571428571428</v>
      </c>
      <c r="N243" s="4">
        <f t="shared" si="61"/>
        <v>2713057</v>
      </c>
      <c r="O243" s="155">
        <v>2198</v>
      </c>
      <c r="P243" s="155">
        <v>1435121</v>
      </c>
      <c r="Q243" s="155">
        <f t="shared" si="62"/>
        <v>1437319</v>
      </c>
      <c r="R243" s="155">
        <v>9073</v>
      </c>
      <c r="S243" s="155">
        <v>224367</v>
      </c>
      <c r="T243" s="155">
        <v>799735</v>
      </c>
      <c r="U243" s="155">
        <f t="shared" si="63"/>
        <v>124004</v>
      </c>
      <c r="V243" s="156">
        <f t="shared" si="54"/>
        <v>165307</v>
      </c>
      <c r="W243" s="53">
        <f t="shared" si="58"/>
        <v>3.0131815349622219E-2</v>
      </c>
      <c r="X243" s="43">
        <f t="shared" si="53"/>
        <v>3.4813470576389158E-2</v>
      </c>
      <c r="Y243" s="259">
        <f t="shared" si="65"/>
        <v>3.0131815349622219E-2</v>
      </c>
      <c r="Z243" s="110">
        <f t="shared" si="48"/>
        <v>-0.1409354608333252</v>
      </c>
      <c r="AA243" s="110">
        <f t="shared" si="64"/>
        <v>0.43090867156408103</v>
      </c>
      <c r="AB243" s="110">
        <f t="shared" si="47"/>
        <v>0.43090867156408103</v>
      </c>
      <c r="AD243" s="110">
        <f t="shared" si="55"/>
        <v>-5.1872372398208189E-2</v>
      </c>
    </row>
    <row r="244" spans="1:30" x14ac:dyDescent="0.25">
      <c r="A244" s="165">
        <v>44135</v>
      </c>
      <c r="B244" s="190">
        <v>9745</v>
      </c>
      <c r="C244" s="24">
        <f t="shared" si="59"/>
        <v>12226.857142857143</v>
      </c>
      <c r="D244" s="190">
        <f t="shared" ref="D244:D307" si="67">D243+B244</f>
        <v>1166924</v>
      </c>
      <c r="E244" s="188">
        <v>210</v>
      </c>
      <c r="F244" s="24">
        <f t="shared" si="60"/>
        <v>340.85714285714283</v>
      </c>
      <c r="G244" s="188">
        <f t="shared" si="66"/>
        <v>30981</v>
      </c>
      <c r="H244" s="190">
        <f t="shared" si="49"/>
        <v>12838</v>
      </c>
      <c r="I244" s="213">
        <v>973939</v>
      </c>
      <c r="J244" s="188">
        <v>4969</v>
      </c>
      <c r="K244" s="24">
        <f t="shared" si="46"/>
        <v>4974.4285714285716</v>
      </c>
      <c r="L244" s="188">
        <v>26699</v>
      </c>
      <c r="M244" s="24">
        <f t="shared" si="46"/>
        <v>29064.714285714286</v>
      </c>
      <c r="N244" s="4">
        <f t="shared" si="61"/>
        <v>2739756</v>
      </c>
      <c r="O244" s="157">
        <v>2357</v>
      </c>
      <c r="P244" s="158">
        <v>1447945</v>
      </c>
      <c r="Q244" s="155">
        <f t="shared" si="62"/>
        <v>1450302</v>
      </c>
      <c r="R244" s="157">
        <v>9103</v>
      </c>
      <c r="S244" s="157">
        <v>225845</v>
      </c>
      <c r="T244" s="157">
        <v>808139</v>
      </c>
      <c r="U244" s="155">
        <f t="shared" si="63"/>
        <v>123837</v>
      </c>
      <c r="V244" s="156">
        <f t="shared" si="54"/>
        <v>162004</v>
      </c>
      <c r="W244" s="53">
        <f t="shared" si="58"/>
        <v>3.0672082170810598E-2</v>
      </c>
      <c r="X244" s="43">
        <f t="shared" si="53"/>
        <v>3.4646379022283458E-2</v>
      </c>
      <c r="Y244" s="259">
        <f t="shared" si="65"/>
        <v>3.0672082170810598E-2</v>
      </c>
      <c r="Z244" s="110">
        <f t="shared" si="48"/>
        <v>-0.15182986651339325</v>
      </c>
      <c r="AA244" s="110">
        <f t="shared" si="64"/>
        <v>0.4206770113982099</v>
      </c>
      <c r="AB244" s="110">
        <f t="shared" si="47"/>
        <v>0.4206770113982099</v>
      </c>
      <c r="AD244" s="110">
        <f t="shared" si="55"/>
        <v>-5.6074766355140193E-2</v>
      </c>
    </row>
    <row r="245" spans="1:30" x14ac:dyDescent="0.25">
      <c r="A245" s="165">
        <v>44136</v>
      </c>
      <c r="B245" s="190">
        <v>6609</v>
      </c>
      <c r="C245" s="24">
        <f t="shared" si="59"/>
        <v>11849.142857142857</v>
      </c>
      <c r="D245" s="190">
        <f t="shared" si="67"/>
        <v>1173533</v>
      </c>
      <c r="E245" s="188">
        <v>135</v>
      </c>
      <c r="F245" s="24">
        <f t="shared" si="60"/>
        <v>319.85714285714283</v>
      </c>
      <c r="G245" s="188">
        <f t="shared" si="66"/>
        <v>31116</v>
      </c>
      <c r="H245" s="190">
        <f t="shared" si="49"/>
        <v>11377</v>
      </c>
      <c r="I245" s="213">
        <v>985316</v>
      </c>
      <c r="J245" s="188">
        <v>5119</v>
      </c>
      <c r="K245" s="24">
        <f t="shared" si="46"/>
        <v>5011</v>
      </c>
      <c r="L245" s="188">
        <v>15645</v>
      </c>
      <c r="M245" s="24">
        <f t="shared" si="46"/>
        <v>28399.285714285714</v>
      </c>
      <c r="N245" s="4">
        <f t="shared" si="61"/>
        <v>2755401</v>
      </c>
      <c r="O245" s="157">
        <v>2393</v>
      </c>
      <c r="P245" s="157">
        <v>1455146</v>
      </c>
      <c r="Q245" s="155">
        <f t="shared" si="62"/>
        <v>1457539</v>
      </c>
      <c r="R245" s="157">
        <v>9123</v>
      </c>
      <c r="S245" s="157">
        <v>226864</v>
      </c>
      <c r="T245" s="157">
        <v>813376</v>
      </c>
      <c r="U245" s="155">
        <f t="shared" si="63"/>
        <v>124170</v>
      </c>
      <c r="V245" s="156">
        <f t="shared" si="54"/>
        <v>157101</v>
      </c>
      <c r="W245" s="53">
        <f t="shared" si="58"/>
        <v>3.2584133773814299E-2</v>
      </c>
      <c r="X245" s="43">
        <f t="shared" si="53"/>
        <v>3.443063746915561E-2</v>
      </c>
      <c r="Y245" s="259">
        <f t="shared" si="65"/>
        <v>3.2584133773814299E-2</v>
      </c>
      <c r="Z245" s="110">
        <f t="shared" si="48"/>
        <v>-0.16755487309186168</v>
      </c>
      <c r="AA245" s="110">
        <f t="shared" si="64"/>
        <v>0.41723383384893986</v>
      </c>
      <c r="AB245" s="110">
        <f t="shared" si="47"/>
        <v>0.41723383384893986</v>
      </c>
      <c r="AD245" s="110">
        <f t="shared" si="55"/>
        <v>-5.8672322985385827E-2</v>
      </c>
    </row>
    <row r="246" spans="1:30" x14ac:dyDescent="0.25">
      <c r="A246" s="390">
        <v>44137</v>
      </c>
      <c r="B246" s="190">
        <v>9598</v>
      </c>
      <c r="C246" s="24">
        <f t="shared" si="59"/>
        <v>11547.142857142857</v>
      </c>
      <c r="D246" s="190">
        <f t="shared" si="67"/>
        <v>1183131</v>
      </c>
      <c r="E246" s="188">
        <v>479</v>
      </c>
      <c r="F246" s="24">
        <f t="shared" si="60"/>
        <v>330.42857142857144</v>
      </c>
      <c r="G246" s="188">
        <f t="shared" si="66"/>
        <v>31595</v>
      </c>
      <c r="H246" s="190">
        <f t="shared" si="49"/>
        <v>12700</v>
      </c>
      <c r="I246" s="213">
        <v>998016</v>
      </c>
      <c r="J246" s="188">
        <v>4992</v>
      </c>
      <c r="K246" s="24">
        <f t="shared" si="46"/>
        <v>5004.4285714285716</v>
      </c>
      <c r="L246" s="188">
        <v>249864</v>
      </c>
      <c r="M246" s="24">
        <f t="shared" si="46"/>
        <v>60315.857142857145</v>
      </c>
      <c r="N246" s="4">
        <f t="shared" si="61"/>
        <v>3005265</v>
      </c>
      <c r="O246" s="157">
        <v>2514</v>
      </c>
      <c r="P246" s="157">
        <v>1467420</v>
      </c>
      <c r="Q246" s="155">
        <f t="shared" si="62"/>
        <v>1469934</v>
      </c>
      <c r="R246" s="157">
        <v>9159</v>
      </c>
      <c r="S246" s="157">
        <v>229301</v>
      </c>
      <c r="T246" s="157">
        <v>822808</v>
      </c>
      <c r="U246" s="155">
        <f t="shared" si="63"/>
        <v>121863</v>
      </c>
      <c r="V246" s="156">
        <f t="shared" si="54"/>
        <v>153520</v>
      </c>
      <c r="W246" s="8">
        <f t="shared" ref="W246:W295" si="68">J246-J245</f>
        <v>-127</v>
      </c>
      <c r="X246" s="4"/>
      <c r="Y246" s="259">
        <f t="shared" si="65"/>
        <v>3.251693590411673E-2</v>
      </c>
      <c r="Z246" s="110">
        <f t="shared" si="48"/>
        <v>-0.17190861592049989</v>
      </c>
      <c r="AA246" s="110">
        <f t="shared" si="64"/>
        <v>0.19144456207914998</v>
      </c>
      <c r="AB246" s="110">
        <f t="shared" si="47"/>
        <v>0.19144456207915</v>
      </c>
      <c r="AD246" s="110">
        <f t="shared" si="55"/>
        <v>-6.0654824912961258E-2</v>
      </c>
    </row>
    <row r="247" spans="1:30" x14ac:dyDescent="0.25">
      <c r="A247" s="390">
        <v>44138</v>
      </c>
      <c r="B247" s="190">
        <v>12145</v>
      </c>
      <c r="C247" s="24">
        <f t="shared" si="59"/>
        <v>11238.142857142857</v>
      </c>
      <c r="D247" s="190">
        <f t="shared" si="67"/>
        <v>1195276</v>
      </c>
      <c r="E247" s="188">
        <v>429</v>
      </c>
      <c r="F247" s="24">
        <f t="shared" si="60"/>
        <v>331</v>
      </c>
      <c r="G247" s="188">
        <f t="shared" si="66"/>
        <v>32024</v>
      </c>
      <c r="H247" s="190">
        <f t="shared" si="49"/>
        <v>11262</v>
      </c>
      <c r="I247" s="213">
        <v>1009278</v>
      </c>
      <c r="J247" s="188">
        <v>4854</v>
      </c>
      <c r="K247" s="24">
        <f t="shared" si="46"/>
        <v>4990.4285714285716</v>
      </c>
      <c r="L247" s="188">
        <v>30999</v>
      </c>
      <c r="M247" s="24">
        <f t="shared" si="46"/>
        <v>60051.857142857145</v>
      </c>
      <c r="N247" s="4">
        <f t="shared" si="61"/>
        <v>3036264</v>
      </c>
      <c r="O247" s="157">
        <v>2583</v>
      </c>
      <c r="P247" s="157">
        <v>1482833</v>
      </c>
      <c r="Q247" s="155">
        <f t="shared" si="62"/>
        <v>1485416</v>
      </c>
      <c r="R247" s="157">
        <v>9211</v>
      </c>
      <c r="S247" s="157">
        <v>232229</v>
      </c>
      <c r="T247" s="157">
        <v>832741</v>
      </c>
      <c r="U247" s="155">
        <f t="shared" si="63"/>
        <v>121095</v>
      </c>
      <c r="V247" s="156">
        <f t="shared" si="54"/>
        <v>153974</v>
      </c>
      <c r="W247" s="8">
        <f t="shared" si="68"/>
        <v>-138</v>
      </c>
      <c r="X247" s="4"/>
      <c r="Y247" s="259">
        <f t="shared" si="65"/>
        <v>3.1524802888799407E-2</v>
      </c>
      <c r="Z247" s="110">
        <f t="shared" si="48"/>
        <v>-0.15600592223843446</v>
      </c>
      <c r="AA247" s="110">
        <f t="shared" si="64"/>
        <v>0.18714063797241906</v>
      </c>
      <c r="AB247" s="110">
        <f t="shared" si="47"/>
        <v>0.18714063797241909</v>
      </c>
      <c r="AD247" s="110">
        <f t="shared" si="55"/>
        <v>-6.9969436692881026E-2</v>
      </c>
    </row>
    <row r="248" spans="1:30" x14ac:dyDescent="0.25">
      <c r="A248" s="390">
        <v>44139</v>
      </c>
      <c r="B248" s="190">
        <v>10652</v>
      </c>
      <c r="C248" s="24">
        <f t="shared" si="59"/>
        <v>10770.714285714286</v>
      </c>
      <c r="D248" s="190">
        <f t="shared" si="67"/>
        <v>1205928</v>
      </c>
      <c r="E248" s="188">
        <v>464</v>
      </c>
      <c r="F248" s="24">
        <f t="shared" si="60"/>
        <v>348</v>
      </c>
      <c r="G248" s="188">
        <f t="shared" si="66"/>
        <v>32488</v>
      </c>
      <c r="H248" s="190">
        <f t="shared" si="49"/>
        <v>8369</v>
      </c>
      <c r="I248" s="213">
        <v>1017647</v>
      </c>
      <c r="J248" s="188">
        <v>4816</v>
      </c>
      <c r="K248" s="24">
        <f t="shared" si="46"/>
        <v>4958.8571428571431</v>
      </c>
      <c r="L248" s="188">
        <v>36435</v>
      </c>
      <c r="M248" s="24">
        <f t="shared" si="46"/>
        <v>60567.285714285717</v>
      </c>
      <c r="N248" s="4">
        <f t="shared" si="61"/>
        <v>3072699</v>
      </c>
      <c r="O248" s="157">
        <v>2640</v>
      </c>
      <c r="P248" s="157">
        <v>1503103</v>
      </c>
      <c r="Q248" s="155">
        <f t="shared" si="62"/>
        <v>1505743</v>
      </c>
      <c r="R248" s="157">
        <v>9251</v>
      </c>
      <c r="S248" s="157">
        <v>234718</v>
      </c>
      <c r="T248" s="157">
        <v>842950</v>
      </c>
      <c r="U248" s="155">
        <f t="shared" si="63"/>
        <v>119009</v>
      </c>
      <c r="V248" s="156">
        <f t="shared" si="54"/>
        <v>155793</v>
      </c>
      <c r="W248" s="57">
        <f t="shared" si="68"/>
        <v>-38</v>
      </c>
      <c r="X248" s="4"/>
      <c r="Y248" s="259">
        <f t="shared" si="65"/>
        <v>3.0912813797795792E-2</v>
      </c>
      <c r="Z248" s="110">
        <f t="shared" si="48"/>
        <v>-0.1636716583471991</v>
      </c>
      <c r="AA248" s="110">
        <f t="shared" si="64"/>
        <v>0.17783055916560331</v>
      </c>
      <c r="AB248" s="110">
        <f t="shared" si="47"/>
        <v>0.17783055916560331</v>
      </c>
      <c r="AD248" s="110">
        <f t="shared" si="55"/>
        <v>-7.9966220605430682E-2</v>
      </c>
    </row>
    <row r="249" spans="1:30" x14ac:dyDescent="0.25">
      <c r="A249" s="390">
        <v>44140</v>
      </c>
      <c r="B249" s="190">
        <v>11100</v>
      </c>
      <c r="C249" s="24">
        <f t="shared" si="59"/>
        <v>10461.142857142857</v>
      </c>
      <c r="D249" s="190">
        <f t="shared" si="67"/>
        <v>1217028</v>
      </c>
      <c r="E249" s="188">
        <v>246</v>
      </c>
      <c r="F249" s="24">
        <f t="shared" si="60"/>
        <v>330.28571428571428</v>
      </c>
      <c r="G249" s="188">
        <f t="shared" si="66"/>
        <v>32734</v>
      </c>
      <c r="H249" s="190">
        <f t="shared" si="49"/>
        <v>12490</v>
      </c>
      <c r="I249" s="213">
        <v>1030137</v>
      </c>
      <c r="J249" s="188">
        <v>4713</v>
      </c>
      <c r="K249" s="24">
        <f t="shared" ref="K249:M312" si="69">AVERAGE(J243:J249)</f>
        <v>4920.5714285714284</v>
      </c>
      <c r="L249" s="188">
        <v>28900</v>
      </c>
      <c r="M249" s="24">
        <f t="shared" si="69"/>
        <v>60186.142857142855</v>
      </c>
      <c r="N249" s="4">
        <f t="shared" si="61"/>
        <v>3101599</v>
      </c>
      <c r="O249" s="157">
        <v>2667</v>
      </c>
      <c r="P249" s="157">
        <v>1516132</v>
      </c>
      <c r="Q249" s="155">
        <f t="shared" si="62"/>
        <v>1518799</v>
      </c>
      <c r="R249" s="157">
        <v>9294</v>
      </c>
      <c r="S249" s="157">
        <v>237018</v>
      </c>
      <c r="T249" s="157">
        <v>851916</v>
      </c>
      <c r="U249" s="155">
        <f t="shared" si="63"/>
        <v>118800</v>
      </c>
      <c r="V249" s="156">
        <f t="shared" si="54"/>
        <v>154157</v>
      </c>
      <c r="W249" s="57">
        <f t="shared" si="68"/>
        <v>-103</v>
      </c>
      <c r="X249" s="4"/>
      <c r="Y249" s="259">
        <f t="shared" si="65"/>
        <v>3.0572727803473084E-2</v>
      </c>
      <c r="Z249" s="110">
        <f t="shared" si="48"/>
        <v>-0.16607258771680078</v>
      </c>
      <c r="AA249" s="110">
        <f t="shared" si="64"/>
        <v>0.17381314635784698</v>
      </c>
      <c r="AB249" s="110">
        <f t="shared" si="47"/>
        <v>0.17381314635784698</v>
      </c>
      <c r="AD249" s="110">
        <f t="shared" si="55"/>
        <v>-7.8250938748176346E-2</v>
      </c>
    </row>
    <row r="250" spans="1:30" x14ac:dyDescent="0.25">
      <c r="A250" s="390">
        <v>44141</v>
      </c>
      <c r="B250" s="190">
        <v>11786</v>
      </c>
      <c r="C250" s="24">
        <f t="shared" si="59"/>
        <v>10233.571428571429</v>
      </c>
      <c r="D250" s="190">
        <f t="shared" si="67"/>
        <v>1228814</v>
      </c>
      <c r="E250" s="188">
        <v>369</v>
      </c>
      <c r="F250" s="24">
        <f t="shared" si="60"/>
        <v>333.14285714285717</v>
      </c>
      <c r="G250" s="188">
        <f t="shared" si="66"/>
        <v>33103</v>
      </c>
      <c r="H250" s="190">
        <f t="shared" si="49"/>
        <v>12100</v>
      </c>
      <c r="I250" s="213">
        <v>1042237</v>
      </c>
      <c r="J250" s="188">
        <v>4666</v>
      </c>
      <c r="K250" s="24">
        <f t="shared" si="69"/>
        <v>4875.5714285714284</v>
      </c>
      <c r="L250" s="188">
        <v>34727</v>
      </c>
      <c r="M250" s="24">
        <f t="shared" si="69"/>
        <v>60467</v>
      </c>
      <c r="N250" s="4">
        <f t="shared" si="61"/>
        <v>3136326</v>
      </c>
      <c r="O250" s="157">
        <v>2702</v>
      </c>
      <c r="P250" s="157">
        <v>1534460</v>
      </c>
      <c r="Q250" s="155">
        <f t="shared" si="62"/>
        <v>1537162</v>
      </c>
      <c r="R250" s="157">
        <v>9349</v>
      </c>
      <c r="S250" s="157">
        <v>239488</v>
      </c>
      <c r="T250" s="157">
        <v>861070</v>
      </c>
      <c r="U250" s="155">
        <f t="shared" si="63"/>
        <v>118907</v>
      </c>
      <c r="V250" s="156">
        <f t="shared" si="54"/>
        <v>153474</v>
      </c>
      <c r="W250" s="57">
        <f t="shared" si="68"/>
        <v>-47</v>
      </c>
      <c r="X250" s="4"/>
      <c r="Y250" s="259">
        <f t="shared" si="65"/>
        <v>3.0402543753339329E-2</v>
      </c>
      <c r="Z250" s="110">
        <f t="shared" si="48"/>
        <v>-0.16302519044725894</v>
      </c>
      <c r="AA250" s="110">
        <f t="shared" si="64"/>
        <v>0.1692422549253548</v>
      </c>
      <c r="AB250" s="110">
        <f t="shared" ref="AB250:AB289" si="70">SUM(B244:B250)/SUM(L244:L250)</f>
        <v>0.1692422549253548</v>
      </c>
      <c r="AD250" s="110">
        <f t="shared" si="55"/>
        <v>-7.1581965675984738E-2</v>
      </c>
    </row>
    <row r="251" spans="1:30" x14ac:dyDescent="0.25">
      <c r="A251" s="165">
        <v>44142</v>
      </c>
      <c r="B251" s="190">
        <v>8037</v>
      </c>
      <c r="C251" s="24">
        <f t="shared" si="59"/>
        <v>9989.5714285714294</v>
      </c>
      <c r="D251" s="190">
        <f t="shared" si="67"/>
        <v>1236851</v>
      </c>
      <c r="E251" s="188">
        <v>212</v>
      </c>
      <c r="F251" s="24">
        <f t="shared" si="60"/>
        <v>333.42857142857144</v>
      </c>
      <c r="G251" s="188">
        <f t="shared" si="66"/>
        <v>33315</v>
      </c>
      <c r="H251" s="190">
        <f t="shared" si="49"/>
        <v>11076</v>
      </c>
      <c r="I251" s="213">
        <v>1053313</v>
      </c>
      <c r="J251" s="188">
        <v>4593</v>
      </c>
      <c r="K251" s="24">
        <f t="shared" si="69"/>
        <v>4821.8571428571431</v>
      </c>
      <c r="L251" s="188">
        <v>37062</v>
      </c>
      <c r="M251" s="24">
        <f t="shared" si="69"/>
        <v>61947.428571428572</v>
      </c>
      <c r="N251" s="4">
        <f t="shared" si="61"/>
        <v>3173388</v>
      </c>
      <c r="O251" s="157">
        <v>2727</v>
      </c>
      <c r="P251" s="157">
        <v>1559126</v>
      </c>
      <c r="Q251" s="155">
        <f t="shared" si="62"/>
        <v>1561853</v>
      </c>
      <c r="R251" s="157">
        <v>9387</v>
      </c>
      <c r="S251" s="157">
        <v>240865</v>
      </c>
      <c r="T251" s="157">
        <v>866690</v>
      </c>
      <c r="U251" s="155">
        <f t="shared" si="63"/>
        <v>119909</v>
      </c>
      <c r="V251" s="156">
        <f t="shared" si="54"/>
        <v>150223</v>
      </c>
      <c r="W251" s="57">
        <f t="shared" si="68"/>
        <v>-73</v>
      </c>
      <c r="X251" s="4"/>
      <c r="Y251" s="259">
        <f t="shared" si="65"/>
        <v>3.0574545841848454E-2</v>
      </c>
      <c r="Z251" s="110">
        <f t="shared" ref="Z251:Z314" si="71">C251/C245-1</f>
        <v>-0.15693721064814803</v>
      </c>
      <c r="AA251" s="110">
        <f t="shared" si="64"/>
        <v>0.16125885543502325</v>
      </c>
      <c r="AB251" s="110">
        <f t="shared" si="70"/>
        <v>0.16125885543502325</v>
      </c>
      <c r="AD251" s="110">
        <f t="shared" si="55"/>
        <v>-7.2720426656131987E-2</v>
      </c>
    </row>
    <row r="252" spans="1:30" x14ac:dyDescent="0.25">
      <c r="A252" s="165">
        <v>44143</v>
      </c>
      <c r="B252" s="190">
        <v>5331</v>
      </c>
      <c r="C252" s="24">
        <f t="shared" si="59"/>
        <v>9807</v>
      </c>
      <c r="D252" s="190">
        <f t="shared" si="67"/>
        <v>1242182</v>
      </c>
      <c r="E252" s="188">
        <v>211</v>
      </c>
      <c r="F252" s="24">
        <f t="shared" si="60"/>
        <v>344.28571428571428</v>
      </c>
      <c r="G252" s="188">
        <f t="shared" si="66"/>
        <v>33526</v>
      </c>
      <c r="H252" s="190">
        <f t="shared" si="49"/>
        <v>9598</v>
      </c>
      <c r="I252" s="213">
        <v>1062911</v>
      </c>
      <c r="J252" s="188">
        <v>4608</v>
      </c>
      <c r="K252" s="24">
        <f t="shared" si="69"/>
        <v>4748.8571428571431</v>
      </c>
      <c r="L252" s="188">
        <v>14025</v>
      </c>
      <c r="M252" s="24">
        <f t="shared" si="69"/>
        <v>61716</v>
      </c>
      <c r="N252" s="4">
        <f t="shared" si="61"/>
        <v>3187413</v>
      </c>
      <c r="O252" s="157">
        <v>2760</v>
      </c>
      <c r="P252" s="157">
        <v>1566231</v>
      </c>
      <c r="Q252" s="155">
        <f t="shared" si="62"/>
        <v>1568991</v>
      </c>
      <c r="R252" s="157">
        <v>9403</v>
      </c>
      <c r="S252" s="157">
        <v>241673</v>
      </c>
      <c r="T252" s="157">
        <v>871132</v>
      </c>
      <c r="U252" s="155">
        <f t="shared" si="63"/>
        <v>119974</v>
      </c>
      <c r="V252" s="156">
        <f t="shared" si="54"/>
        <v>145745</v>
      </c>
      <c r="W252" s="57">
        <f t="shared" si="68"/>
        <v>15</v>
      </c>
      <c r="X252" s="4"/>
      <c r="Y252" s="259">
        <f t="shared" si="65"/>
        <v>3.1616865072558238E-2</v>
      </c>
      <c r="Z252" s="110">
        <f t="shared" si="71"/>
        <v>-0.15069899789682051</v>
      </c>
      <c r="AA252" s="110">
        <f t="shared" si="64"/>
        <v>0.15890530818588372</v>
      </c>
      <c r="AB252" s="110">
        <f t="shared" si="70"/>
        <v>0.15890530818588372</v>
      </c>
      <c r="AD252" s="110">
        <f t="shared" si="55"/>
        <v>-7.2284708563280953E-2</v>
      </c>
    </row>
    <row r="253" spans="1:30" x14ac:dyDescent="0.25">
      <c r="A253" s="390">
        <v>44144</v>
      </c>
      <c r="B253" s="190">
        <v>8317</v>
      </c>
      <c r="C253" s="24">
        <f t="shared" si="59"/>
        <v>9624</v>
      </c>
      <c r="D253" s="190">
        <f t="shared" si="67"/>
        <v>1250499</v>
      </c>
      <c r="E253" s="188">
        <v>348</v>
      </c>
      <c r="F253" s="24">
        <f t="shared" si="60"/>
        <v>325.57142857142856</v>
      </c>
      <c r="G253" s="188">
        <f t="shared" si="66"/>
        <v>33874</v>
      </c>
      <c r="H253" s="190">
        <f t="shared" si="49"/>
        <v>10666</v>
      </c>
      <c r="I253" s="213">
        <v>1073577</v>
      </c>
      <c r="J253" s="188">
        <v>4577</v>
      </c>
      <c r="K253" s="24">
        <f t="shared" si="69"/>
        <v>4689.5714285714284</v>
      </c>
      <c r="L253" s="188">
        <v>29570</v>
      </c>
      <c r="M253" s="24">
        <f t="shared" si="69"/>
        <v>30245.428571428572</v>
      </c>
      <c r="N253" s="4">
        <f t="shared" si="61"/>
        <v>3216983</v>
      </c>
      <c r="O253" s="157">
        <v>2798</v>
      </c>
      <c r="P253" s="157">
        <v>1581460</v>
      </c>
      <c r="Q253" s="155">
        <f t="shared" si="62"/>
        <v>1584258</v>
      </c>
      <c r="R253" s="157">
        <v>9444</v>
      </c>
      <c r="S253" s="157">
        <v>243982</v>
      </c>
      <c r="T253" s="157">
        <v>878724</v>
      </c>
      <c r="U253" s="155">
        <f t="shared" si="63"/>
        <v>118349</v>
      </c>
      <c r="V253" s="156">
        <f t="shared" si="54"/>
        <v>143048</v>
      </c>
      <c r="W253" s="57">
        <f t="shared" si="68"/>
        <v>-31</v>
      </c>
      <c r="X253" s="4"/>
      <c r="Y253" s="259">
        <f t="shared" si="65"/>
        <v>3.1996253005984007E-2</v>
      </c>
      <c r="Z253" s="110">
        <f t="shared" si="71"/>
        <v>-0.14363074732734182</v>
      </c>
      <c r="AA253" s="110">
        <f t="shared" si="64"/>
        <v>0.31819684674897741</v>
      </c>
      <c r="AB253" s="110">
        <f t="shared" si="70"/>
        <v>0.31819684674897741</v>
      </c>
      <c r="AD253" s="110">
        <f t="shared" si="55"/>
        <v>-6.8212610734757706E-2</v>
      </c>
    </row>
    <row r="254" spans="1:30" x14ac:dyDescent="0.25">
      <c r="A254" s="390">
        <v>44145</v>
      </c>
      <c r="B254" s="190">
        <v>11977</v>
      </c>
      <c r="C254" s="24">
        <f t="shared" si="59"/>
        <v>9600</v>
      </c>
      <c r="D254" s="190">
        <f t="shared" si="67"/>
        <v>1262476</v>
      </c>
      <c r="E254" s="190">
        <v>279</v>
      </c>
      <c r="F254" s="24">
        <f t="shared" si="60"/>
        <v>304.14285714285717</v>
      </c>
      <c r="G254" s="188">
        <f t="shared" si="66"/>
        <v>34153</v>
      </c>
      <c r="H254" s="190">
        <f t="shared" si="49"/>
        <v>8320</v>
      </c>
      <c r="I254" s="213">
        <v>1081897</v>
      </c>
      <c r="J254" s="190">
        <v>4494</v>
      </c>
      <c r="K254" s="24">
        <f t="shared" si="69"/>
        <v>4638.1428571428569</v>
      </c>
      <c r="L254" s="190">
        <v>31535</v>
      </c>
      <c r="M254" s="24">
        <f t="shared" si="69"/>
        <v>30322</v>
      </c>
      <c r="N254" s="4">
        <f t="shared" si="61"/>
        <v>3248518</v>
      </c>
      <c r="O254" s="7">
        <v>2879</v>
      </c>
      <c r="P254" s="7">
        <v>1599337</v>
      </c>
      <c r="Q254" s="160">
        <f t="shared" si="62"/>
        <v>1602216</v>
      </c>
      <c r="R254" s="30">
        <v>9481</v>
      </c>
      <c r="S254" s="30">
        <v>246898</v>
      </c>
      <c r="T254" s="30">
        <v>885833</v>
      </c>
      <c r="U254" s="160">
        <f t="shared" si="63"/>
        <v>120264</v>
      </c>
      <c r="V254" s="156">
        <f t="shared" si="54"/>
        <v>146426</v>
      </c>
      <c r="W254" s="100">
        <f t="shared" si="68"/>
        <v>-83</v>
      </c>
      <c r="X254" s="4"/>
      <c r="Y254" s="259">
        <f t="shared" si="65"/>
        <v>3.0691270675972847E-2</v>
      </c>
      <c r="Z254" s="110">
        <f t="shared" si="71"/>
        <v>-0.10869421049141192</v>
      </c>
      <c r="AA254" s="110">
        <f t="shared" si="64"/>
        <v>0.31660180726864984</v>
      </c>
      <c r="AB254" s="110">
        <f t="shared" si="70"/>
        <v>0.31660180726864984</v>
      </c>
      <c r="AD254" s="110">
        <f t="shared" si="55"/>
        <v>-4.9021263330172649E-2</v>
      </c>
    </row>
    <row r="255" spans="1:30" x14ac:dyDescent="0.25">
      <c r="A255" s="390">
        <v>44146</v>
      </c>
      <c r="B255" s="190">
        <v>10880</v>
      </c>
      <c r="C255" s="24">
        <f t="shared" si="59"/>
        <v>9632.5714285714294</v>
      </c>
      <c r="D255" s="190">
        <f t="shared" si="67"/>
        <v>1273356</v>
      </c>
      <c r="E255" s="190">
        <v>348</v>
      </c>
      <c r="F255" s="24">
        <f t="shared" si="60"/>
        <v>287.57142857142856</v>
      </c>
      <c r="G255" s="188">
        <f t="shared" si="66"/>
        <v>34501</v>
      </c>
      <c r="H255" s="190">
        <f t="shared" si="49"/>
        <v>7632</v>
      </c>
      <c r="I255" s="219">
        <v>1089529</v>
      </c>
      <c r="J255" s="190">
        <v>4418</v>
      </c>
      <c r="K255" s="24">
        <f t="shared" si="69"/>
        <v>4581.2857142857147</v>
      </c>
      <c r="L255" s="190">
        <v>56473</v>
      </c>
      <c r="M255" s="24">
        <f t="shared" si="69"/>
        <v>33184.571428571428</v>
      </c>
      <c r="N255" s="4">
        <f t="shared" si="61"/>
        <v>3304991</v>
      </c>
      <c r="O255" s="7">
        <v>2939</v>
      </c>
      <c r="P255" s="7">
        <v>1635003</v>
      </c>
      <c r="Q255" s="155">
        <f t="shared" si="62"/>
        <v>1637942</v>
      </c>
      <c r="R255" s="4">
        <v>9521</v>
      </c>
      <c r="S255" s="4">
        <v>249148</v>
      </c>
      <c r="T255" s="4">
        <v>892532</v>
      </c>
      <c r="U255" s="155">
        <f t="shared" si="63"/>
        <v>122155</v>
      </c>
      <c r="V255" s="156">
        <f t="shared" si="54"/>
        <v>149326</v>
      </c>
      <c r="W255" s="57">
        <f t="shared" si="68"/>
        <v>-76</v>
      </c>
      <c r="X255" s="4"/>
      <c r="Y255" s="259">
        <f t="shared" si="65"/>
        <v>2.9586274325971364E-2</v>
      </c>
      <c r="Z255" s="110">
        <f t="shared" si="71"/>
        <v>-7.9204675807068248E-2</v>
      </c>
      <c r="AA255" s="110">
        <f t="shared" si="64"/>
        <v>0.29027258794964961</v>
      </c>
      <c r="AB255" s="110">
        <f t="shared" si="70"/>
        <v>0.29027258794964955</v>
      </c>
      <c r="AD255" s="110">
        <f t="shared" si="55"/>
        <v>-4.1510209059457126E-2</v>
      </c>
    </row>
    <row r="256" spans="1:30" x14ac:dyDescent="0.25">
      <c r="A256" s="390">
        <v>44147</v>
      </c>
      <c r="B256" s="190">
        <v>11163</v>
      </c>
      <c r="C256" s="24">
        <f t="shared" si="59"/>
        <v>9641.5714285714294</v>
      </c>
      <c r="D256" s="190">
        <f t="shared" si="67"/>
        <v>1284519</v>
      </c>
      <c r="E256" s="190">
        <v>249</v>
      </c>
      <c r="F256" s="24">
        <f t="shared" si="60"/>
        <v>288</v>
      </c>
      <c r="G256" s="188">
        <f t="shared" si="66"/>
        <v>34750</v>
      </c>
      <c r="H256" s="190">
        <f t="shared" si="49"/>
        <v>10651</v>
      </c>
      <c r="I256" s="219">
        <v>1100180</v>
      </c>
      <c r="J256" s="190">
        <v>4397</v>
      </c>
      <c r="K256" s="24">
        <f t="shared" si="69"/>
        <v>4536.1428571428569</v>
      </c>
      <c r="L256" s="190">
        <v>31520</v>
      </c>
      <c r="M256" s="24">
        <f t="shared" si="69"/>
        <v>33558.857142857145</v>
      </c>
      <c r="N256" s="4">
        <f t="shared" si="61"/>
        <v>3336511</v>
      </c>
      <c r="O256" s="7">
        <v>2991</v>
      </c>
      <c r="P256" s="7">
        <v>1655824</v>
      </c>
      <c r="Q256" s="155">
        <f t="shared" si="62"/>
        <v>1658815</v>
      </c>
      <c r="R256" s="4">
        <v>9553</v>
      </c>
      <c r="S256" s="4">
        <v>251515</v>
      </c>
      <c r="T256" s="4">
        <v>901700</v>
      </c>
      <c r="U256" s="155">
        <f t="shared" si="63"/>
        <v>121751</v>
      </c>
      <c r="V256" s="156">
        <f t="shared" si="54"/>
        <v>149589</v>
      </c>
      <c r="W256" s="57">
        <f t="shared" si="68"/>
        <v>-21</v>
      </c>
      <c r="X256" s="4"/>
      <c r="Y256" s="259">
        <f t="shared" si="65"/>
        <v>2.939387254410418E-2</v>
      </c>
      <c r="Z256" s="110">
        <f t="shared" si="71"/>
        <v>-5.7848816919103818E-2</v>
      </c>
      <c r="AA256" s="110">
        <f t="shared" si="64"/>
        <v>0.28730333060890889</v>
      </c>
      <c r="AB256" s="110">
        <f t="shared" si="70"/>
        <v>0.28730333060890889</v>
      </c>
      <c r="AD256" s="110">
        <f t="shared" si="55"/>
        <v>-2.9632128284800552E-2</v>
      </c>
    </row>
    <row r="257" spans="1:30" x14ac:dyDescent="0.25">
      <c r="A257" s="390">
        <v>44148</v>
      </c>
      <c r="B257" s="190">
        <v>11859</v>
      </c>
      <c r="C257" s="24">
        <f t="shared" si="59"/>
        <v>9652</v>
      </c>
      <c r="D257" s="190">
        <f t="shared" si="67"/>
        <v>1296378</v>
      </c>
      <c r="E257" s="190">
        <v>264</v>
      </c>
      <c r="F257" s="24">
        <f t="shared" si="60"/>
        <v>273</v>
      </c>
      <c r="G257" s="190">
        <f t="shared" si="66"/>
        <v>35014</v>
      </c>
      <c r="H257" s="190">
        <f t="shared" si="49"/>
        <v>10297</v>
      </c>
      <c r="I257" s="219">
        <v>1110477</v>
      </c>
      <c r="J257" s="190">
        <v>4381</v>
      </c>
      <c r="K257" s="24">
        <f t="shared" si="69"/>
        <v>4495.4285714285716</v>
      </c>
      <c r="L257" s="190">
        <v>31738</v>
      </c>
      <c r="M257" s="24">
        <f t="shared" si="69"/>
        <v>33131.857142857145</v>
      </c>
      <c r="N257" s="4">
        <f t="shared" si="61"/>
        <v>3368249</v>
      </c>
      <c r="O257" s="159">
        <v>3104</v>
      </c>
      <c r="P257" s="159">
        <v>1671421</v>
      </c>
      <c r="Q257" s="155">
        <f t="shared" si="62"/>
        <v>1674525</v>
      </c>
      <c r="R257" s="8">
        <v>9613</v>
      </c>
      <c r="S257" s="8">
        <v>253981</v>
      </c>
      <c r="T257" s="8">
        <v>910204</v>
      </c>
      <c r="U257" s="155">
        <f t="shared" si="63"/>
        <v>122580</v>
      </c>
      <c r="V257" s="156">
        <f t="shared" si="54"/>
        <v>150887</v>
      </c>
      <c r="W257" s="57">
        <f t="shared" si="68"/>
        <v>-16</v>
      </c>
      <c r="X257" s="4"/>
      <c r="Y257" s="259">
        <f t="shared" si="65"/>
        <v>2.9034973191858809E-2</v>
      </c>
      <c r="Z257" s="110">
        <f t="shared" si="71"/>
        <v>-3.3792383485635069E-2</v>
      </c>
      <c r="AA257" s="110">
        <f t="shared" si="64"/>
        <v>0.29132082630873174</v>
      </c>
      <c r="AB257" s="110">
        <f t="shared" si="70"/>
        <v>0.2913208263087318</v>
      </c>
      <c r="AD257" s="110">
        <f t="shared" si="55"/>
        <v>-1.6856275330023318E-2</v>
      </c>
    </row>
    <row r="258" spans="1:30" x14ac:dyDescent="0.25">
      <c r="A258" s="165">
        <v>44149</v>
      </c>
      <c r="B258" s="190">
        <v>8468</v>
      </c>
      <c r="C258" s="24">
        <f t="shared" si="59"/>
        <v>9713.5714285714294</v>
      </c>
      <c r="D258" s="190">
        <f t="shared" si="67"/>
        <v>1304846</v>
      </c>
      <c r="E258" s="190">
        <v>262</v>
      </c>
      <c r="F258" s="24">
        <f t="shared" si="60"/>
        <v>280.14285714285717</v>
      </c>
      <c r="G258" s="190">
        <f t="shared" si="66"/>
        <v>35276</v>
      </c>
      <c r="H258" s="190">
        <f t="shared" si="49"/>
        <v>8889</v>
      </c>
      <c r="I258" s="219">
        <v>1119366</v>
      </c>
      <c r="J258" s="190">
        <v>4346</v>
      </c>
      <c r="K258" s="24">
        <f t="shared" si="69"/>
        <v>4460.1428571428569</v>
      </c>
      <c r="L258" s="190">
        <v>25314</v>
      </c>
      <c r="M258" s="24">
        <f t="shared" si="69"/>
        <v>31453.571428571428</v>
      </c>
      <c r="N258" s="4">
        <f t="shared" si="61"/>
        <v>3393563</v>
      </c>
      <c r="O258" s="8">
        <v>3156</v>
      </c>
      <c r="P258" s="8">
        <v>1683861</v>
      </c>
      <c r="Q258" s="155">
        <f t="shared" si="62"/>
        <v>1687017</v>
      </c>
      <c r="R258" s="8">
        <v>9646</v>
      </c>
      <c r="S258" s="8">
        <v>255493</v>
      </c>
      <c r="T258" s="8">
        <v>915339</v>
      </c>
      <c r="U258" s="155">
        <f t="shared" si="63"/>
        <v>124368</v>
      </c>
      <c r="V258" s="156">
        <f t="shared" si="54"/>
        <v>150204</v>
      </c>
      <c r="W258" s="57">
        <f t="shared" si="68"/>
        <v>-35</v>
      </c>
      <c r="X258" s="4"/>
      <c r="Y258" s="259">
        <f t="shared" si="65"/>
        <v>2.8933983116295171E-2</v>
      </c>
      <c r="Z258" s="110">
        <f t="shared" si="71"/>
        <v>-9.5267228947252258E-3</v>
      </c>
      <c r="AA258" s="110">
        <f t="shared" si="64"/>
        <v>0.30882252753491546</v>
      </c>
      <c r="AB258" s="110">
        <f t="shared" si="70"/>
        <v>0.3088225275349154</v>
      </c>
      <c r="AD258" s="110">
        <f t="shared" si="55"/>
        <v>-1.2647863509585022E-4</v>
      </c>
    </row>
    <row r="259" spans="1:30" x14ac:dyDescent="0.25">
      <c r="A259" s="165">
        <v>44150</v>
      </c>
      <c r="B259" s="190">
        <v>5645</v>
      </c>
      <c r="C259" s="24">
        <f t="shared" si="59"/>
        <v>9758.4285714285706</v>
      </c>
      <c r="D259" s="190">
        <f t="shared" si="67"/>
        <v>1310491</v>
      </c>
      <c r="E259" s="190">
        <v>128</v>
      </c>
      <c r="F259" s="24">
        <f t="shared" si="60"/>
        <v>268.28571428571428</v>
      </c>
      <c r="G259" s="190">
        <f t="shared" si="66"/>
        <v>35404</v>
      </c>
      <c r="H259" s="190">
        <f t="shared" ref="H259:H322" si="72">I259-I258</f>
        <v>9736</v>
      </c>
      <c r="I259" s="219">
        <v>1129102</v>
      </c>
      <c r="J259" s="190">
        <v>4365</v>
      </c>
      <c r="K259" s="24">
        <f t="shared" si="69"/>
        <v>4425.4285714285716</v>
      </c>
      <c r="L259" s="190">
        <v>17718</v>
      </c>
      <c r="M259" s="24">
        <f t="shared" si="69"/>
        <v>31981.142857142859</v>
      </c>
      <c r="N259" s="4">
        <f t="shared" si="61"/>
        <v>3411281</v>
      </c>
      <c r="O259" s="8">
        <v>3168</v>
      </c>
      <c r="P259" s="8">
        <v>1693448</v>
      </c>
      <c r="Q259" s="155">
        <f t="shared" si="62"/>
        <v>1696616</v>
      </c>
      <c r="R259" s="8">
        <v>9672</v>
      </c>
      <c r="S259" s="8">
        <v>256696</v>
      </c>
      <c r="T259" s="8">
        <v>918729</v>
      </c>
      <c r="U259" s="155">
        <f t="shared" si="63"/>
        <v>125394</v>
      </c>
      <c r="V259" s="156">
        <f t="shared" si="54"/>
        <v>145985</v>
      </c>
      <c r="W259" s="57">
        <f t="shared" si="68"/>
        <v>19</v>
      </c>
      <c r="X259" s="4"/>
      <c r="Y259" s="259">
        <f t="shared" si="65"/>
        <v>2.9900332225913623E-2</v>
      </c>
      <c r="Z259" s="110">
        <f t="shared" si="71"/>
        <v>1.3968056050350341E-2</v>
      </c>
      <c r="AA259" s="110">
        <f t="shared" si="64"/>
        <v>0.30513070202083364</v>
      </c>
      <c r="AB259" s="110">
        <f t="shared" si="70"/>
        <v>0.3051307020208337</v>
      </c>
      <c r="AD259" s="110">
        <f t="shared" si="55"/>
        <v>1.6467117225291705E-3</v>
      </c>
    </row>
    <row r="260" spans="1:30" x14ac:dyDescent="0.25">
      <c r="A260" s="390">
        <v>44151</v>
      </c>
      <c r="B260" s="190">
        <v>7893</v>
      </c>
      <c r="C260" s="24">
        <f t="shared" si="59"/>
        <v>9697.8571428571431</v>
      </c>
      <c r="D260" s="190">
        <f t="shared" si="67"/>
        <v>1318384</v>
      </c>
      <c r="E260" s="190">
        <v>292</v>
      </c>
      <c r="F260" s="24">
        <f t="shared" si="60"/>
        <v>260.28571428571428</v>
      </c>
      <c r="G260" s="190">
        <f t="shared" si="66"/>
        <v>35696</v>
      </c>
      <c r="H260" s="190">
        <f t="shared" si="72"/>
        <v>11094</v>
      </c>
      <c r="I260" s="219">
        <v>1140196</v>
      </c>
      <c r="J260" s="190">
        <v>4322</v>
      </c>
      <c r="K260" s="24">
        <f t="shared" si="69"/>
        <v>4389</v>
      </c>
      <c r="L260" s="190">
        <v>21572</v>
      </c>
      <c r="M260" s="24">
        <f t="shared" si="69"/>
        <v>30838.571428571428</v>
      </c>
      <c r="N260" s="4">
        <f t="shared" si="61"/>
        <v>3432853</v>
      </c>
      <c r="O260" s="7">
        <v>3225</v>
      </c>
      <c r="P260" s="7">
        <v>1704129</v>
      </c>
      <c r="Q260" s="155">
        <f t="shared" si="62"/>
        <v>1707354</v>
      </c>
      <c r="R260" s="4">
        <v>9692</v>
      </c>
      <c r="S260" s="4">
        <v>258870</v>
      </c>
      <c r="T260" s="4">
        <v>926820</v>
      </c>
      <c r="U260" s="155">
        <f t="shared" si="63"/>
        <v>123002</v>
      </c>
      <c r="V260" s="156">
        <f t="shared" si="54"/>
        <v>142492</v>
      </c>
      <c r="W260" s="57">
        <f t="shared" si="68"/>
        <v>-43</v>
      </c>
      <c r="X260" s="4"/>
      <c r="Y260" s="259">
        <f t="shared" si="65"/>
        <v>3.0331527383993487E-2</v>
      </c>
      <c r="Z260" s="110">
        <f t="shared" si="71"/>
        <v>1.0193452380952372E-2</v>
      </c>
      <c r="AA260" s="110">
        <f t="shared" si="64"/>
        <v>0.31447167276601662</v>
      </c>
      <c r="AB260" s="110">
        <f t="shared" si="70"/>
        <v>0.31447167276601656</v>
      </c>
      <c r="AD260" s="110">
        <f t="shared" si="55"/>
        <v>-3.8868072255466846E-3</v>
      </c>
    </row>
    <row r="261" spans="1:30" x14ac:dyDescent="0.25">
      <c r="A261" s="390">
        <v>44152</v>
      </c>
      <c r="B261" s="190">
        <v>10621</v>
      </c>
      <c r="C261" s="24">
        <f t="shared" si="59"/>
        <v>9504.1428571428569</v>
      </c>
      <c r="D261" s="190">
        <f t="shared" si="67"/>
        <v>1329005</v>
      </c>
      <c r="E261" s="190">
        <v>378</v>
      </c>
      <c r="F261" s="24">
        <f t="shared" si="60"/>
        <v>274.42857142857144</v>
      </c>
      <c r="G261" s="190">
        <f t="shared" si="66"/>
        <v>36074</v>
      </c>
      <c r="H261" s="190">
        <f t="shared" si="72"/>
        <v>8637</v>
      </c>
      <c r="I261" s="219">
        <v>1148833</v>
      </c>
      <c r="J261" s="190">
        <v>4379</v>
      </c>
      <c r="K261" s="24">
        <f t="shared" si="69"/>
        <v>4372.5714285714284</v>
      </c>
      <c r="L261" s="190">
        <v>34573</v>
      </c>
      <c r="M261" s="24">
        <f t="shared" si="69"/>
        <v>31272.571428571428</v>
      </c>
      <c r="N261" s="4">
        <f t="shared" si="61"/>
        <v>3467426</v>
      </c>
      <c r="O261" s="7">
        <v>3279</v>
      </c>
      <c r="P261" s="7">
        <v>1716729</v>
      </c>
      <c r="Q261" s="155">
        <f t="shared" si="62"/>
        <v>1720008</v>
      </c>
      <c r="R261" s="4">
        <v>9722</v>
      </c>
      <c r="S261" s="4">
        <v>261348</v>
      </c>
      <c r="T261" s="4">
        <v>934997</v>
      </c>
      <c r="U261" s="155">
        <f t="shared" si="63"/>
        <v>122938</v>
      </c>
      <c r="V261" s="156">
        <f t="shared" si="54"/>
        <v>144098</v>
      </c>
      <c r="W261" s="57">
        <f t="shared" si="68"/>
        <v>57</v>
      </c>
      <c r="X261" s="4"/>
      <c r="Y261" s="259">
        <f t="shared" si="65"/>
        <v>3.0389040791683437E-2</v>
      </c>
      <c r="Z261" s="110">
        <f t="shared" si="71"/>
        <v>-1.3332740107967145E-2</v>
      </c>
      <c r="AA261" s="110">
        <f t="shared" si="64"/>
        <v>0.30391305936740548</v>
      </c>
      <c r="AB261" s="110">
        <f t="shared" si="70"/>
        <v>0.30391305936740548</v>
      </c>
      <c r="AD261" s="110">
        <f t="shared" si="55"/>
        <v>-1.5898815784082032E-2</v>
      </c>
    </row>
    <row r="262" spans="1:30" x14ac:dyDescent="0.25">
      <c r="A262" s="390">
        <v>44153</v>
      </c>
      <c r="B262" s="190">
        <v>10332</v>
      </c>
      <c r="C262" s="24">
        <f t="shared" si="59"/>
        <v>9425.8571428571431</v>
      </c>
      <c r="D262" s="190">
        <f t="shared" si="67"/>
        <v>1339337</v>
      </c>
      <c r="E262" s="190">
        <v>240</v>
      </c>
      <c r="F262" s="24">
        <f t="shared" si="60"/>
        <v>259</v>
      </c>
      <c r="G262" s="190">
        <f t="shared" si="66"/>
        <v>36314</v>
      </c>
      <c r="H262" s="190">
        <f t="shared" si="72"/>
        <v>7641</v>
      </c>
      <c r="I262" s="219">
        <v>1156474</v>
      </c>
      <c r="J262" s="190">
        <v>4267</v>
      </c>
      <c r="K262" s="24">
        <f t="shared" si="69"/>
        <v>4351</v>
      </c>
      <c r="L262" s="190">
        <v>34573</v>
      </c>
      <c r="M262" s="24">
        <f t="shared" si="69"/>
        <v>28144</v>
      </c>
      <c r="N262" s="4">
        <f t="shared" si="61"/>
        <v>3501999</v>
      </c>
      <c r="O262" s="7">
        <v>3346</v>
      </c>
      <c r="P262" s="7">
        <v>1734731</v>
      </c>
      <c r="Q262" s="155">
        <f t="shared" si="62"/>
        <v>1738077</v>
      </c>
      <c r="R262" s="4">
        <v>9766</v>
      </c>
      <c r="S262" s="4">
        <v>264014</v>
      </c>
      <c r="T262" s="4">
        <v>943339</v>
      </c>
      <c r="U262" s="155">
        <f t="shared" si="63"/>
        <v>122218</v>
      </c>
      <c r="V262" s="156">
        <f t="shared" si="54"/>
        <v>146549</v>
      </c>
      <c r="W262" s="57">
        <f t="shared" si="68"/>
        <v>-112</v>
      </c>
      <c r="X262" s="4"/>
      <c r="Y262" s="259">
        <f t="shared" si="65"/>
        <v>2.9116541225119242E-2</v>
      </c>
      <c r="Z262" s="110">
        <f t="shared" si="71"/>
        <v>-2.2373353484168357E-2</v>
      </c>
      <c r="AA262" s="110">
        <f t="shared" si="64"/>
        <v>0.33491533338747664</v>
      </c>
      <c r="AB262" s="110">
        <f t="shared" si="70"/>
        <v>0.33491533338747664</v>
      </c>
      <c r="AD262" s="110">
        <f t="shared" si="55"/>
        <v>-1.8596895383255374E-2</v>
      </c>
    </row>
    <row r="263" spans="1:30" x14ac:dyDescent="0.25">
      <c r="A263" s="390">
        <v>44154</v>
      </c>
      <c r="B263" s="190">
        <v>10097</v>
      </c>
      <c r="C263" s="24">
        <f t="shared" si="59"/>
        <v>9273.5714285714294</v>
      </c>
      <c r="D263" s="190">
        <f t="shared" si="67"/>
        <v>1349434</v>
      </c>
      <c r="E263" s="190">
        <v>184</v>
      </c>
      <c r="F263" s="24">
        <f t="shared" si="60"/>
        <v>249.71428571428572</v>
      </c>
      <c r="G263" s="190">
        <f t="shared" si="66"/>
        <v>36498</v>
      </c>
      <c r="H263" s="190">
        <f t="shared" si="72"/>
        <v>11040</v>
      </c>
      <c r="I263" s="219">
        <v>1167514</v>
      </c>
      <c r="J263" s="190">
        <v>4292</v>
      </c>
      <c r="K263" s="24">
        <f t="shared" si="69"/>
        <v>4336</v>
      </c>
      <c r="L263" s="190">
        <v>48691</v>
      </c>
      <c r="M263" s="24">
        <f t="shared" si="69"/>
        <v>30597</v>
      </c>
      <c r="N263" s="4">
        <f t="shared" si="61"/>
        <v>3550690</v>
      </c>
      <c r="O263" s="7">
        <v>3474</v>
      </c>
      <c r="P263" s="7">
        <v>1767560</v>
      </c>
      <c r="Q263" s="155">
        <f t="shared" si="62"/>
        <v>1771034</v>
      </c>
      <c r="R263" s="4">
        <v>9802</v>
      </c>
      <c r="S263" s="4">
        <v>266642</v>
      </c>
      <c r="T263" s="4">
        <v>951081</v>
      </c>
      <c r="U263" s="155">
        <f t="shared" si="63"/>
        <v>121909</v>
      </c>
      <c r="V263" s="156">
        <f t="shared" si="54"/>
        <v>145422</v>
      </c>
      <c r="W263" s="57">
        <f t="shared" si="68"/>
        <v>25</v>
      </c>
      <c r="X263" s="4"/>
      <c r="Y263" s="259">
        <f t="shared" si="65"/>
        <v>2.9514103780720936E-2</v>
      </c>
      <c r="Z263" s="110">
        <f t="shared" si="71"/>
        <v>-3.9207270143863493E-2</v>
      </c>
      <c r="AA263" s="110">
        <f t="shared" si="64"/>
        <v>0.30308760429360493</v>
      </c>
      <c r="AB263" s="110">
        <f t="shared" si="70"/>
        <v>0.30308760429360487</v>
      </c>
      <c r="AD263" s="110">
        <f t="shared" si="55"/>
        <v>-2.7856326334155579E-2</v>
      </c>
    </row>
    <row r="264" spans="1:30" x14ac:dyDescent="0.25">
      <c r="A264" s="390">
        <v>44155</v>
      </c>
      <c r="B264" s="190">
        <v>9608</v>
      </c>
      <c r="C264" s="24">
        <f t="shared" si="59"/>
        <v>8952</v>
      </c>
      <c r="D264" s="190">
        <f t="shared" si="67"/>
        <v>1359042</v>
      </c>
      <c r="E264" s="190">
        <v>261</v>
      </c>
      <c r="F264" s="24">
        <f t="shared" si="60"/>
        <v>249.28571428571428</v>
      </c>
      <c r="G264" s="190">
        <f t="shared" si="66"/>
        <v>36759</v>
      </c>
      <c r="H264" s="190">
        <f t="shared" si="72"/>
        <v>10305</v>
      </c>
      <c r="I264" s="219">
        <v>1177819</v>
      </c>
      <c r="J264" s="190">
        <v>4187</v>
      </c>
      <c r="K264" s="24">
        <f t="shared" si="69"/>
        <v>4308.2857142857147</v>
      </c>
      <c r="L264" s="190">
        <v>37816</v>
      </c>
      <c r="M264" s="24">
        <f t="shared" si="69"/>
        <v>31465.285714285714</v>
      </c>
      <c r="N264" s="4">
        <f t="shared" si="61"/>
        <v>3588506</v>
      </c>
      <c r="O264" s="7">
        <v>3601</v>
      </c>
      <c r="P264" s="7">
        <v>1789964</v>
      </c>
      <c r="Q264" s="155">
        <f t="shared" si="62"/>
        <v>1793565</v>
      </c>
      <c r="R264" s="4">
        <v>9840</v>
      </c>
      <c r="S264" s="4">
        <v>268940</v>
      </c>
      <c r="T264" s="4">
        <v>957937</v>
      </c>
      <c r="U264" s="155">
        <f t="shared" si="63"/>
        <v>122325</v>
      </c>
      <c r="V264" s="156">
        <f t="shared" si="54"/>
        <v>144464</v>
      </c>
      <c r="W264" s="57">
        <f t="shared" si="68"/>
        <v>-105</v>
      </c>
      <c r="X264" s="4"/>
      <c r="Y264" s="259">
        <f t="shared" si="65"/>
        <v>2.8982999224720345E-2</v>
      </c>
      <c r="Z264" s="110">
        <f t="shared" si="71"/>
        <v>-7.8402823737039551E-2</v>
      </c>
      <c r="AA264" s="110">
        <f t="shared" si="64"/>
        <v>0.28450401122325286</v>
      </c>
      <c r="AB264" s="110">
        <f t="shared" si="70"/>
        <v>0.28450401122325286</v>
      </c>
      <c r="AD264" s="110">
        <f t="shared" si="55"/>
        <v>-4.2568279573455658E-2</v>
      </c>
    </row>
    <row r="265" spans="1:30" x14ac:dyDescent="0.25">
      <c r="A265" s="165">
        <v>44156</v>
      </c>
      <c r="B265" s="190">
        <v>7140</v>
      </c>
      <c r="C265" s="24">
        <f t="shared" si="59"/>
        <v>8762.2857142857138</v>
      </c>
      <c r="D265" s="190">
        <f t="shared" si="67"/>
        <v>1366182</v>
      </c>
      <c r="E265" s="190">
        <v>112</v>
      </c>
      <c r="F265" s="24">
        <f t="shared" si="60"/>
        <v>227.85714285714286</v>
      </c>
      <c r="G265" s="190">
        <f t="shared" si="66"/>
        <v>36871</v>
      </c>
      <c r="H265" s="190">
        <f t="shared" si="72"/>
        <v>9234</v>
      </c>
      <c r="I265" s="219">
        <v>1187053</v>
      </c>
      <c r="J265" s="190">
        <v>4132</v>
      </c>
      <c r="K265" s="24">
        <f t="shared" si="69"/>
        <v>4277.7142857142853</v>
      </c>
      <c r="L265" s="190">
        <v>39055</v>
      </c>
      <c r="M265" s="24">
        <f t="shared" si="69"/>
        <v>33428.285714285717</v>
      </c>
      <c r="N265" s="4">
        <f t="shared" si="61"/>
        <v>3627561</v>
      </c>
      <c r="O265" s="7">
        <v>3625</v>
      </c>
      <c r="P265" s="7">
        <v>1815364</v>
      </c>
      <c r="Q265" s="155">
        <f t="shared" si="62"/>
        <v>1818989</v>
      </c>
      <c r="R265" s="4">
        <v>9862</v>
      </c>
      <c r="S265" s="4">
        <v>270149</v>
      </c>
      <c r="T265" s="4">
        <v>962192</v>
      </c>
      <c r="U265" s="155">
        <f t="shared" si="63"/>
        <v>123979</v>
      </c>
      <c r="V265" s="156">
        <f t="shared" si="54"/>
        <v>142258</v>
      </c>
      <c r="W265" s="57">
        <f t="shared" si="68"/>
        <v>-55</v>
      </c>
      <c r="X265" s="4"/>
      <c r="Y265" s="259">
        <f t="shared" si="65"/>
        <v>2.904581816136878E-2</v>
      </c>
      <c r="Z265" s="110">
        <f t="shared" si="71"/>
        <v>-0.10208025296813006</v>
      </c>
      <c r="AA265" s="110">
        <f t="shared" si="64"/>
        <v>0.26212189847776474</v>
      </c>
      <c r="AB265" s="110">
        <f t="shared" si="70"/>
        <v>0.26212189847776479</v>
      </c>
      <c r="AD265" s="110">
        <f t="shared" si="55"/>
        <v>-5.2901387446406267E-2</v>
      </c>
    </row>
    <row r="266" spans="1:30" x14ac:dyDescent="0.25">
      <c r="A266" s="165">
        <v>44157</v>
      </c>
      <c r="B266" s="190">
        <v>4184</v>
      </c>
      <c r="C266" s="24">
        <f t="shared" si="59"/>
        <v>8553.5714285714294</v>
      </c>
      <c r="D266" s="190">
        <f t="shared" si="67"/>
        <v>1370366</v>
      </c>
      <c r="E266" s="190">
        <v>100</v>
      </c>
      <c r="F266" s="24">
        <f t="shared" si="60"/>
        <v>223.85714285714286</v>
      </c>
      <c r="G266" s="190">
        <f t="shared" si="66"/>
        <v>36971</v>
      </c>
      <c r="H266" s="190">
        <f t="shared" si="72"/>
        <v>8439</v>
      </c>
      <c r="I266" s="219">
        <v>1195492</v>
      </c>
      <c r="J266" s="190">
        <v>4245</v>
      </c>
      <c r="K266" s="24">
        <f t="shared" si="69"/>
        <v>4260.5714285714284</v>
      </c>
      <c r="L266" s="190">
        <v>15740</v>
      </c>
      <c r="M266" s="24">
        <f t="shared" si="69"/>
        <v>33145.714285714283</v>
      </c>
      <c r="N266" s="4">
        <f t="shared" si="61"/>
        <v>3643301</v>
      </c>
      <c r="O266" s="7">
        <v>3691</v>
      </c>
      <c r="P266" s="7">
        <v>1823849</v>
      </c>
      <c r="Q266" s="155">
        <f t="shared" si="62"/>
        <v>1827540</v>
      </c>
      <c r="R266" s="4">
        <v>9876</v>
      </c>
      <c r="S266" s="4">
        <v>270893</v>
      </c>
      <c r="T266" s="4">
        <v>965274</v>
      </c>
      <c r="U266" s="155">
        <f t="shared" si="63"/>
        <v>124323</v>
      </c>
      <c r="V266" s="156">
        <f t="shared" si="54"/>
        <v>137903</v>
      </c>
      <c r="W266" s="57">
        <f t="shared" si="68"/>
        <v>113</v>
      </c>
      <c r="X266" s="4"/>
      <c r="Y266" s="259">
        <f t="shared" si="65"/>
        <v>3.0782506544455159E-2</v>
      </c>
      <c r="Z266" s="110">
        <f t="shared" si="71"/>
        <v>-0.11799366575826764</v>
      </c>
      <c r="AA266" s="110">
        <f t="shared" si="64"/>
        <v>0.25805965003016984</v>
      </c>
      <c r="AB266" s="110">
        <f t="shared" si="70"/>
        <v>0.25805965003016984</v>
      </c>
      <c r="AD266" s="110">
        <f t="shared" si="55"/>
        <v>-5.5361852245093712E-2</v>
      </c>
    </row>
    <row r="267" spans="1:30" x14ac:dyDescent="0.25">
      <c r="A267" s="390">
        <v>44158</v>
      </c>
      <c r="B267" s="190">
        <v>4265</v>
      </c>
      <c r="C267" s="24">
        <f t="shared" si="59"/>
        <v>8035.2857142857147</v>
      </c>
      <c r="D267" s="190">
        <f t="shared" si="67"/>
        <v>1374631</v>
      </c>
      <c r="E267" s="190">
        <v>119</v>
      </c>
      <c r="F267" s="24">
        <f t="shared" si="60"/>
        <v>199.14285714285714</v>
      </c>
      <c r="G267" s="190">
        <f t="shared" si="66"/>
        <v>37090</v>
      </c>
      <c r="H267" s="190">
        <f t="shared" si="72"/>
        <v>8308</v>
      </c>
      <c r="I267" s="219">
        <v>1203800</v>
      </c>
      <c r="J267" s="190">
        <v>4165</v>
      </c>
      <c r="K267" s="24">
        <f t="shared" si="69"/>
        <v>4238.1428571428569</v>
      </c>
      <c r="L267" s="190">
        <v>13149</v>
      </c>
      <c r="M267" s="24">
        <f t="shared" si="69"/>
        <v>31942.428571428572</v>
      </c>
      <c r="N267" s="4">
        <f t="shared" si="61"/>
        <v>3656450</v>
      </c>
      <c r="O267" s="7">
        <v>3798</v>
      </c>
      <c r="P267" s="7">
        <v>1830584</v>
      </c>
      <c r="Q267" s="155">
        <f t="shared" si="62"/>
        <v>1834382</v>
      </c>
      <c r="R267" s="4">
        <v>9894</v>
      </c>
      <c r="S267" s="4">
        <v>272054</v>
      </c>
      <c r="T267" s="4">
        <v>972396</v>
      </c>
      <c r="U267" s="155">
        <f t="shared" si="63"/>
        <v>120287</v>
      </c>
      <c r="V267" s="156">
        <f t="shared" si="54"/>
        <v>133741</v>
      </c>
      <c r="W267" s="57">
        <f t="shared" si="68"/>
        <v>-80</v>
      </c>
      <c r="X267" s="4"/>
      <c r="Y267" s="259">
        <f t="shared" si="65"/>
        <v>3.1142282471343867E-2</v>
      </c>
      <c r="Z267" s="110">
        <f t="shared" si="71"/>
        <v>-0.15454914398232344</v>
      </c>
      <c r="AA267" s="110">
        <f t="shared" si="64"/>
        <v>0.25155525342468815</v>
      </c>
      <c r="AB267" s="110">
        <f t="shared" si="70"/>
        <v>0.25155525342468815</v>
      </c>
      <c r="AD267" s="110">
        <f t="shared" si="55"/>
        <v>-6.1413974117845216E-2</v>
      </c>
    </row>
    <row r="268" spans="1:30" x14ac:dyDescent="0.25">
      <c r="A268" s="390">
        <v>44159</v>
      </c>
      <c r="B268" s="190">
        <v>7164</v>
      </c>
      <c r="C268" s="24">
        <f t="shared" si="59"/>
        <v>7541.4285714285716</v>
      </c>
      <c r="D268" s="190">
        <f t="shared" si="67"/>
        <v>1381795</v>
      </c>
      <c r="E268" s="190">
        <v>311</v>
      </c>
      <c r="F268" s="24">
        <f t="shared" si="60"/>
        <v>189.57142857142858</v>
      </c>
      <c r="G268" s="190">
        <f t="shared" si="66"/>
        <v>37401</v>
      </c>
      <c r="H268" s="190">
        <f t="shared" si="72"/>
        <v>6834</v>
      </c>
      <c r="I268" s="219">
        <v>1210634</v>
      </c>
      <c r="J268" s="190">
        <v>4148</v>
      </c>
      <c r="K268" s="24">
        <f t="shared" si="69"/>
        <v>4205.1428571428569</v>
      </c>
      <c r="L268" s="190">
        <v>22043</v>
      </c>
      <c r="M268" s="24">
        <f t="shared" si="69"/>
        <v>30152.428571428572</v>
      </c>
      <c r="N268" s="4">
        <f t="shared" si="61"/>
        <v>3678493</v>
      </c>
      <c r="O268" s="8">
        <v>3828</v>
      </c>
      <c r="P268" s="8">
        <v>1842058</v>
      </c>
      <c r="Q268" s="155">
        <f t="shared" si="62"/>
        <v>1845886</v>
      </c>
      <c r="R268" s="4">
        <v>9912</v>
      </c>
      <c r="S268" s="4">
        <v>273939</v>
      </c>
      <c r="T268" s="4">
        <v>979797</v>
      </c>
      <c r="U268" s="155">
        <f t="shared" si="63"/>
        <v>118147</v>
      </c>
      <c r="V268" s="156">
        <f t="shared" si="54"/>
        <v>133760</v>
      </c>
      <c r="W268" s="57">
        <f t="shared" si="68"/>
        <v>-17</v>
      </c>
      <c r="X268" s="4"/>
      <c r="Y268" s="259">
        <f t="shared" si="65"/>
        <v>3.1010765550239235E-2</v>
      </c>
      <c r="Z268" s="110">
        <f t="shared" si="71"/>
        <v>-0.19992118943332171</v>
      </c>
      <c r="AA268" s="110">
        <f t="shared" si="64"/>
        <v>0.25011015459546021</v>
      </c>
      <c r="AB268" s="110">
        <f t="shared" si="70"/>
        <v>0.25011015459546021</v>
      </c>
      <c r="AD268" s="110">
        <f t="shared" si="55"/>
        <v>-7.1742841677191915E-2</v>
      </c>
    </row>
    <row r="269" spans="1:30" x14ac:dyDescent="0.25">
      <c r="A269" s="390">
        <v>44160</v>
      </c>
      <c r="B269" s="190">
        <v>8593</v>
      </c>
      <c r="C269" s="24">
        <f t="shared" si="59"/>
        <v>7293</v>
      </c>
      <c r="D269" s="190">
        <f t="shared" si="67"/>
        <v>1390388</v>
      </c>
      <c r="E269" s="190">
        <v>280</v>
      </c>
      <c r="F269" s="24">
        <f t="shared" si="60"/>
        <v>195.28571428571428</v>
      </c>
      <c r="G269" s="190">
        <f t="shared" si="66"/>
        <v>37681</v>
      </c>
      <c r="H269" s="190">
        <f t="shared" si="72"/>
        <v>6650</v>
      </c>
      <c r="I269" s="219">
        <v>1217284</v>
      </c>
      <c r="J269" s="190">
        <v>4039</v>
      </c>
      <c r="K269" s="24">
        <f t="shared" si="69"/>
        <v>4172.5714285714284</v>
      </c>
      <c r="L269" s="190">
        <v>29437</v>
      </c>
      <c r="M269" s="24">
        <f t="shared" si="69"/>
        <v>29418.714285714286</v>
      </c>
      <c r="N269" s="4">
        <f t="shared" si="61"/>
        <v>3707930</v>
      </c>
      <c r="O269" s="8">
        <v>3872</v>
      </c>
      <c r="P269" s="8">
        <v>1855809</v>
      </c>
      <c r="Q269" s="155">
        <f t="shared" si="62"/>
        <v>1859681</v>
      </c>
      <c r="R269" s="4">
        <v>9949</v>
      </c>
      <c r="S269" s="4">
        <v>275968</v>
      </c>
      <c r="T269" s="4">
        <v>986401</v>
      </c>
      <c r="U269" s="155">
        <f t="shared" si="63"/>
        <v>118070</v>
      </c>
      <c r="V269" s="156">
        <f t="shared" si="54"/>
        <v>135423</v>
      </c>
      <c r="W269" s="57">
        <f t="shared" si="68"/>
        <v>-109</v>
      </c>
      <c r="X269" s="4"/>
      <c r="Y269" s="259">
        <f t="shared" si="65"/>
        <v>2.9825066643037003E-2</v>
      </c>
      <c r="Z269" s="110">
        <f t="shared" si="71"/>
        <v>-0.21357159362242939</v>
      </c>
      <c r="AA269" s="110">
        <f t="shared" si="64"/>
        <v>0.24790342396239518</v>
      </c>
      <c r="AB269" s="110">
        <f t="shared" si="70"/>
        <v>0.24790342396239518</v>
      </c>
      <c r="AD269" s="110">
        <f t="shared" si="55"/>
        <v>-7.5919999454107545E-2</v>
      </c>
    </row>
    <row r="270" spans="1:30" x14ac:dyDescent="0.25">
      <c r="A270" s="390">
        <v>44161</v>
      </c>
      <c r="B270" s="190">
        <v>9043</v>
      </c>
      <c r="C270" s="24">
        <f t="shared" si="59"/>
        <v>7142.4285714285716</v>
      </c>
      <c r="D270" s="190">
        <f t="shared" si="67"/>
        <v>1399431</v>
      </c>
      <c r="E270" s="190">
        <v>229</v>
      </c>
      <c r="F270" s="24">
        <f t="shared" si="60"/>
        <v>201.71428571428572</v>
      </c>
      <c r="G270" s="190">
        <f t="shared" si="66"/>
        <v>37910</v>
      </c>
      <c r="H270" s="190">
        <f t="shared" si="72"/>
        <v>9378</v>
      </c>
      <c r="I270" s="219">
        <v>1226662</v>
      </c>
      <c r="J270" s="190">
        <v>3960</v>
      </c>
      <c r="K270" s="24">
        <f t="shared" si="69"/>
        <v>4125.1428571428569</v>
      </c>
      <c r="L270" s="190">
        <v>32781</v>
      </c>
      <c r="M270" s="24">
        <f t="shared" si="69"/>
        <v>27145.857142857141</v>
      </c>
      <c r="N270" s="4">
        <f t="shared" si="61"/>
        <v>3740711</v>
      </c>
      <c r="O270" s="8">
        <v>3941</v>
      </c>
      <c r="P270" s="8">
        <v>1871509</v>
      </c>
      <c r="Q270" s="155">
        <f t="shared" si="62"/>
        <v>1875450</v>
      </c>
      <c r="R270" s="4">
        <v>9979</v>
      </c>
      <c r="S270" s="4">
        <v>278371</v>
      </c>
      <c r="T270" s="4">
        <v>992925</v>
      </c>
      <c r="U270" s="155">
        <f t="shared" si="63"/>
        <v>118156</v>
      </c>
      <c r="V270" s="156">
        <f t="shared" si="54"/>
        <v>134859</v>
      </c>
      <c r="W270" s="57">
        <f t="shared" si="68"/>
        <v>-79</v>
      </c>
      <c r="X270" s="4"/>
      <c r="Y270" s="259">
        <f t="shared" si="65"/>
        <v>2.9364002402509286E-2</v>
      </c>
      <c r="Z270" s="110">
        <f t="shared" si="71"/>
        <v>-0.20214158049278697</v>
      </c>
      <c r="AA270" s="110">
        <f t="shared" si="64"/>
        <v>0.26311302434994027</v>
      </c>
      <c r="AB270" s="110">
        <f t="shared" si="70"/>
        <v>0.26311302434994027</v>
      </c>
      <c r="AD270" s="110">
        <f t="shared" si="55"/>
        <v>-7.2636877501340957E-2</v>
      </c>
    </row>
    <row r="271" spans="1:30" x14ac:dyDescent="0.25">
      <c r="A271" s="390">
        <v>44162</v>
      </c>
      <c r="B271" s="190">
        <v>7846</v>
      </c>
      <c r="C271" s="24">
        <f t="shared" si="59"/>
        <v>6890.7142857142853</v>
      </c>
      <c r="D271" s="190">
        <f t="shared" si="67"/>
        <v>1407277</v>
      </c>
      <c r="E271" s="190">
        <v>275</v>
      </c>
      <c r="F271" s="24">
        <f t="shared" si="60"/>
        <v>203.71428571428572</v>
      </c>
      <c r="G271" s="190">
        <f t="shared" si="66"/>
        <v>38185</v>
      </c>
      <c r="H271" s="190">
        <f t="shared" si="72"/>
        <v>8595</v>
      </c>
      <c r="I271" s="219">
        <v>1235257</v>
      </c>
      <c r="J271" s="190">
        <v>4120</v>
      </c>
      <c r="K271" s="24">
        <f t="shared" si="69"/>
        <v>4115.5714285714284</v>
      </c>
      <c r="L271" s="190">
        <v>55323</v>
      </c>
      <c r="M271" s="24">
        <f t="shared" si="69"/>
        <v>29646.857142857141</v>
      </c>
      <c r="N271" s="4">
        <f t="shared" si="61"/>
        <v>3796034</v>
      </c>
      <c r="O271" s="7">
        <v>4020</v>
      </c>
      <c r="P271" s="8">
        <v>1912056</v>
      </c>
      <c r="Q271" s="155">
        <f t="shared" si="62"/>
        <v>1916076</v>
      </c>
      <c r="R271" s="4">
        <v>10016</v>
      </c>
      <c r="S271" s="4">
        <v>280344</v>
      </c>
      <c r="T271" s="4">
        <v>999456</v>
      </c>
      <c r="U271" s="155">
        <f t="shared" si="63"/>
        <v>117461</v>
      </c>
      <c r="V271" s="156">
        <f t="shared" si="54"/>
        <v>133835</v>
      </c>
      <c r="W271" s="57">
        <f t="shared" si="68"/>
        <v>160</v>
      </c>
      <c r="X271" s="4"/>
      <c r="Y271" s="259">
        <f t="shared" si="65"/>
        <v>3.0784174543280907E-2</v>
      </c>
      <c r="Z271" s="110">
        <f t="shared" si="71"/>
        <v>-0.21359397417503589</v>
      </c>
      <c r="AA271" s="110">
        <f t="shared" si="64"/>
        <v>0.23242646775374889</v>
      </c>
      <c r="AB271" s="110">
        <f t="shared" si="70"/>
        <v>0.23242646775374889</v>
      </c>
      <c r="AD271" s="110">
        <f t="shared" si="55"/>
        <v>-7.3575423634954062E-2</v>
      </c>
    </row>
    <row r="272" spans="1:30" x14ac:dyDescent="0.25">
      <c r="A272" s="165">
        <v>44163</v>
      </c>
      <c r="B272" s="190">
        <v>6098</v>
      </c>
      <c r="C272" s="24">
        <f t="shared" si="59"/>
        <v>6741.8571428571431</v>
      </c>
      <c r="D272" s="190">
        <f t="shared" si="67"/>
        <v>1413375</v>
      </c>
      <c r="E272" s="190">
        <v>106</v>
      </c>
      <c r="F272" s="24">
        <f t="shared" si="60"/>
        <v>202.85714285714286</v>
      </c>
      <c r="G272" s="190">
        <f t="shared" si="66"/>
        <v>38291</v>
      </c>
      <c r="H272" s="190">
        <f t="shared" si="72"/>
        <v>7620</v>
      </c>
      <c r="I272" s="219">
        <v>1242877</v>
      </c>
      <c r="J272" s="190">
        <v>4021</v>
      </c>
      <c r="K272" s="24">
        <f t="shared" si="69"/>
        <v>4099.7142857142853</v>
      </c>
      <c r="L272" s="190">
        <v>25472</v>
      </c>
      <c r="M272" s="24">
        <f t="shared" si="69"/>
        <v>27706.428571428572</v>
      </c>
      <c r="N272" s="4">
        <f t="shared" si="61"/>
        <v>3821506</v>
      </c>
      <c r="O272" s="7">
        <v>4105</v>
      </c>
      <c r="P272" s="8">
        <v>1926130</v>
      </c>
      <c r="Q272" s="155">
        <f t="shared" si="62"/>
        <v>1930235</v>
      </c>
      <c r="R272" s="4">
        <v>10046</v>
      </c>
      <c r="S272" s="4">
        <v>281257</v>
      </c>
      <c r="T272" s="4">
        <v>1003512</v>
      </c>
      <c r="U272" s="155">
        <f t="shared" si="63"/>
        <v>118560</v>
      </c>
      <c r="V272" s="156">
        <f t="shared" si="54"/>
        <v>132207</v>
      </c>
      <c r="W272" s="57">
        <f t="shared" si="68"/>
        <v>-99</v>
      </c>
      <c r="X272" s="4"/>
      <c r="Y272" s="259">
        <f t="shared" si="65"/>
        <v>3.0414425862473244E-2</v>
      </c>
      <c r="Z272" s="110">
        <f t="shared" si="71"/>
        <v>-0.21180793319415459</v>
      </c>
      <c r="AA272" s="110">
        <f t="shared" si="64"/>
        <v>0.24333187243806234</v>
      </c>
      <c r="AB272" s="110">
        <f t="shared" si="70"/>
        <v>0.24333187243806234</v>
      </c>
      <c r="AD272" s="110">
        <f t="shared" si="55"/>
        <v>-7.0653320024181454E-2</v>
      </c>
    </row>
    <row r="273" spans="1:30" x14ac:dyDescent="0.25">
      <c r="A273" s="165">
        <v>44164</v>
      </c>
      <c r="B273" s="190">
        <v>5432</v>
      </c>
      <c r="C273" s="24">
        <f t="shared" si="59"/>
        <v>6920.1428571428569</v>
      </c>
      <c r="D273" s="190">
        <f t="shared" si="67"/>
        <v>1418807</v>
      </c>
      <c r="E273" s="190">
        <v>151</v>
      </c>
      <c r="F273" s="24">
        <f t="shared" si="60"/>
        <v>210.14285714285714</v>
      </c>
      <c r="G273" s="190">
        <f t="shared" si="66"/>
        <v>38442</v>
      </c>
      <c r="H273" s="190">
        <f t="shared" si="72"/>
        <v>6966</v>
      </c>
      <c r="I273" s="219">
        <v>1249843</v>
      </c>
      <c r="J273" s="190">
        <v>4013</v>
      </c>
      <c r="K273" s="24">
        <f t="shared" si="69"/>
        <v>4066.5714285714284</v>
      </c>
      <c r="L273" s="190">
        <v>17338</v>
      </c>
      <c r="M273" s="24">
        <f t="shared" si="69"/>
        <v>27934.714285714286</v>
      </c>
      <c r="N273" s="4">
        <f t="shared" si="61"/>
        <v>3838844</v>
      </c>
      <c r="O273" s="7">
        <v>4139</v>
      </c>
      <c r="P273" s="7">
        <v>1935553</v>
      </c>
      <c r="Q273" s="155">
        <f t="shared" si="62"/>
        <v>1939692</v>
      </c>
      <c r="R273" s="4">
        <v>10067</v>
      </c>
      <c r="S273" s="4">
        <v>281995</v>
      </c>
      <c r="T273" s="4">
        <v>1006055</v>
      </c>
      <c r="U273" s="155">
        <f t="shared" si="63"/>
        <v>120690</v>
      </c>
      <c r="V273" s="156">
        <f t="shared" si="54"/>
        <v>130522</v>
      </c>
      <c r="W273" s="57">
        <f t="shared" si="68"/>
        <v>-8</v>
      </c>
      <c r="X273" s="4"/>
      <c r="Y273" s="259">
        <f t="shared" si="65"/>
        <v>3.074577465867823E-2</v>
      </c>
      <c r="Z273" s="110">
        <f t="shared" si="71"/>
        <v>-0.13878073497253196</v>
      </c>
      <c r="AA273" s="110">
        <f t="shared" si="64"/>
        <v>0.24772556419815589</v>
      </c>
      <c r="AB273" s="110">
        <f t="shared" si="70"/>
        <v>0.24772556419815592</v>
      </c>
      <c r="AD273" s="110">
        <f t="shared" si="55"/>
        <v>-5.3523128575883039E-2</v>
      </c>
    </row>
    <row r="274" spans="1:30" x14ac:dyDescent="0.25">
      <c r="A274" s="390">
        <v>44165</v>
      </c>
      <c r="B274" s="190">
        <v>5726</v>
      </c>
      <c r="C274" s="24">
        <f t="shared" si="59"/>
        <v>7128.8571428571431</v>
      </c>
      <c r="D274" s="190">
        <f t="shared" si="67"/>
        <v>1424533</v>
      </c>
      <c r="E274" s="190">
        <v>257</v>
      </c>
      <c r="F274" s="24">
        <f t="shared" si="60"/>
        <v>229.85714285714286</v>
      </c>
      <c r="G274" s="190">
        <f t="shared" si="66"/>
        <v>38699</v>
      </c>
      <c r="H274" s="190">
        <f t="shared" si="72"/>
        <v>7384</v>
      </c>
      <c r="I274" s="219">
        <v>1257227</v>
      </c>
      <c r="J274" s="190">
        <v>4062</v>
      </c>
      <c r="K274" s="24">
        <f t="shared" si="69"/>
        <v>4051.8571428571427</v>
      </c>
      <c r="L274" s="190">
        <v>19291</v>
      </c>
      <c r="M274" s="24">
        <f t="shared" si="69"/>
        <v>28812.142857142859</v>
      </c>
      <c r="N274" s="4">
        <f t="shared" si="61"/>
        <v>3858135</v>
      </c>
      <c r="O274" s="7">
        <v>4209</v>
      </c>
      <c r="P274" s="7">
        <v>1945524</v>
      </c>
      <c r="Q274" s="155">
        <f t="shared" si="62"/>
        <v>1949733</v>
      </c>
      <c r="R274" s="4">
        <v>10089</v>
      </c>
      <c r="S274" s="4">
        <v>283567</v>
      </c>
      <c r="T274" s="4">
        <v>1009382</v>
      </c>
      <c r="U274" s="155">
        <f t="shared" si="63"/>
        <v>121495</v>
      </c>
      <c r="V274" s="156">
        <f t="shared" si="54"/>
        <v>128607</v>
      </c>
      <c r="W274" s="57">
        <f t="shared" si="68"/>
        <v>49</v>
      </c>
      <c r="X274" s="4"/>
      <c r="Y274" s="259">
        <f t="shared" si="65"/>
        <v>3.158459492873638E-2</v>
      </c>
      <c r="Z274" s="110">
        <f t="shared" si="71"/>
        <v>-5.470733093388902E-2</v>
      </c>
      <c r="AA274" s="110">
        <f t="shared" si="64"/>
        <v>0.24742544066241912</v>
      </c>
      <c r="AB274" s="110">
        <f t="shared" si="70"/>
        <v>0.24742544066241912</v>
      </c>
      <c r="AD274" s="110">
        <f t="shared" si="55"/>
        <v>-3.8387629821819758E-2</v>
      </c>
    </row>
    <row r="275" spans="1:30" x14ac:dyDescent="0.25">
      <c r="A275" s="390">
        <v>44166</v>
      </c>
      <c r="B275" s="190">
        <v>8037</v>
      </c>
      <c r="C275" s="24">
        <f t="shared" si="59"/>
        <v>7253.5714285714284</v>
      </c>
      <c r="D275" s="190">
        <f t="shared" si="67"/>
        <v>1432570</v>
      </c>
      <c r="E275" s="190">
        <v>198</v>
      </c>
      <c r="F275" s="24">
        <f t="shared" si="60"/>
        <v>213.71428571428572</v>
      </c>
      <c r="G275" s="190">
        <f t="shared" si="66"/>
        <v>38897</v>
      </c>
      <c r="H275" s="190">
        <f t="shared" si="72"/>
        <v>6024</v>
      </c>
      <c r="I275" s="219">
        <v>1263251</v>
      </c>
      <c r="J275" s="190">
        <v>3946</v>
      </c>
      <c r="K275" s="24">
        <f t="shared" si="69"/>
        <v>4023</v>
      </c>
      <c r="L275" s="190">
        <v>33764</v>
      </c>
      <c r="M275" s="24">
        <f t="shared" si="69"/>
        <v>30486.571428571428</v>
      </c>
      <c r="N275" s="4">
        <f t="shared" si="61"/>
        <v>3891899</v>
      </c>
      <c r="O275" s="7">
        <v>4328</v>
      </c>
      <c r="P275" s="7">
        <v>1964346</v>
      </c>
      <c r="Q275" s="155">
        <f t="shared" si="62"/>
        <v>1968674</v>
      </c>
      <c r="R275" s="4">
        <v>10120</v>
      </c>
      <c r="S275" s="4">
        <v>285518</v>
      </c>
      <c r="T275" s="4">
        <v>1015923</v>
      </c>
      <c r="U275" s="155">
        <f t="shared" si="63"/>
        <v>121009</v>
      </c>
      <c r="V275" s="156">
        <f t="shared" si="54"/>
        <v>130422</v>
      </c>
      <c r="W275" s="57">
        <f t="shared" si="68"/>
        <v>-116</v>
      </c>
      <c r="X275" s="4"/>
      <c r="Y275" s="259">
        <f t="shared" si="65"/>
        <v>3.0255631718575086E-2</v>
      </c>
      <c r="Z275" s="110">
        <f t="shared" si="71"/>
        <v>-5.4063583475348898E-3</v>
      </c>
      <c r="AA275" s="110">
        <f t="shared" si="64"/>
        <v>0.23792676869441348</v>
      </c>
      <c r="AB275" s="110">
        <f t="shared" si="70"/>
        <v>0.23792676869441345</v>
      </c>
      <c r="AD275" s="110">
        <f t="shared" si="55"/>
        <v>-2.4955143540669855E-2</v>
      </c>
    </row>
    <row r="276" spans="1:30" x14ac:dyDescent="0.25">
      <c r="A276" s="390">
        <v>44167</v>
      </c>
      <c r="B276" s="190">
        <v>7533</v>
      </c>
      <c r="C276" s="24">
        <f t="shared" si="59"/>
        <v>7102.1428571428569</v>
      </c>
      <c r="D276" s="190">
        <f t="shared" si="67"/>
        <v>1440103</v>
      </c>
      <c r="E276" s="190">
        <v>228</v>
      </c>
      <c r="F276" s="24">
        <f t="shared" si="60"/>
        <v>206.28571428571428</v>
      </c>
      <c r="G276" s="190">
        <f t="shared" si="66"/>
        <v>39125</v>
      </c>
      <c r="H276" s="190">
        <f t="shared" si="72"/>
        <v>5107</v>
      </c>
      <c r="I276" s="219">
        <v>1268358</v>
      </c>
      <c r="J276" s="190">
        <v>3983</v>
      </c>
      <c r="K276" s="24">
        <f t="shared" si="69"/>
        <v>4015</v>
      </c>
      <c r="L276" s="190">
        <v>49474</v>
      </c>
      <c r="M276" s="24">
        <f t="shared" si="69"/>
        <v>33349</v>
      </c>
      <c r="N276" s="4">
        <f t="shared" si="61"/>
        <v>3941373</v>
      </c>
      <c r="O276" s="7">
        <v>4476</v>
      </c>
      <c r="P276" s="7">
        <v>2000098</v>
      </c>
      <c r="Q276" s="163">
        <f t="shared" si="62"/>
        <v>2004574</v>
      </c>
      <c r="R276" s="4">
        <v>10155</v>
      </c>
      <c r="S276" s="4">
        <v>287233</v>
      </c>
      <c r="T276" s="4">
        <v>1022204</v>
      </c>
      <c r="U276" s="163">
        <f t="shared" si="63"/>
        <v>120511</v>
      </c>
      <c r="V276" s="156">
        <f t="shared" si="54"/>
        <v>132620</v>
      </c>
      <c r="W276" s="1">
        <f t="shared" si="68"/>
        <v>37</v>
      </c>
      <c r="X276" s="4"/>
      <c r="Y276" s="259">
        <f t="shared" si="65"/>
        <v>3.0033177499622983E-2</v>
      </c>
      <c r="Z276" s="110">
        <f t="shared" si="71"/>
        <v>-5.6403384203053131E-3</v>
      </c>
      <c r="AA276" s="110">
        <f t="shared" si="64"/>
        <v>0.21296419254379012</v>
      </c>
      <c r="AB276" s="110">
        <f t="shared" si="70"/>
        <v>0.21296419254379012</v>
      </c>
      <c r="AD276" s="110">
        <f t="shared" si="55"/>
        <v>-2.069810888844581E-2</v>
      </c>
    </row>
    <row r="277" spans="1:30" x14ac:dyDescent="0.25">
      <c r="A277" s="390">
        <v>44168</v>
      </c>
      <c r="B277" s="190">
        <v>7629</v>
      </c>
      <c r="C277" s="24">
        <f t="shared" si="59"/>
        <v>6900.1428571428569</v>
      </c>
      <c r="D277" s="190">
        <f t="shared" si="67"/>
        <v>1447732</v>
      </c>
      <c r="E277" s="190">
        <v>148</v>
      </c>
      <c r="F277" s="24">
        <f t="shared" si="60"/>
        <v>194.71428571428572</v>
      </c>
      <c r="G277" s="190">
        <f t="shared" si="66"/>
        <v>39273</v>
      </c>
      <c r="H277" s="190">
        <f t="shared" si="72"/>
        <v>6317</v>
      </c>
      <c r="I277" s="219">
        <v>1274675</v>
      </c>
      <c r="J277" s="190">
        <v>3916</v>
      </c>
      <c r="K277" s="24">
        <f t="shared" si="69"/>
        <v>4008.7142857142858</v>
      </c>
      <c r="L277" s="190">
        <v>47112</v>
      </c>
      <c r="M277" s="24">
        <f t="shared" si="69"/>
        <v>35396.285714285717</v>
      </c>
      <c r="N277" s="4">
        <f t="shared" si="61"/>
        <v>3988485</v>
      </c>
      <c r="O277" s="7">
        <v>4554</v>
      </c>
      <c r="P277" s="7">
        <v>2033435</v>
      </c>
      <c r="Q277" s="163">
        <f t="shared" si="62"/>
        <v>2037989</v>
      </c>
      <c r="R277" s="4">
        <v>10186</v>
      </c>
      <c r="S277" s="4">
        <v>288999</v>
      </c>
      <c r="T277" s="4">
        <v>1028077</v>
      </c>
      <c r="U277" s="163">
        <f t="shared" si="63"/>
        <v>120470</v>
      </c>
      <c r="V277" s="156">
        <f t="shared" si="54"/>
        <v>133784</v>
      </c>
      <c r="W277" s="1">
        <f t="shared" si="68"/>
        <v>-67</v>
      </c>
      <c r="X277" s="4"/>
      <c r="Y277" s="259">
        <f t="shared" si="65"/>
        <v>2.9271063804341326E-2</v>
      </c>
      <c r="Z277" s="110">
        <f t="shared" si="71"/>
        <v>1.36830102622576E-3</v>
      </c>
      <c r="AA277" s="110">
        <f t="shared" si="64"/>
        <v>0.19493974347590948</v>
      </c>
      <c r="AB277" s="110">
        <f t="shared" si="70"/>
        <v>0.1949397434759095</v>
      </c>
      <c r="AD277" s="110">
        <f t="shared" si="55"/>
        <v>-7.9712885309841663E-3</v>
      </c>
    </row>
    <row r="278" spans="1:30" x14ac:dyDescent="0.25">
      <c r="A278" s="390">
        <v>44169</v>
      </c>
      <c r="B278" s="190">
        <v>6899</v>
      </c>
      <c r="C278" s="24">
        <f t="shared" si="59"/>
        <v>6764.8571428571431</v>
      </c>
      <c r="D278" s="190">
        <f t="shared" si="67"/>
        <v>1454631</v>
      </c>
      <c r="E278" s="208">
        <v>207</v>
      </c>
      <c r="F278" s="24">
        <f t="shared" si="60"/>
        <v>185</v>
      </c>
      <c r="G278" s="190">
        <f t="shared" si="66"/>
        <v>39480</v>
      </c>
      <c r="H278" s="190">
        <f t="shared" si="72"/>
        <v>7280</v>
      </c>
      <c r="I278" s="219">
        <v>1281955</v>
      </c>
      <c r="J278" s="190">
        <v>3929</v>
      </c>
      <c r="K278" s="24">
        <f t="shared" si="69"/>
        <v>3981.4285714285716</v>
      </c>
      <c r="L278" s="190">
        <v>32923</v>
      </c>
      <c r="M278" s="24">
        <f t="shared" si="69"/>
        <v>32196.285714285714</v>
      </c>
      <c r="N278" s="4">
        <f t="shared" si="61"/>
        <v>4021408</v>
      </c>
      <c r="O278" s="7">
        <v>4609</v>
      </c>
      <c r="P278" s="7">
        <v>2054205</v>
      </c>
      <c r="Q278" s="163">
        <f t="shared" si="62"/>
        <v>2058814</v>
      </c>
      <c r="R278" s="4">
        <v>10211</v>
      </c>
      <c r="S278" s="4">
        <v>290538</v>
      </c>
      <c r="T278" s="4">
        <v>1033772</v>
      </c>
      <c r="U278" s="163">
        <f t="shared" si="63"/>
        <v>120110</v>
      </c>
      <c r="V278" s="156">
        <f t="shared" si="54"/>
        <v>133196</v>
      </c>
      <c r="W278" s="1">
        <f t="shared" si="68"/>
        <v>13</v>
      </c>
      <c r="X278" s="13">
        <f t="shared" ref="X278:X341" si="73">(D278-I278-G278)-(D277-G277-I277)</f>
        <v>-588</v>
      </c>
      <c r="Y278" s="259">
        <f t="shared" si="65"/>
        <v>2.9497882819303885E-2</v>
      </c>
      <c r="Z278" s="110">
        <f t="shared" si="71"/>
        <v>3.4115228953446319E-3</v>
      </c>
      <c r="AA278" s="110">
        <f t="shared" si="64"/>
        <v>0.21011296777800456</v>
      </c>
      <c r="AB278" s="110">
        <f t="shared" si="70"/>
        <v>0.21011296777800456</v>
      </c>
      <c r="AD278" s="110">
        <f t="shared" si="55"/>
        <v>-4.774535809018543E-3</v>
      </c>
    </row>
    <row r="279" spans="1:30" x14ac:dyDescent="0.25">
      <c r="A279" s="165">
        <v>44170</v>
      </c>
      <c r="B279" s="190">
        <v>5201</v>
      </c>
      <c r="C279" s="24">
        <f t="shared" si="59"/>
        <v>6636.7142857142853</v>
      </c>
      <c r="D279" s="190">
        <f t="shared" si="67"/>
        <v>1459832</v>
      </c>
      <c r="E279" s="190">
        <v>121</v>
      </c>
      <c r="F279" s="24">
        <f t="shared" si="60"/>
        <v>187.14285714285714</v>
      </c>
      <c r="G279" s="190">
        <f t="shared" si="66"/>
        <v>39601</v>
      </c>
      <c r="H279" s="190">
        <f t="shared" si="72"/>
        <v>6830</v>
      </c>
      <c r="I279" s="219">
        <v>1288785</v>
      </c>
      <c r="J279" s="190">
        <v>3757</v>
      </c>
      <c r="K279" s="24">
        <f t="shared" si="69"/>
        <v>3943.7142857142858</v>
      </c>
      <c r="L279" s="190">
        <v>28567</v>
      </c>
      <c r="M279" s="24">
        <f t="shared" si="69"/>
        <v>32638.428571428572</v>
      </c>
      <c r="N279" s="4">
        <f t="shared" si="61"/>
        <v>4049975</v>
      </c>
      <c r="O279" s="7">
        <v>4687</v>
      </c>
      <c r="P279" s="7">
        <v>2072109</v>
      </c>
      <c r="Q279" s="163">
        <f t="shared" si="62"/>
        <v>2076796</v>
      </c>
      <c r="R279" s="4">
        <v>10228</v>
      </c>
      <c r="S279" s="4">
        <v>291315</v>
      </c>
      <c r="T279" s="4">
        <v>1037782</v>
      </c>
      <c r="U279" s="163">
        <f t="shared" si="63"/>
        <v>120507</v>
      </c>
      <c r="V279" s="156">
        <f t="shared" si="54"/>
        <v>131446</v>
      </c>
      <c r="W279" s="1">
        <f t="shared" si="68"/>
        <v>-172</v>
      </c>
      <c r="X279" s="13">
        <f t="shared" si="73"/>
        <v>-1750</v>
      </c>
      <c r="Y279" s="259">
        <f t="shared" si="65"/>
        <v>2.8582079332958022E-2</v>
      </c>
      <c r="Z279" s="110">
        <f t="shared" si="71"/>
        <v>-4.0957040523523447E-2</v>
      </c>
      <c r="AA279" s="110">
        <f t="shared" si="64"/>
        <v>0.20334049696020026</v>
      </c>
      <c r="AB279" s="110">
        <f t="shared" si="70"/>
        <v>0.20334049696020029</v>
      </c>
      <c r="AD279" s="110">
        <f t="shared" si="55"/>
        <v>-5.7561248647953756E-3</v>
      </c>
    </row>
    <row r="280" spans="1:30" x14ac:dyDescent="0.25">
      <c r="A280" s="165">
        <v>44171</v>
      </c>
      <c r="B280" s="190">
        <v>3278</v>
      </c>
      <c r="C280" s="24">
        <f t="shared" si="59"/>
        <v>6329</v>
      </c>
      <c r="D280" s="190">
        <f t="shared" si="67"/>
        <v>1463110</v>
      </c>
      <c r="E280" s="190">
        <v>138</v>
      </c>
      <c r="F280" s="24">
        <f t="shared" si="60"/>
        <v>185.28571428571428</v>
      </c>
      <c r="G280" s="190">
        <f t="shared" si="66"/>
        <v>39739</v>
      </c>
      <c r="H280" s="190">
        <f t="shared" si="72"/>
        <v>5907</v>
      </c>
      <c r="I280" s="219">
        <v>1294692</v>
      </c>
      <c r="J280" s="190">
        <v>3735</v>
      </c>
      <c r="K280" s="24">
        <f t="shared" si="69"/>
        <v>3904</v>
      </c>
      <c r="L280" s="190">
        <v>16826</v>
      </c>
      <c r="M280" s="24">
        <f t="shared" si="69"/>
        <v>32565.285714285714</v>
      </c>
      <c r="N280" s="4">
        <f t="shared" si="61"/>
        <v>4066801</v>
      </c>
      <c r="O280" s="7">
        <v>4696</v>
      </c>
      <c r="P280" s="7">
        <v>2083087</v>
      </c>
      <c r="Q280" s="163">
        <f t="shared" si="62"/>
        <v>2087783</v>
      </c>
      <c r="R280" s="4">
        <v>10245</v>
      </c>
      <c r="S280" s="4">
        <v>291769</v>
      </c>
      <c r="T280" s="4">
        <v>1041718</v>
      </c>
      <c r="U280" s="163">
        <f t="shared" si="63"/>
        <v>119378</v>
      </c>
      <c r="V280" s="156">
        <f t="shared" si="54"/>
        <v>128679</v>
      </c>
      <c r="W280" s="1">
        <f t="shared" si="68"/>
        <v>-22</v>
      </c>
      <c r="X280" s="13">
        <f t="shared" si="73"/>
        <v>-2767</v>
      </c>
      <c r="Y280" s="259">
        <f t="shared" si="65"/>
        <v>2.9025715151656448E-2</v>
      </c>
      <c r="Z280" s="110">
        <f t="shared" si="71"/>
        <v>-0.11219991182718125</v>
      </c>
      <c r="AA280" s="110">
        <f t="shared" si="64"/>
        <v>0.19434805687037468</v>
      </c>
      <c r="AB280" s="110">
        <f t="shared" si="70"/>
        <v>0.19434805687037468</v>
      </c>
      <c r="AD280" s="110">
        <f t="shared" si="55"/>
        <v>-1.4120224942921533E-2</v>
      </c>
    </row>
    <row r="281" spans="1:30" x14ac:dyDescent="0.25">
      <c r="A281" s="165">
        <v>44172</v>
      </c>
      <c r="B281" s="190">
        <v>3199</v>
      </c>
      <c r="C281" s="24">
        <f t="shared" si="59"/>
        <v>5968</v>
      </c>
      <c r="D281" s="212">
        <f t="shared" si="67"/>
        <v>1466309</v>
      </c>
      <c r="E281" s="190">
        <v>118</v>
      </c>
      <c r="F281" s="24">
        <f t="shared" si="60"/>
        <v>165.42857142857142</v>
      </c>
      <c r="G281" s="190">
        <f t="shared" si="66"/>
        <v>39857</v>
      </c>
      <c r="H281" s="190">
        <f t="shared" si="72"/>
        <v>6004</v>
      </c>
      <c r="I281" s="219">
        <v>1300696</v>
      </c>
      <c r="J281" s="190">
        <v>3723</v>
      </c>
      <c r="K281" s="24">
        <f t="shared" si="69"/>
        <v>3855.5714285714284</v>
      </c>
      <c r="L281" s="190">
        <v>9951</v>
      </c>
      <c r="M281" s="24">
        <f t="shared" si="69"/>
        <v>31231</v>
      </c>
      <c r="N281" s="4">
        <f t="shared" si="61"/>
        <v>4076752</v>
      </c>
      <c r="O281" s="7">
        <v>4703</v>
      </c>
      <c r="P281" s="7">
        <v>2088287</v>
      </c>
      <c r="Q281" s="163">
        <f t="shared" si="62"/>
        <v>2092990</v>
      </c>
      <c r="R281" s="4">
        <v>10262</v>
      </c>
      <c r="S281" s="4">
        <v>292290</v>
      </c>
      <c r="T281" s="4">
        <v>1047405</v>
      </c>
      <c r="U281" s="163">
        <f t="shared" si="63"/>
        <v>116352</v>
      </c>
      <c r="V281" s="156">
        <f t="shared" si="54"/>
        <v>125756</v>
      </c>
      <c r="W281" s="1">
        <f t="shared" si="68"/>
        <v>-12</v>
      </c>
      <c r="X281" s="13">
        <f t="shared" si="73"/>
        <v>-2923</v>
      </c>
      <c r="Y281" s="259">
        <f t="shared" si="65"/>
        <v>2.9604949266834185E-2</v>
      </c>
      <c r="Z281" s="110">
        <f t="shared" si="71"/>
        <v>-0.17723289020187094</v>
      </c>
      <c r="AA281" s="110">
        <f t="shared" si="64"/>
        <v>0.19109218404790113</v>
      </c>
      <c r="AB281" s="110">
        <f t="shared" si="70"/>
        <v>0.19109218404790113</v>
      </c>
      <c r="AD281" s="110">
        <f t="shared" si="55"/>
        <v>-2.216831121167584E-2</v>
      </c>
    </row>
    <row r="282" spans="1:30" x14ac:dyDescent="0.25">
      <c r="A282" s="165">
        <v>44173</v>
      </c>
      <c r="B282" s="190">
        <v>3610</v>
      </c>
      <c r="C282" s="24">
        <f t="shared" si="59"/>
        <v>5335.5714285714284</v>
      </c>
      <c r="D282" s="190">
        <f t="shared" si="67"/>
        <v>1469919</v>
      </c>
      <c r="E282" s="190">
        <v>120</v>
      </c>
      <c r="F282" s="24">
        <f t="shared" si="60"/>
        <v>154.28571428571428</v>
      </c>
      <c r="G282" s="190">
        <f t="shared" si="66"/>
        <v>39977</v>
      </c>
      <c r="H282" s="190">
        <f t="shared" si="72"/>
        <v>4891</v>
      </c>
      <c r="I282" s="219">
        <v>1305587</v>
      </c>
      <c r="J282" s="190">
        <v>3715</v>
      </c>
      <c r="K282" s="24">
        <f t="shared" si="69"/>
        <v>3822.5714285714284</v>
      </c>
      <c r="L282" s="190">
        <v>13302</v>
      </c>
      <c r="M282" s="24">
        <f t="shared" si="69"/>
        <v>28307.857142857141</v>
      </c>
      <c r="N282" s="4">
        <f t="shared" si="61"/>
        <v>4090054</v>
      </c>
      <c r="O282" s="7">
        <v>4726</v>
      </c>
      <c r="P282" s="7">
        <v>2095475</v>
      </c>
      <c r="Q282" s="163">
        <f t="shared" si="62"/>
        <v>2100201</v>
      </c>
      <c r="R282" s="4">
        <v>10276</v>
      </c>
      <c r="S282" s="4">
        <v>292866</v>
      </c>
      <c r="T282" s="4">
        <v>1053314</v>
      </c>
      <c r="U282" s="163">
        <f t="shared" si="63"/>
        <v>113463</v>
      </c>
      <c r="V282" s="156">
        <f t="shared" si="54"/>
        <v>124355</v>
      </c>
      <c r="W282" s="1">
        <f t="shared" si="68"/>
        <v>-8</v>
      </c>
      <c r="X282" s="13">
        <f t="shared" si="73"/>
        <v>-1401</v>
      </c>
      <c r="Y282" s="259">
        <f t="shared" si="65"/>
        <v>2.9874150617184674E-2</v>
      </c>
      <c r="Z282" s="110">
        <f t="shared" si="71"/>
        <v>-0.24873780549130042</v>
      </c>
      <c r="AA282" s="110">
        <f t="shared" si="64"/>
        <v>0.18848376271100906</v>
      </c>
      <c r="AB282" s="110">
        <f t="shared" si="70"/>
        <v>0.18848376271100906</v>
      </c>
      <c r="AD282" s="110">
        <f t="shared" si="55"/>
        <v>-4.6518225452761075E-2</v>
      </c>
    </row>
    <row r="283" spans="1:30" x14ac:dyDescent="0.25">
      <c r="A283" s="390">
        <v>44174</v>
      </c>
      <c r="B283" s="190">
        <v>5303</v>
      </c>
      <c r="C283" s="24">
        <f t="shared" si="59"/>
        <v>5017</v>
      </c>
      <c r="D283" s="190">
        <f t="shared" si="67"/>
        <v>1475222</v>
      </c>
      <c r="E283" s="190">
        <v>212</v>
      </c>
      <c r="F283" s="24">
        <f t="shared" si="60"/>
        <v>152</v>
      </c>
      <c r="G283" s="190">
        <f t="shared" si="66"/>
        <v>40189</v>
      </c>
      <c r="H283" s="190">
        <f t="shared" si="72"/>
        <v>5901</v>
      </c>
      <c r="I283" s="219">
        <v>1311488</v>
      </c>
      <c r="J283" s="190">
        <v>3688</v>
      </c>
      <c r="K283" s="24">
        <f t="shared" si="69"/>
        <v>3780.4285714285716</v>
      </c>
      <c r="L283" s="190">
        <v>20785</v>
      </c>
      <c r="M283" s="24">
        <f t="shared" si="69"/>
        <v>24209.428571428572</v>
      </c>
      <c r="N283" s="4">
        <f t="shared" si="61"/>
        <v>4110839</v>
      </c>
      <c r="O283" s="7">
        <v>4782</v>
      </c>
      <c r="P283" s="7">
        <v>2108441</v>
      </c>
      <c r="Q283" s="163">
        <f t="shared" si="62"/>
        <v>2113223</v>
      </c>
      <c r="R283" s="4">
        <v>10316</v>
      </c>
      <c r="S283" s="4">
        <v>294068</v>
      </c>
      <c r="T283" s="4">
        <v>1058646</v>
      </c>
      <c r="U283" s="163">
        <f t="shared" si="63"/>
        <v>112192</v>
      </c>
      <c r="V283" s="156">
        <f t="shared" si="54"/>
        <v>123545</v>
      </c>
      <c r="W283" s="1">
        <f t="shared" si="68"/>
        <v>-27</v>
      </c>
      <c r="X283" s="13">
        <f t="shared" si="73"/>
        <v>-810</v>
      </c>
      <c r="Y283" s="259">
        <f t="shared" si="65"/>
        <v>2.9851471123881985E-2</v>
      </c>
      <c r="Z283" s="110">
        <f t="shared" si="71"/>
        <v>-0.27291360427320344</v>
      </c>
      <c r="AA283" s="110">
        <f t="shared" si="64"/>
        <v>0.20723330933638606</v>
      </c>
      <c r="AB283" s="110">
        <f t="shared" si="70"/>
        <v>0.20723330933638606</v>
      </c>
      <c r="AD283" s="110">
        <f t="shared" si="55"/>
        <v>-6.8428592972402336E-2</v>
      </c>
    </row>
    <row r="284" spans="1:30" x14ac:dyDescent="0.25">
      <c r="A284" s="390">
        <v>44175</v>
      </c>
      <c r="B284" s="190">
        <v>6994</v>
      </c>
      <c r="C284" s="24">
        <f t="shared" si="59"/>
        <v>4926.2857142857147</v>
      </c>
      <c r="D284" s="190">
        <f t="shared" si="67"/>
        <v>1482216</v>
      </c>
      <c r="E284" s="190">
        <v>209</v>
      </c>
      <c r="F284" s="24">
        <f t="shared" si="60"/>
        <v>160.71428571428572</v>
      </c>
      <c r="G284" s="190">
        <f t="shared" si="66"/>
        <v>40398</v>
      </c>
      <c r="H284" s="190">
        <f t="shared" si="72"/>
        <v>6699</v>
      </c>
      <c r="I284" s="219">
        <v>1318187</v>
      </c>
      <c r="J284" s="190">
        <v>3665</v>
      </c>
      <c r="K284" s="24">
        <f t="shared" si="69"/>
        <v>3744.5714285714284</v>
      </c>
      <c r="L284" s="190">
        <v>28166</v>
      </c>
      <c r="M284" s="24">
        <f t="shared" si="69"/>
        <v>21502.857142857141</v>
      </c>
      <c r="N284" s="4">
        <f t="shared" si="61"/>
        <v>4139005</v>
      </c>
      <c r="O284" s="7">
        <v>4881</v>
      </c>
      <c r="P284" s="7">
        <v>2124880</v>
      </c>
      <c r="Q284" s="163">
        <f t="shared" si="62"/>
        <v>2129761</v>
      </c>
      <c r="R284" s="4">
        <v>10335</v>
      </c>
      <c r="S284" s="4">
        <v>295491</v>
      </c>
      <c r="T284" s="4">
        <v>1064115</v>
      </c>
      <c r="U284" s="163">
        <f t="shared" si="63"/>
        <v>112275</v>
      </c>
      <c r="V284" s="156">
        <f t="shared" si="54"/>
        <v>123631</v>
      </c>
      <c r="W284" s="1">
        <f t="shared" si="68"/>
        <v>-23</v>
      </c>
      <c r="X284" s="13">
        <f t="shared" si="73"/>
        <v>86</v>
      </c>
      <c r="Y284" s="259">
        <f t="shared" si="65"/>
        <v>2.9644668408408893E-2</v>
      </c>
      <c r="Z284" s="110">
        <f t="shared" si="71"/>
        <v>-0.27178274274612491</v>
      </c>
      <c r="AA284" s="110">
        <f t="shared" si="64"/>
        <v>0.22909912304012758</v>
      </c>
      <c r="AB284" s="110">
        <f t="shared" si="70"/>
        <v>0.22909912304012756</v>
      </c>
      <c r="AD284" s="110">
        <f t="shared" si="55"/>
        <v>-7.5890988459008546E-2</v>
      </c>
    </row>
    <row r="285" spans="1:30" x14ac:dyDescent="0.25">
      <c r="A285" s="390">
        <v>44176</v>
      </c>
      <c r="B285" s="190">
        <v>7112</v>
      </c>
      <c r="C285" s="24">
        <f t="shared" si="59"/>
        <v>4956.7142857142853</v>
      </c>
      <c r="D285" s="190">
        <f t="shared" si="67"/>
        <v>1489328</v>
      </c>
      <c r="E285" s="190">
        <v>177</v>
      </c>
      <c r="F285" s="24">
        <f t="shared" si="60"/>
        <v>156.42857142857142</v>
      </c>
      <c r="G285" s="190">
        <f t="shared" si="66"/>
        <v>40575</v>
      </c>
      <c r="H285" s="190">
        <f t="shared" si="72"/>
        <v>6605</v>
      </c>
      <c r="I285" s="219">
        <v>1324792</v>
      </c>
      <c r="J285" s="190">
        <v>3620</v>
      </c>
      <c r="K285" s="24">
        <f t="shared" si="69"/>
        <v>3700.4285714285716</v>
      </c>
      <c r="L285" s="190">
        <v>36805</v>
      </c>
      <c r="M285" s="24">
        <f t="shared" si="69"/>
        <v>22057.428571428572</v>
      </c>
      <c r="N285" s="4">
        <f t="shared" si="61"/>
        <v>4175810</v>
      </c>
      <c r="O285" s="7">
        <v>4940</v>
      </c>
      <c r="P285" s="7">
        <v>2147972</v>
      </c>
      <c r="Q285" s="163">
        <f t="shared" si="62"/>
        <v>2152912</v>
      </c>
      <c r="R285" s="4">
        <v>10375</v>
      </c>
      <c r="S285" s="4">
        <v>296884</v>
      </c>
      <c r="T285" s="4">
        <v>1068414</v>
      </c>
      <c r="U285" s="163">
        <f t="shared" si="63"/>
        <v>113655</v>
      </c>
      <c r="V285" s="156">
        <f t="shared" si="54"/>
        <v>123961</v>
      </c>
      <c r="W285" s="1">
        <f t="shared" si="68"/>
        <v>-45</v>
      </c>
      <c r="X285" s="13">
        <f t="shared" si="73"/>
        <v>330</v>
      </c>
      <c r="Y285" s="259">
        <f t="shared" si="65"/>
        <v>2.9202733117674108E-2</v>
      </c>
      <c r="Z285" s="110">
        <f t="shared" si="71"/>
        <v>-0.25313730977032523</v>
      </c>
      <c r="AA285" s="110">
        <f t="shared" si="64"/>
        <v>0.22471859172808639</v>
      </c>
      <c r="AB285" s="110">
        <f t="shared" si="70"/>
        <v>0.22471859172808642</v>
      </c>
      <c r="AD285" s="110">
        <f t="shared" si="55"/>
        <v>-6.9333913931349245E-2</v>
      </c>
    </row>
    <row r="286" spans="1:30" x14ac:dyDescent="0.25">
      <c r="A286" s="167">
        <v>44177</v>
      </c>
      <c r="B286" s="190">
        <v>5274</v>
      </c>
      <c r="C286" s="24">
        <f t="shared" si="59"/>
        <v>4967.1428571428569</v>
      </c>
      <c r="D286" s="190">
        <f t="shared" si="67"/>
        <v>1494602</v>
      </c>
      <c r="E286" s="190">
        <v>62</v>
      </c>
      <c r="F286" s="24">
        <f t="shared" si="60"/>
        <v>148</v>
      </c>
      <c r="G286" s="190">
        <f t="shared" si="66"/>
        <v>40637</v>
      </c>
      <c r="H286" s="190">
        <f t="shared" si="72"/>
        <v>5368</v>
      </c>
      <c r="I286" s="219">
        <v>1330160</v>
      </c>
      <c r="J286" s="190">
        <v>3594</v>
      </c>
      <c r="K286" s="24">
        <f t="shared" si="69"/>
        <v>3677.1428571428573</v>
      </c>
      <c r="L286" s="190">
        <v>27204</v>
      </c>
      <c r="M286" s="24">
        <f t="shared" si="69"/>
        <v>21862.714285714286</v>
      </c>
      <c r="N286" s="4">
        <f t="shared" si="61"/>
        <v>4203014</v>
      </c>
      <c r="O286" s="7">
        <v>4983</v>
      </c>
      <c r="P286" s="7">
        <v>2164993</v>
      </c>
      <c r="Q286" s="163">
        <f t="shared" si="62"/>
        <v>2169976</v>
      </c>
      <c r="R286" s="4">
        <v>10396</v>
      </c>
      <c r="S286" s="4">
        <v>297737</v>
      </c>
      <c r="T286" s="4">
        <v>1071431</v>
      </c>
      <c r="U286" s="163">
        <f t="shared" si="63"/>
        <v>115038</v>
      </c>
      <c r="V286" s="156">
        <f t="shared" ref="V286:V331" si="74">D286-G286-I286</f>
        <v>123805</v>
      </c>
      <c r="W286" s="1">
        <f t="shared" si="68"/>
        <v>-26</v>
      </c>
      <c r="X286" s="13">
        <f t="shared" si="73"/>
        <v>-156</v>
      </c>
      <c r="Y286" s="259">
        <f t="shared" si="65"/>
        <v>2.9029522232543112E-2</v>
      </c>
      <c r="Z286" s="110">
        <f t="shared" si="71"/>
        <v>-0.21517730176286032</v>
      </c>
      <c r="AA286" s="110">
        <f t="shared" si="64"/>
        <v>0.22719698900280319</v>
      </c>
      <c r="AB286" s="110">
        <f t="shared" si="70"/>
        <v>0.22719698900280322</v>
      </c>
      <c r="AD286" s="110">
        <f t="shared" si="55"/>
        <v>-5.8130334890373225E-2</v>
      </c>
    </row>
    <row r="287" spans="1:30" x14ac:dyDescent="0.25">
      <c r="A287" s="167">
        <v>44178</v>
      </c>
      <c r="B287" s="190">
        <v>3558</v>
      </c>
      <c r="C287" s="24">
        <f t="shared" si="59"/>
        <v>5007.1428571428569</v>
      </c>
      <c r="D287" s="190">
        <f t="shared" si="67"/>
        <v>1498160</v>
      </c>
      <c r="E287" s="190">
        <v>98</v>
      </c>
      <c r="F287" s="24">
        <f t="shared" si="60"/>
        <v>142.28571428571428</v>
      </c>
      <c r="G287" s="190">
        <f t="shared" si="66"/>
        <v>40735</v>
      </c>
      <c r="H287" s="190">
        <f t="shared" si="72"/>
        <v>5157</v>
      </c>
      <c r="I287" s="219">
        <v>1335317</v>
      </c>
      <c r="J287" s="190">
        <v>3537</v>
      </c>
      <c r="K287" s="24">
        <f t="shared" si="69"/>
        <v>3648.8571428571427</v>
      </c>
      <c r="L287" s="190">
        <v>21793</v>
      </c>
      <c r="M287" s="24">
        <f t="shared" si="69"/>
        <v>22572.285714285714</v>
      </c>
      <c r="N287" s="4">
        <f t="shared" si="61"/>
        <v>4224807</v>
      </c>
      <c r="O287" s="7">
        <v>5042</v>
      </c>
      <c r="P287" s="7">
        <v>2180522</v>
      </c>
      <c r="Q287" s="163">
        <f t="shared" si="62"/>
        <v>2185564</v>
      </c>
      <c r="R287" s="4">
        <v>10424</v>
      </c>
      <c r="S287" s="4">
        <v>298310</v>
      </c>
      <c r="T287" s="4">
        <v>1073462</v>
      </c>
      <c r="U287" s="163">
        <f t="shared" si="63"/>
        <v>115964</v>
      </c>
      <c r="V287" s="156">
        <f t="shared" si="74"/>
        <v>122108</v>
      </c>
      <c r="W287" s="1">
        <f t="shared" si="68"/>
        <v>-57</v>
      </c>
      <c r="X287" s="13">
        <f t="shared" si="73"/>
        <v>-1697</v>
      </c>
      <c r="Y287" s="259">
        <f t="shared" si="65"/>
        <v>2.8966161103285617E-2</v>
      </c>
      <c r="Z287" s="110">
        <f t="shared" si="71"/>
        <v>-0.16100153198008427</v>
      </c>
      <c r="AA287" s="110">
        <f t="shared" si="64"/>
        <v>0.22182701922711795</v>
      </c>
      <c r="AB287" s="110">
        <f t="shared" si="70"/>
        <v>0.22182701922711795</v>
      </c>
      <c r="AD287" s="110">
        <f t="shared" ref="AD287:AD291" si="75">V287/V280-1</f>
        <v>-5.1065053349808487E-2</v>
      </c>
    </row>
    <row r="288" spans="1:30" x14ac:dyDescent="0.25">
      <c r="A288" s="168">
        <v>44179</v>
      </c>
      <c r="B288" s="190">
        <v>5062</v>
      </c>
      <c r="C288" s="24">
        <f t="shared" si="59"/>
        <v>5273.2857142857147</v>
      </c>
      <c r="D288" s="190">
        <f t="shared" si="67"/>
        <v>1503222</v>
      </c>
      <c r="E288" s="190">
        <v>274</v>
      </c>
      <c r="F288" s="24">
        <f t="shared" si="60"/>
        <v>164.57142857142858</v>
      </c>
      <c r="G288" s="190">
        <f t="shared" si="66"/>
        <v>41009</v>
      </c>
      <c r="H288" s="190">
        <f t="shared" si="72"/>
        <v>4803</v>
      </c>
      <c r="I288" s="219">
        <v>1340120</v>
      </c>
      <c r="J288" s="190">
        <v>3478</v>
      </c>
      <c r="K288" s="24">
        <f t="shared" si="69"/>
        <v>3613.8571428571427</v>
      </c>
      <c r="L288" s="190">
        <v>43000</v>
      </c>
      <c r="M288" s="24">
        <f t="shared" si="69"/>
        <v>27293.571428571428</v>
      </c>
      <c r="N288" s="4">
        <f t="shared" si="61"/>
        <v>4267807</v>
      </c>
      <c r="O288" s="7">
        <v>5131</v>
      </c>
      <c r="P288" s="7">
        <v>2215097</v>
      </c>
      <c r="Q288" s="163">
        <f t="shared" si="62"/>
        <v>2220228</v>
      </c>
      <c r="R288" s="4">
        <v>10451</v>
      </c>
      <c r="S288" s="4">
        <v>299430</v>
      </c>
      <c r="T288" s="4">
        <v>1076117</v>
      </c>
      <c r="U288" s="163">
        <f t="shared" si="63"/>
        <v>117224</v>
      </c>
      <c r="V288" s="156">
        <f t="shared" si="74"/>
        <v>122093</v>
      </c>
      <c r="W288" s="1">
        <f t="shared" si="68"/>
        <v>-59</v>
      </c>
      <c r="X288" s="13">
        <f t="shared" si="73"/>
        <v>-15</v>
      </c>
      <c r="Y288" s="259">
        <f t="shared" si="65"/>
        <v>2.848648161647269E-2</v>
      </c>
      <c r="Z288" s="110">
        <f t="shared" si="71"/>
        <v>-1.1673672655224898E-2</v>
      </c>
      <c r="AA288" s="110">
        <f t="shared" si="64"/>
        <v>0.19320614482740575</v>
      </c>
      <c r="AB288" s="110">
        <f t="shared" si="70"/>
        <v>0.19320614482740572</v>
      </c>
      <c r="AD288" s="110">
        <f t="shared" si="75"/>
        <v>-2.9127834854798196E-2</v>
      </c>
    </row>
    <row r="289" spans="1:30" x14ac:dyDescent="0.25">
      <c r="A289" s="168">
        <v>44180</v>
      </c>
      <c r="B289" s="190">
        <v>6981</v>
      </c>
      <c r="C289" s="24">
        <f t="shared" si="59"/>
        <v>5754.8571428571431</v>
      </c>
      <c r="D289" s="190">
        <f t="shared" si="67"/>
        <v>1510203</v>
      </c>
      <c r="E289" s="190">
        <v>165</v>
      </c>
      <c r="F289" s="24">
        <f t="shared" si="60"/>
        <v>171</v>
      </c>
      <c r="G289" s="190">
        <f t="shared" si="66"/>
        <v>41174</v>
      </c>
      <c r="H289" s="190">
        <f t="shared" si="72"/>
        <v>4180</v>
      </c>
      <c r="I289" s="219">
        <v>1344300</v>
      </c>
      <c r="J289" s="190">
        <v>3475</v>
      </c>
      <c r="K289" s="24">
        <f t="shared" si="69"/>
        <v>3579.5714285714284</v>
      </c>
      <c r="L289" s="190">
        <v>36591</v>
      </c>
      <c r="M289" s="24">
        <f t="shared" si="69"/>
        <v>30620.571428571428</v>
      </c>
      <c r="N289" s="4">
        <f t="shared" si="61"/>
        <v>4304398</v>
      </c>
      <c r="O289" s="7">
        <v>5271</v>
      </c>
      <c r="P289" s="7">
        <v>2238751</v>
      </c>
      <c r="Q289" s="163">
        <f t="shared" si="62"/>
        <v>2244022</v>
      </c>
      <c r="R289" s="4">
        <v>10483</v>
      </c>
      <c r="S289" s="4">
        <v>301009</v>
      </c>
      <c r="T289" s="4">
        <v>1078240</v>
      </c>
      <c r="U289" s="163">
        <f t="shared" si="63"/>
        <v>120471</v>
      </c>
      <c r="V289" s="156">
        <f t="shared" si="74"/>
        <v>124729</v>
      </c>
      <c r="W289" s="1">
        <f t="shared" si="68"/>
        <v>-3</v>
      </c>
      <c r="X289" s="13">
        <f t="shared" si="73"/>
        <v>2636</v>
      </c>
      <c r="Y289" s="259">
        <f t="shared" si="65"/>
        <v>2.7860401350127077E-2</v>
      </c>
      <c r="Z289" s="110">
        <f t="shared" si="71"/>
        <v>0.1470713858595063</v>
      </c>
      <c r="AA289" s="110">
        <f t="shared" si="64"/>
        <v>0.1879408800806181</v>
      </c>
      <c r="AB289" s="110">
        <f t="shared" si="70"/>
        <v>0.18794088008061807</v>
      </c>
      <c r="AD289" s="110">
        <f t="shared" si="75"/>
        <v>3.0075187969924588E-3</v>
      </c>
    </row>
    <row r="290" spans="1:30" x14ac:dyDescent="0.25">
      <c r="A290" s="168">
        <v>44181</v>
      </c>
      <c r="B290" s="190">
        <v>6843</v>
      </c>
      <c r="C290" s="24">
        <f t="shared" si="59"/>
        <v>5974.8571428571431</v>
      </c>
      <c r="D290" s="190">
        <f t="shared" si="67"/>
        <v>1517046</v>
      </c>
      <c r="E290" s="190">
        <v>162</v>
      </c>
      <c r="F290" s="24">
        <f t="shared" si="60"/>
        <v>163.85714285714286</v>
      </c>
      <c r="G290" s="190">
        <f t="shared" si="66"/>
        <v>41336</v>
      </c>
      <c r="H290" s="190">
        <f t="shared" si="72"/>
        <v>3614</v>
      </c>
      <c r="I290" s="219">
        <v>1347914</v>
      </c>
      <c r="J290" s="190">
        <v>3443</v>
      </c>
      <c r="K290" s="24">
        <f t="shared" si="69"/>
        <v>3544.5714285714284</v>
      </c>
      <c r="L290" s="190">
        <v>34599</v>
      </c>
      <c r="M290" s="24">
        <f t="shared" si="69"/>
        <v>32594</v>
      </c>
      <c r="N290" s="4">
        <f t="shared" si="61"/>
        <v>4338997</v>
      </c>
      <c r="O290" s="7">
        <v>5417</v>
      </c>
      <c r="P290" s="7">
        <v>2259690</v>
      </c>
      <c r="Q290" s="163">
        <f t="shared" si="62"/>
        <v>2265107</v>
      </c>
      <c r="R290" s="4">
        <v>10548</v>
      </c>
      <c r="S290" s="4">
        <v>302498</v>
      </c>
      <c r="T290" s="4">
        <v>1083034</v>
      </c>
      <c r="U290" s="163">
        <f t="shared" si="63"/>
        <v>120966</v>
      </c>
      <c r="V290" s="156">
        <f t="shared" si="74"/>
        <v>127796</v>
      </c>
      <c r="W290" s="1">
        <f t="shared" si="68"/>
        <v>-32</v>
      </c>
      <c r="X290" s="13">
        <f t="shared" si="73"/>
        <v>3067</v>
      </c>
      <c r="Y290" s="259">
        <f t="shared" si="65"/>
        <v>2.6941375316911327E-2</v>
      </c>
      <c r="Z290" s="110">
        <f t="shared" si="71"/>
        <v>0.21285233731585662</v>
      </c>
      <c r="AA290" s="110">
        <f t="shared" si="64"/>
        <v>0.18331156479281902</v>
      </c>
      <c r="AB290" s="110">
        <f t="shared" ref="AB290:AB353" si="76">SUM(B284:B290)/SUM(L284:L290)</f>
        <v>0.18331156479281902</v>
      </c>
      <c r="AD290" s="110">
        <f t="shared" si="75"/>
        <v>3.4408515115949667E-2</v>
      </c>
    </row>
    <row r="291" spans="1:30" x14ac:dyDescent="0.25">
      <c r="A291" s="168">
        <v>44182</v>
      </c>
      <c r="B291" s="190">
        <v>7326</v>
      </c>
      <c r="C291" s="24">
        <f t="shared" si="59"/>
        <v>6022.2857142857147</v>
      </c>
      <c r="D291" s="190">
        <f t="shared" si="67"/>
        <v>1524372</v>
      </c>
      <c r="E291" s="190">
        <v>169</v>
      </c>
      <c r="F291" s="24">
        <f t="shared" si="60"/>
        <v>158.14285714285714</v>
      </c>
      <c r="G291" s="190">
        <f t="shared" si="66"/>
        <v>41505</v>
      </c>
      <c r="H291" s="190">
        <f t="shared" si="72"/>
        <v>4642</v>
      </c>
      <c r="I291" s="219">
        <v>1352556</v>
      </c>
      <c r="J291" s="190">
        <v>3471</v>
      </c>
      <c r="K291" s="24">
        <f t="shared" si="69"/>
        <v>3516.8571428571427</v>
      </c>
      <c r="L291" s="190">
        <v>31936</v>
      </c>
      <c r="M291" s="24">
        <f t="shared" si="69"/>
        <v>33132.571428571428</v>
      </c>
      <c r="N291" s="4">
        <f t="shared" si="61"/>
        <v>4370933</v>
      </c>
      <c r="O291" s="7">
        <v>5509</v>
      </c>
      <c r="P291" s="7">
        <v>2279140</v>
      </c>
      <c r="Q291" s="163">
        <f t="shared" si="62"/>
        <v>2284649</v>
      </c>
      <c r="R291" s="4">
        <v>10614</v>
      </c>
      <c r="S291" s="4">
        <v>304151</v>
      </c>
      <c r="T291" s="4">
        <v>1088190</v>
      </c>
      <c r="U291" s="163">
        <f t="shared" si="63"/>
        <v>121417</v>
      </c>
      <c r="V291" s="156">
        <f t="shared" si="74"/>
        <v>130311</v>
      </c>
      <c r="W291" s="1">
        <f t="shared" si="68"/>
        <v>28</v>
      </c>
      <c r="X291" s="13">
        <f t="shared" si="73"/>
        <v>2515</v>
      </c>
      <c r="Y291" s="259">
        <f t="shared" si="65"/>
        <v>2.6636277827658449E-2</v>
      </c>
      <c r="Z291" s="110">
        <f t="shared" si="71"/>
        <v>0.21497535810012414</v>
      </c>
      <c r="AA291" s="110">
        <f t="shared" si="64"/>
        <v>0.18176330585354078</v>
      </c>
      <c r="AB291" s="110">
        <f t="shared" si="76"/>
        <v>0.18176330585354075</v>
      </c>
      <c r="AD291" s="110">
        <f t="shared" si="75"/>
        <v>5.4031755789405667E-2</v>
      </c>
    </row>
    <row r="292" spans="1:30" x14ac:dyDescent="0.25">
      <c r="A292" s="170">
        <v>44183</v>
      </c>
      <c r="B292" s="197">
        <v>7002</v>
      </c>
      <c r="C292" s="24">
        <f t="shared" si="59"/>
        <v>6006.5714285714284</v>
      </c>
      <c r="D292" s="197">
        <f t="shared" si="67"/>
        <v>1531374</v>
      </c>
      <c r="E292" s="197">
        <v>138</v>
      </c>
      <c r="F292" s="24">
        <f t="shared" si="60"/>
        <v>152.57142857142858</v>
      </c>
      <c r="G292" s="197">
        <f t="shared" si="66"/>
        <v>41643</v>
      </c>
      <c r="H292" s="197">
        <f t="shared" si="72"/>
        <v>4199</v>
      </c>
      <c r="I292" s="219">
        <v>1356755</v>
      </c>
      <c r="J292" s="197">
        <v>3434</v>
      </c>
      <c r="K292" s="24">
        <f t="shared" si="69"/>
        <v>3490.2857142857142</v>
      </c>
      <c r="L292" s="197">
        <v>32002</v>
      </c>
      <c r="M292" s="24">
        <f t="shared" si="69"/>
        <v>32446.428571428572</v>
      </c>
      <c r="N292" s="4">
        <f t="shared" si="61"/>
        <v>4402935</v>
      </c>
      <c r="O292" s="47">
        <v>5573</v>
      </c>
      <c r="P292" s="47">
        <v>2298394</v>
      </c>
      <c r="Q292" s="171">
        <f t="shared" si="62"/>
        <v>2303967</v>
      </c>
      <c r="R292" s="30">
        <v>10658</v>
      </c>
      <c r="S292" s="30">
        <v>305458</v>
      </c>
      <c r="T292" s="30">
        <v>1093180</v>
      </c>
      <c r="U292" s="171">
        <f t="shared" si="63"/>
        <v>122078</v>
      </c>
      <c r="V292" s="156">
        <f t="shared" si="74"/>
        <v>132976</v>
      </c>
      <c r="W292" s="1">
        <f t="shared" si="68"/>
        <v>-37</v>
      </c>
      <c r="X292" s="13">
        <f t="shared" si="73"/>
        <v>2665</v>
      </c>
      <c r="Y292" s="259">
        <f t="shared" si="65"/>
        <v>2.5824208879797857E-2</v>
      </c>
      <c r="Z292" s="110">
        <f t="shared" si="71"/>
        <v>0.20926085706068442</v>
      </c>
      <c r="AA292" s="110">
        <f t="shared" si="64"/>
        <v>0.18512272977435332</v>
      </c>
      <c r="AB292" s="110">
        <f t="shared" si="76"/>
        <v>0.18512272977435332</v>
      </c>
      <c r="AD292" s="110">
        <f t="shared" ref="AD292:AD355" si="77">V292/V285-1</f>
        <v>7.2724485927025517E-2</v>
      </c>
    </row>
    <row r="293" spans="1:30" x14ac:dyDescent="0.25">
      <c r="A293" s="175">
        <v>44184</v>
      </c>
      <c r="B293" s="204">
        <v>5795</v>
      </c>
      <c r="C293" s="24">
        <f t="shared" ref="C293:C356" si="78">AVERAGE(B287:B293)</f>
        <v>6081</v>
      </c>
      <c r="D293" s="204">
        <f t="shared" si="67"/>
        <v>1537169</v>
      </c>
      <c r="E293" s="204">
        <v>91</v>
      </c>
      <c r="F293" s="24">
        <f t="shared" ref="F293:F356" si="79">AVERAGE(E287:E293)</f>
        <v>156.71428571428572</v>
      </c>
      <c r="G293" s="204">
        <f t="shared" si="66"/>
        <v>41734</v>
      </c>
      <c r="H293" s="204">
        <f t="shared" si="72"/>
        <v>5862</v>
      </c>
      <c r="I293" s="219">
        <v>1362617</v>
      </c>
      <c r="J293" s="204">
        <v>3452</v>
      </c>
      <c r="K293" s="24">
        <f t="shared" si="69"/>
        <v>3470</v>
      </c>
      <c r="L293" s="204">
        <v>27403</v>
      </c>
      <c r="M293" s="24">
        <f t="shared" si="69"/>
        <v>32474.857142857141</v>
      </c>
      <c r="N293" s="4">
        <f t="shared" si="61"/>
        <v>4430338</v>
      </c>
      <c r="O293" s="173">
        <v>5632</v>
      </c>
      <c r="P293" s="173">
        <v>2314565</v>
      </c>
      <c r="Q293" s="174">
        <f t="shared" si="62"/>
        <v>2320197</v>
      </c>
      <c r="R293" s="172">
        <v>10688</v>
      </c>
      <c r="S293" s="172">
        <v>306243</v>
      </c>
      <c r="T293" s="172">
        <v>1096091</v>
      </c>
      <c r="U293" s="174">
        <f t="shared" si="63"/>
        <v>124147</v>
      </c>
      <c r="V293" s="156">
        <f t="shared" si="74"/>
        <v>132818</v>
      </c>
      <c r="W293" s="16">
        <f t="shared" si="68"/>
        <v>18</v>
      </c>
      <c r="X293" s="13">
        <f t="shared" si="73"/>
        <v>-158</v>
      </c>
      <c r="Y293" s="259">
        <f t="shared" si="65"/>
        <v>2.599045310123628E-2</v>
      </c>
      <c r="Z293" s="110">
        <f t="shared" si="71"/>
        <v>0.21446504992867332</v>
      </c>
      <c r="AA293" s="110">
        <f t="shared" si="64"/>
        <v>0.18725255582340625</v>
      </c>
      <c r="AB293" s="110">
        <f t="shared" si="76"/>
        <v>0.18725255582340625</v>
      </c>
      <c r="AD293" s="110">
        <f t="shared" si="77"/>
        <v>7.2799967691127065E-2</v>
      </c>
    </row>
    <row r="294" spans="1:30" x14ac:dyDescent="0.25">
      <c r="A294" s="177">
        <v>44185</v>
      </c>
      <c r="B294" s="197">
        <v>4116</v>
      </c>
      <c r="C294" s="24">
        <f t="shared" si="78"/>
        <v>6160.7142857142853</v>
      </c>
      <c r="D294" s="197">
        <f t="shared" si="67"/>
        <v>1541285</v>
      </c>
      <c r="E294" s="197">
        <v>50</v>
      </c>
      <c r="F294" s="24">
        <f t="shared" si="79"/>
        <v>149.85714285714286</v>
      </c>
      <c r="G294" s="197">
        <f t="shared" si="66"/>
        <v>41784</v>
      </c>
      <c r="H294" s="197">
        <f t="shared" si="72"/>
        <v>5729</v>
      </c>
      <c r="I294" s="219">
        <v>1368346</v>
      </c>
      <c r="J294" s="197">
        <v>3462</v>
      </c>
      <c r="K294" s="24">
        <f t="shared" si="69"/>
        <v>3459.2857142857142</v>
      </c>
      <c r="L294" s="197">
        <v>32148</v>
      </c>
      <c r="M294" s="24">
        <f t="shared" si="69"/>
        <v>33954.142857142855</v>
      </c>
      <c r="N294" s="4">
        <f t="shared" si="61"/>
        <v>4462486</v>
      </c>
      <c r="O294" s="178">
        <v>5765</v>
      </c>
      <c r="P294" s="179">
        <v>2338847</v>
      </c>
      <c r="Q294" s="180">
        <f t="shared" si="62"/>
        <v>2344612</v>
      </c>
      <c r="R294" s="176">
        <v>10715</v>
      </c>
      <c r="S294" s="176">
        <v>306830</v>
      </c>
      <c r="T294" s="176">
        <v>1098359</v>
      </c>
      <c r="U294" s="180">
        <f t="shared" si="63"/>
        <v>125381</v>
      </c>
      <c r="V294" s="156">
        <f t="shared" si="74"/>
        <v>131155</v>
      </c>
      <c r="W294" s="393">
        <f t="shared" si="68"/>
        <v>10</v>
      </c>
      <c r="X294" s="150">
        <f t="shared" si="73"/>
        <v>-1663</v>
      </c>
      <c r="Y294" s="259">
        <f t="shared" si="65"/>
        <v>2.6396248713354428E-2</v>
      </c>
      <c r="Z294" s="110">
        <f t="shared" si="71"/>
        <v>0.16828759515617797</v>
      </c>
      <c r="AA294" s="110">
        <f t="shared" si="64"/>
        <v>0.18144219724923111</v>
      </c>
      <c r="AB294" s="110">
        <f t="shared" si="76"/>
        <v>0.18144219724923111</v>
      </c>
      <c r="AD294" s="110">
        <f t="shared" si="77"/>
        <v>7.4090149703541108E-2</v>
      </c>
    </row>
    <row r="295" spans="1:30" x14ac:dyDescent="0.25">
      <c r="A295" s="168">
        <v>44186</v>
      </c>
      <c r="B295" s="190">
        <v>5853</v>
      </c>
      <c r="C295" s="24">
        <f t="shared" si="78"/>
        <v>6273.7142857142853</v>
      </c>
      <c r="D295" s="190">
        <f t="shared" si="67"/>
        <v>1547138</v>
      </c>
      <c r="E295" s="190">
        <v>184</v>
      </c>
      <c r="F295" s="24">
        <f t="shared" si="79"/>
        <v>137</v>
      </c>
      <c r="G295" s="190">
        <f t="shared" si="66"/>
        <v>41968</v>
      </c>
      <c r="H295" s="190">
        <f t="shared" si="72"/>
        <v>6055</v>
      </c>
      <c r="I295" s="219">
        <v>1374401</v>
      </c>
      <c r="J295" s="190">
        <v>3367</v>
      </c>
      <c r="K295" s="24">
        <f t="shared" si="69"/>
        <v>3443.4285714285716</v>
      </c>
      <c r="L295" s="190">
        <v>24076</v>
      </c>
      <c r="M295" s="24">
        <f t="shared" si="69"/>
        <v>31250.714285714286</v>
      </c>
      <c r="N295" s="4">
        <f t="shared" si="61"/>
        <v>4486562</v>
      </c>
      <c r="O295" s="7">
        <v>5890</v>
      </c>
      <c r="P295" s="7">
        <v>2353622</v>
      </c>
      <c r="Q295" s="163">
        <f t="shared" si="62"/>
        <v>2359512</v>
      </c>
      <c r="R295" s="4">
        <v>10750</v>
      </c>
      <c r="S295" s="4">
        <v>308256</v>
      </c>
      <c r="T295" s="4">
        <v>1103443</v>
      </c>
      <c r="U295" s="163">
        <f t="shared" si="63"/>
        <v>124689</v>
      </c>
      <c r="V295" s="156">
        <f t="shared" si="74"/>
        <v>130769</v>
      </c>
      <c r="W295" s="1">
        <f t="shared" si="68"/>
        <v>-95</v>
      </c>
      <c r="X295" s="13">
        <f t="shared" si="73"/>
        <v>-386</v>
      </c>
      <c r="Y295" s="259">
        <f t="shared" si="65"/>
        <v>2.5747692495927933E-2</v>
      </c>
      <c r="Z295" s="110">
        <f t="shared" si="71"/>
        <v>9.0159864958792468E-2</v>
      </c>
      <c r="AA295" s="110">
        <f t="shared" si="64"/>
        <v>0.20075426847386343</v>
      </c>
      <c r="AB295" s="110">
        <f t="shared" si="76"/>
        <v>0.20075426847386346</v>
      </c>
      <c r="AD295" s="110">
        <f t="shared" si="77"/>
        <v>7.1060584963920981E-2</v>
      </c>
    </row>
    <row r="296" spans="1:30" x14ac:dyDescent="0.25">
      <c r="A296" s="168">
        <v>44187</v>
      </c>
      <c r="B296" s="190">
        <v>8141</v>
      </c>
      <c r="C296" s="24">
        <f t="shared" si="78"/>
        <v>6439.4285714285716</v>
      </c>
      <c r="D296" s="190">
        <f t="shared" si="67"/>
        <v>1555279</v>
      </c>
      <c r="E296" s="190">
        <v>255</v>
      </c>
      <c r="F296" s="24">
        <f t="shared" si="79"/>
        <v>149.85714285714286</v>
      </c>
      <c r="G296" s="190">
        <f t="shared" si="66"/>
        <v>42223</v>
      </c>
      <c r="H296" s="190">
        <f t="shared" si="72"/>
        <v>5325</v>
      </c>
      <c r="I296" s="219">
        <v>1379726</v>
      </c>
      <c r="J296" s="190">
        <v>3399</v>
      </c>
      <c r="K296" s="24">
        <f t="shared" si="69"/>
        <v>3432.5714285714284</v>
      </c>
      <c r="L296" s="190">
        <v>37688</v>
      </c>
      <c r="M296" s="24">
        <f t="shared" si="69"/>
        <v>31407.428571428572</v>
      </c>
      <c r="N296" s="4">
        <f t="shared" si="61"/>
        <v>4524250</v>
      </c>
      <c r="O296" s="7">
        <v>5936</v>
      </c>
      <c r="P296" s="7">
        <v>2390200</v>
      </c>
      <c r="Q296" s="163">
        <f t="shared" si="62"/>
        <v>2396136</v>
      </c>
      <c r="R296" s="4">
        <v>10808</v>
      </c>
      <c r="S296" s="4">
        <v>309842</v>
      </c>
      <c r="T296" s="4">
        <v>1109025</v>
      </c>
      <c r="U296" s="163">
        <f t="shared" si="63"/>
        <v>125604</v>
      </c>
      <c r="V296" s="156">
        <f t="shared" si="74"/>
        <v>133330</v>
      </c>
      <c r="W296" s="57">
        <f>J296-J295</f>
        <v>32</v>
      </c>
      <c r="X296" s="149">
        <f t="shared" si="73"/>
        <v>2561</v>
      </c>
      <c r="Y296" s="259">
        <f t="shared" si="65"/>
        <v>2.549313732843321E-2</v>
      </c>
      <c r="Z296" s="110">
        <f t="shared" si="71"/>
        <v>7.7754399387911288E-2</v>
      </c>
      <c r="AA296" s="110">
        <f t="shared" si="64"/>
        <v>0.20502883758164583</v>
      </c>
      <c r="AB296" s="110">
        <f t="shared" si="76"/>
        <v>0.20502883758164583</v>
      </c>
      <c r="AD296" s="110">
        <f t="shared" si="77"/>
        <v>6.8957499859695792E-2</v>
      </c>
    </row>
    <row r="297" spans="1:30" x14ac:dyDescent="0.25">
      <c r="A297" s="168">
        <v>44188</v>
      </c>
      <c r="B297" s="190">
        <v>8586</v>
      </c>
      <c r="C297" s="24">
        <f t="shared" si="78"/>
        <v>6688.4285714285716</v>
      </c>
      <c r="D297" s="190">
        <f t="shared" si="67"/>
        <v>1563865</v>
      </c>
      <c r="E297" s="190">
        <v>60</v>
      </c>
      <c r="F297" s="24">
        <f t="shared" si="79"/>
        <v>135.28571428571428</v>
      </c>
      <c r="G297" s="190">
        <f t="shared" si="66"/>
        <v>42283</v>
      </c>
      <c r="H297" s="190">
        <f t="shared" si="72"/>
        <v>4551</v>
      </c>
      <c r="I297" s="219">
        <v>1384277</v>
      </c>
      <c r="J297" s="190">
        <v>3390</v>
      </c>
      <c r="K297" s="24">
        <f t="shared" si="69"/>
        <v>3425</v>
      </c>
      <c r="L297" s="190">
        <v>39323</v>
      </c>
      <c r="M297" s="24">
        <f t="shared" si="69"/>
        <v>32082.285714285714</v>
      </c>
      <c r="N297" s="4">
        <f t="shared" si="61"/>
        <v>4563573</v>
      </c>
      <c r="O297" s="7">
        <v>5897</v>
      </c>
      <c r="P297" s="7">
        <v>2402139</v>
      </c>
      <c r="Q297" s="163">
        <f t="shared" si="62"/>
        <v>2408036</v>
      </c>
      <c r="R297" s="4">
        <v>10873</v>
      </c>
      <c r="S297" s="4">
        <v>311072</v>
      </c>
      <c r="T297" s="4">
        <v>1114236</v>
      </c>
      <c r="U297" s="163">
        <f t="shared" si="63"/>
        <v>127684</v>
      </c>
      <c r="V297" s="156">
        <f t="shared" si="74"/>
        <v>137305</v>
      </c>
      <c r="W297" s="57">
        <f>J297-J296</f>
        <v>-9</v>
      </c>
      <c r="X297" s="149">
        <f t="shared" si="73"/>
        <v>3975</v>
      </c>
      <c r="Y297" s="259">
        <f t="shared" si="65"/>
        <v>2.4689559739266596E-2</v>
      </c>
      <c r="Z297" s="110">
        <f t="shared" si="71"/>
        <v>0.1106129613815352</v>
      </c>
      <c r="AA297" s="110">
        <f t="shared" si="64"/>
        <v>0.20847730834995726</v>
      </c>
      <c r="AB297" s="110">
        <f t="shared" si="76"/>
        <v>0.20847730834995726</v>
      </c>
      <c r="AD297" s="110">
        <f t="shared" si="77"/>
        <v>7.4407649691696109E-2</v>
      </c>
    </row>
    <row r="298" spans="1:30" x14ac:dyDescent="0.25">
      <c r="A298" s="170">
        <v>44189</v>
      </c>
      <c r="B298" s="197">
        <v>7815</v>
      </c>
      <c r="C298" s="24">
        <f t="shared" si="78"/>
        <v>6758.2857142857147</v>
      </c>
      <c r="D298" s="197">
        <f t="shared" si="67"/>
        <v>1571680</v>
      </c>
      <c r="E298" s="197">
        <v>78</v>
      </c>
      <c r="F298" s="24">
        <f t="shared" si="79"/>
        <v>122.28571428571429</v>
      </c>
      <c r="G298" s="197">
        <f t="shared" si="66"/>
        <v>42361</v>
      </c>
      <c r="H298" s="197">
        <f t="shared" si="72"/>
        <v>6439</v>
      </c>
      <c r="I298" s="220">
        <v>1390716</v>
      </c>
      <c r="J298" s="197">
        <v>3390</v>
      </c>
      <c r="K298" s="24">
        <f t="shared" si="69"/>
        <v>3413.4285714285716</v>
      </c>
      <c r="L298" s="190">
        <v>24457</v>
      </c>
      <c r="M298" s="24">
        <f t="shared" si="69"/>
        <v>31013.857142857141</v>
      </c>
      <c r="N298" s="4">
        <f t="shared" ref="N298:N361" si="80">N299-L299</f>
        <v>4588030</v>
      </c>
      <c r="O298" s="7">
        <v>5908</v>
      </c>
      <c r="P298" s="7">
        <v>2423214</v>
      </c>
      <c r="Q298" s="163">
        <f t="shared" si="62"/>
        <v>2429122</v>
      </c>
      <c r="R298" s="4">
        <v>10910</v>
      </c>
      <c r="S298" s="4">
        <v>311984</v>
      </c>
      <c r="T298" s="4">
        <v>1119801</v>
      </c>
      <c r="U298" s="163">
        <f t="shared" si="63"/>
        <v>128985</v>
      </c>
      <c r="V298" s="156">
        <f t="shared" si="74"/>
        <v>138603</v>
      </c>
      <c r="W298" s="57">
        <f>J298-J297</f>
        <v>0</v>
      </c>
      <c r="X298" s="149">
        <f t="shared" si="73"/>
        <v>1298</v>
      </c>
      <c r="Y298" s="259">
        <f t="shared" si="65"/>
        <v>2.4458345057466288E-2</v>
      </c>
      <c r="Z298" s="110">
        <f t="shared" si="71"/>
        <v>0.12514864672025894</v>
      </c>
      <c r="AA298" s="110">
        <f t="shared" si="64"/>
        <v>0.21791180900703375</v>
      </c>
      <c r="AB298" s="110">
        <f t="shared" si="76"/>
        <v>0.21791180900703372</v>
      </c>
      <c r="AD298" s="110">
        <f t="shared" si="77"/>
        <v>6.3632387135391433E-2</v>
      </c>
    </row>
    <row r="299" spans="1:30" x14ac:dyDescent="0.25">
      <c r="A299" s="185">
        <v>44190</v>
      </c>
      <c r="B299" s="205">
        <v>2874</v>
      </c>
      <c r="C299" s="24">
        <f t="shared" si="78"/>
        <v>6168.5714285714284</v>
      </c>
      <c r="D299" s="205">
        <f t="shared" si="67"/>
        <v>1574554</v>
      </c>
      <c r="E299" s="205">
        <v>30</v>
      </c>
      <c r="F299" s="24">
        <f t="shared" si="79"/>
        <v>106.85714285714286</v>
      </c>
      <c r="G299" s="205">
        <f t="shared" si="66"/>
        <v>42391</v>
      </c>
      <c r="H299" s="205">
        <f t="shared" si="72"/>
        <v>5946</v>
      </c>
      <c r="I299" s="221">
        <v>1396662</v>
      </c>
      <c r="J299" s="205">
        <v>3390</v>
      </c>
      <c r="K299" s="24">
        <f t="shared" si="69"/>
        <v>3407.1428571428573</v>
      </c>
      <c r="L299" s="298">
        <v>24454</v>
      </c>
      <c r="M299" s="24">
        <f t="shared" si="69"/>
        <v>29935.571428571428</v>
      </c>
      <c r="N299" s="4">
        <f t="shared" si="80"/>
        <v>4612484</v>
      </c>
      <c r="O299" s="7">
        <v>5907</v>
      </c>
      <c r="P299" s="7">
        <v>2430506</v>
      </c>
      <c r="Q299" s="163">
        <f t="shared" si="62"/>
        <v>2436413</v>
      </c>
      <c r="R299" s="4">
        <v>10934</v>
      </c>
      <c r="S299" s="4">
        <v>312308</v>
      </c>
      <c r="T299" s="4">
        <v>1125100</v>
      </c>
      <c r="U299" s="163">
        <f t="shared" si="63"/>
        <v>126212</v>
      </c>
      <c r="V299" s="156">
        <f t="shared" si="74"/>
        <v>135501</v>
      </c>
      <c r="W299" s="57">
        <f>J299-J298</f>
        <v>0</v>
      </c>
      <c r="X299" s="149">
        <f t="shared" si="73"/>
        <v>-3102</v>
      </c>
      <c r="Y299" s="259">
        <f t="shared" si="65"/>
        <v>2.5018265547855734E-2</v>
      </c>
      <c r="Z299" s="110">
        <f t="shared" si="71"/>
        <v>1.4400826931660671E-2</v>
      </c>
      <c r="AA299" s="110">
        <f t="shared" si="64"/>
        <v>0.20606158941345462</v>
      </c>
      <c r="AB299" s="110">
        <f t="shared" si="76"/>
        <v>0.20606158941345462</v>
      </c>
      <c r="AD299" s="110">
        <f t="shared" si="77"/>
        <v>1.8988388882204221E-2</v>
      </c>
    </row>
    <row r="300" spans="1:30" x14ac:dyDescent="0.25">
      <c r="A300" s="185">
        <v>44191</v>
      </c>
      <c r="B300" s="205">
        <v>3713</v>
      </c>
      <c r="C300" s="24">
        <f t="shared" si="78"/>
        <v>5871.1428571428569</v>
      </c>
      <c r="D300" s="205">
        <f t="shared" si="67"/>
        <v>1578267</v>
      </c>
      <c r="E300" s="205">
        <v>79</v>
      </c>
      <c r="F300" s="24">
        <f t="shared" si="79"/>
        <v>105.14285714285714</v>
      </c>
      <c r="G300" s="205">
        <f t="shared" si="66"/>
        <v>42470</v>
      </c>
      <c r="H300" s="205">
        <f t="shared" si="72"/>
        <v>5565</v>
      </c>
      <c r="I300" s="221">
        <v>1402227</v>
      </c>
      <c r="J300" s="205">
        <v>3262</v>
      </c>
      <c r="K300" s="24">
        <f t="shared" si="69"/>
        <v>3380</v>
      </c>
      <c r="L300" s="298">
        <v>14984</v>
      </c>
      <c r="M300" s="24">
        <f t="shared" si="69"/>
        <v>28161.428571428572</v>
      </c>
      <c r="N300" s="4">
        <f t="shared" si="80"/>
        <v>4627468</v>
      </c>
      <c r="O300" s="7">
        <v>5931</v>
      </c>
      <c r="P300" s="7">
        <v>2439459</v>
      </c>
      <c r="Q300" s="163">
        <f>P300+O300</f>
        <v>2445390</v>
      </c>
      <c r="R300" s="4">
        <v>10957</v>
      </c>
      <c r="S300" s="4">
        <v>312971</v>
      </c>
      <c r="T300" s="4">
        <v>1128587</v>
      </c>
      <c r="U300" s="163">
        <f>D300-R300-S300-T300</f>
        <v>125752</v>
      </c>
      <c r="V300" s="156">
        <f t="shared" si="74"/>
        <v>133570</v>
      </c>
      <c r="W300" s="57">
        <f>J300-J297</f>
        <v>-128</v>
      </c>
      <c r="X300" s="149">
        <f t="shared" si="73"/>
        <v>-1931</v>
      </c>
      <c r="Y300" s="259">
        <f t="shared" si="65"/>
        <v>2.4421651568465971E-2</v>
      </c>
      <c r="Z300" s="110">
        <f t="shared" si="71"/>
        <v>-4.7002898550724592E-2</v>
      </c>
      <c r="AA300" s="110">
        <f t="shared" ref="AA300:AA363" si="81">C300/M300</f>
        <v>0.20848171257545781</v>
      </c>
      <c r="AB300" s="110">
        <f t="shared" si="76"/>
        <v>0.20848171257545781</v>
      </c>
      <c r="AD300" s="110">
        <f t="shared" si="77"/>
        <v>5.6618831784849277E-3</v>
      </c>
    </row>
    <row r="301" spans="1:30" x14ac:dyDescent="0.25">
      <c r="A301" s="187">
        <v>44192</v>
      </c>
      <c r="B301" s="206">
        <v>5030</v>
      </c>
      <c r="C301" s="24">
        <f t="shared" si="78"/>
        <v>6001.7142857142853</v>
      </c>
      <c r="D301" s="206">
        <f t="shared" si="67"/>
        <v>1583297</v>
      </c>
      <c r="E301" s="206">
        <v>149</v>
      </c>
      <c r="F301" s="24">
        <f t="shared" si="79"/>
        <v>119.28571428571429</v>
      </c>
      <c r="G301" s="206">
        <f t="shared" si="66"/>
        <v>42619</v>
      </c>
      <c r="H301" s="206">
        <f t="shared" si="72"/>
        <v>5699</v>
      </c>
      <c r="I301" s="222">
        <v>1407926</v>
      </c>
      <c r="J301" s="206">
        <v>3313</v>
      </c>
      <c r="K301" s="24">
        <f t="shared" si="69"/>
        <v>3358.7142857142858</v>
      </c>
      <c r="L301" s="300">
        <v>21455</v>
      </c>
      <c r="M301" s="24">
        <f t="shared" si="69"/>
        <v>26633.857142857141</v>
      </c>
      <c r="N301" s="4">
        <f t="shared" si="80"/>
        <v>4648923</v>
      </c>
      <c r="O301" s="47">
        <v>5941</v>
      </c>
      <c r="P301" s="47">
        <v>2453195</v>
      </c>
      <c r="Q301" s="171">
        <f>P301+O301</f>
        <v>2459136</v>
      </c>
      <c r="R301" s="30">
        <v>10979</v>
      </c>
      <c r="S301" s="30">
        <v>313631</v>
      </c>
      <c r="T301" s="30">
        <v>1131589</v>
      </c>
      <c r="U301" s="171">
        <f>D301-R301-S301-T301</f>
        <v>127098</v>
      </c>
      <c r="V301" s="156">
        <f t="shared" si="74"/>
        <v>132752</v>
      </c>
      <c r="W301" s="100">
        <f t="shared" ref="W301:W364" si="82">J301-J300</f>
        <v>51</v>
      </c>
      <c r="X301" s="184">
        <f t="shared" si="73"/>
        <v>-818</v>
      </c>
      <c r="Y301" s="259">
        <f t="shared" si="65"/>
        <v>2.495630950946125E-2</v>
      </c>
      <c r="Z301" s="110">
        <f t="shared" si="71"/>
        <v>-4.3355496857637288E-2</v>
      </c>
      <c r="AA301" s="110">
        <f t="shared" si="81"/>
        <v>0.22534153628303394</v>
      </c>
      <c r="AB301" s="110">
        <f t="shared" si="76"/>
        <v>0.22534153628303394</v>
      </c>
      <c r="AD301" s="110">
        <f t="shared" si="77"/>
        <v>1.2176432465403453E-2</v>
      </c>
    </row>
    <row r="302" spans="1:30" x14ac:dyDescent="0.25">
      <c r="A302" s="168">
        <v>44193</v>
      </c>
      <c r="B302" s="190">
        <v>7216</v>
      </c>
      <c r="C302" s="24">
        <f t="shared" si="78"/>
        <v>6196.4285714285716</v>
      </c>
      <c r="D302" s="190">
        <f t="shared" si="67"/>
        <v>1590513</v>
      </c>
      <c r="E302" s="190">
        <v>218</v>
      </c>
      <c r="F302" s="24">
        <f t="shared" si="79"/>
        <v>124.14285714285714</v>
      </c>
      <c r="G302" s="190">
        <f t="shared" si="66"/>
        <v>42837</v>
      </c>
      <c r="H302" s="190">
        <f t="shared" si="72"/>
        <v>6754</v>
      </c>
      <c r="I302" s="219">
        <v>1414680</v>
      </c>
      <c r="J302" s="190">
        <v>3319</v>
      </c>
      <c r="K302" s="24">
        <f t="shared" si="69"/>
        <v>3351.8571428571427</v>
      </c>
      <c r="L302" s="190">
        <v>28978</v>
      </c>
      <c r="M302" s="24">
        <f t="shared" si="69"/>
        <v>27334.142857142859</v>
      </c>
      <c r="N302" s="4">
        <f t="shared" si="80"/>
        <v>4677901</v>
      </c>
      <c r="O302" s="7">
        <v>6049</v>
      </c>
      <c r="P302" s="7">
        <v>2470756</v>
      </c>
      <c r="Q302" s="163">
        <f>P302+O302</f>
        <v>2476805</v>
      </c>
      <c r="R302" s="4">
        <v>11048</v>
      </c>
      <c r="S302" s="4">
        <v>315189</v>
      </c>
      <c r="T302" s="4">
        <v>1138116</v>
      </c>
      <c r="U302" s="163">
        <f>D302-R302-S302-T302</f>
        <v>126160</v>
      </c>
      <c r="V302" s="156">
        <f t="shared" si="74"/>
        <v>132996</v>
      </c>
      <c r="W302" s="57">
        <f t="shared" si="82"/>
        <v>6</v>
      </c>
      <c r="X302" s="149">
        <f t="shared" si="73"/>
        <v>244</v>
      </c>
      <c r="Y302" s="259">
        <f t="shared" si="65"/>
        <v>2.495563776354176E-2</v>
      </c>
      <c r="Z302" s="110">
        <f t="shared" si="71"/>
        <v>-3.7736267636879983E-2</v>
      </c>
      <c r="AA302" s="110">
        <f t="shared" si="81"/>
        <v>0.22669189240039928</v>
      </c>
      <c r="AB302" s="110">
        <f t="shared" si="76"/>
        <v>0.2266918924003993</v>
      </c>
      <c r="AD302" s="110">
        <f t="shared" si="77"/>
        <v>1.7030030052994194E-2</v>
      </c>
    </row>
    <row r="303" spans="1:30" x14ac:dyDescent="0.25">
      <c r="A303" s="168">
        <v>44194</v>
      </c>
      <c r="B303" s="190">
        <v>11650</v>
      </c>
      <c r="C303" s="24">
        <f t="shared" si="78"/>
        <v>6697.7142857142853</v>
      </c>
      <c r="D303" s="190">
        <f t="shared" si="67"/>
        <v>1602163</v>
      </c>
      <c r="E303" s="190">
        <v>151</v>
      </c>
      <c r="F303" s="24">
        <f t="shared" si="79"/>
        <v>109.28571428571429</v>
      </c>
      <c r="G303" s="190">
        <f t="shared" si="66"/>
        <v>42988</v>
      </c>
      <c r="H303" s="190">
        <f t="shared" si="72"/>
        <v>6205</v>
      </c>
      <c r="I303" s="219">
        <v>1420885</v>
      </c>
      <c r="J303" s="190">
        <v>3345</v>
      </c>
      <c r="K303" s="24">
        <f t="shared" si="69"/>
        <v>3344.1428571428573</v>
      </c>
      <c r="L303" s="190">
        <v>45084</v>
      </c>
      <c r="M303" s="24">
        <f t="shared" si="69"/>
        <v>28390.714285714286</v>
      </c>
      <c r="N303" s="4">
        <f t="shared" si="80"/>
        <v>4722985</v>
      </c>
      <c r="O303" s="7">
        <v>6141</v>
      </c>
      <c r="P303" s="7">
        <v>2494970</v>
      </c>
      <c r="Q303" s="163">
        <f>P303+O303</f>
        <v>2501111</v>
      </c>
      <c r="R303" s="4">
        <v>11121</v>
      </c>
      <c r="S303" s="4">
        <v>316933</v>
      </c>
      <c r="T303" s="4">
        <v>1144766</v>
      </c>
      <c r="U303" s="163">
        <f>D303-R303-S303-T303</f>
        <v>129343</v>
      </c>
      <c r="V303" s="156">
        <f t="shared" si="74"/>
        <v>138290</v>
      </c>
      <c r="W303" s="57">
        <f t="shared" si="82"/>
        <v>26</v>
      </c>
      <c r="X303" s="149">
        <f t="shared" si="73"/>
        <v>5294</v>
      </c>
      <c r="Y303" s="259">
        <f t="shared" si="65"/>
        <v>2.4188299949381733E-2</v>
      </c>
      <c r="Z303" s="110">
        <f t="shared" si="71"/>
        <v>1.3883252525683787E-3</v>
      </c>
      <c r="AA303" s="110">
        <f t="shared" si="81"/>
        <v>0.23591214431277829</v>
      </c>
      <c r="AB303" s="110">
        <f t="shared" si="76"/>
        <v>0.23591214431277832</v>
      </c>
      <c r="AD303" s="110">
        <f t="shared" si="77"/>
        <v>3.7200930023250534E-2</v>
      </c>
    </row>
    <row r="304" spans="1:30" x14ac:dyDescent="0.25">
      <c r="A304" s="168">
        <v>44195</v>
      </c>
      <c r="B304" s="190">
        <v>11765</v>
      </c>
      <c r="C304" s="24">
        <f t="shared" si="78"/>
        <v>7151.8571428571431</v>
      </c>
      <c r="D304" s="190">
        <f t="shared" si="67"/>
        <v>1613928</v>
      </c>
      <c r="E304" s="190">
        <v>145</v>
      </c>
      <c r="F304" s="24">
        <f t="shared" si="79"/>
        <v>121.42857142857143</v>
      </c>
      <c r="G304" s="190">
        <f t="shared" si="66"/>
        <v>43133</v>
      </c>
      <c r="H304" s="190">
        <f t="shared" si="72"/>
        <v>5791</v>
      </c>
      <c r="I304" s="219">
        <v>1426676</v>
      </c>
      <c r="J304" s="190">
        <v>3440</v>
      </c>
      <c r="K304" s="24">
        <f t="shared" si="69"/>
        <v>3351.2857142857142</v>
      </c>
      <c r="L304" s="190">
        <v>54126</v>
      </c>
      <c r="M304" s="24">
        <f t="shared" si="69"/>
        <v>30505.428571428572</v>
      </c>
      <c r="N304" s="4">
        <f t="shared" si="80"/>
        <v>4777111</v>
      </c>
      <c r="O304" s="7">
        <v>6228</v>
      </c>
      <c r="P304" s="7">
        <v>2530000</v>
      </c>
      <c r="Q304" s="4">
        <f>P304+O304</f>
        <v>2536228</v>
      </c>
      <c r="R304" s="4">
        <v>11167</v>
      </c>
      <c r="S304" s="4">
        <v>318837</v>
      </c>
      <c r="T304" s="4">
        <v>1151278</v>
      </c>
      <c r="U304" s="163">
        <f>D304-R304-S304-T304</f>
        <v>132646</v>
      </c>
      <c r="V304" s="156">
        <f t="shared" si="74"/>
        <v>144119</v>
      </c>
      <c r="W304" s="57">
        <f t="shared" si="82"/>
        <v>95</v>
      </c>
      <c r="X304" s="149">
        <f t="shared" si="73"/>
        <v>5829</v>
      </c>
      <c r="Y304" s="259">
        <f t="shared" ref="Y304:Y367" si="83">J304/V304</f>
        <v>2.3869163677238948E-2</v>
      </c>
      <c r="Z304" s="110">
        <f t="shared" si="71"/>
        <v>5.823539359093588E-2</v>
      </c>
      <c r="AA304" s="110">
        <f t="shared" si="81"/>
        <v>0.23444539145257517</v>
      </c>
      <c r="AB304" s="110">
        <f t="shared" si="76"/>
        <v>0.23444539145257517</v>
      </c>
      <c r="AD304" s="110">
        <f t="shared" si="77"/>
        <v>4.9626743381522953E-2</v>
      </c>
    </row>
    <row r="305" spans="1:30" x14ac:dyDescent="0.25">
      <c r="A305" s="168">
        <v>44196</v>
      </c>
      <c r="B305" s="190">
        <v>11587</v>
      </c>
      <c r="C305" s="24">
        <f t="shared" si="78"/>
        <v>7690.7142857142853</v>
      </c>
      <c r="D305" s="190">
        <f t="shared" si="67"/>
        <v>1625515</v>
      </c>
      <c r="E305" s="190">
        <v>83</v>
      </c>
      <c r="F305" s="24">
        <f t="shared" si="79"/>
        <v>122.14285714285714</v>
      </c>
      <c r="G305" s="190">
        <f t="shared" ref="G305:G368" si="84">G304+E305</f>
        <v>43216</v>
      </c>
      <c r="H305" s="190">
        <f t="shared" si="72"/>
        <v>7240</v>
      </c>
      <c r="I305" s="219">
        <v>1433916</v>
      </c>
      <c r="J305" s="190">
        <v>3440</v>
      </c>
      <c r="K305" s="24">
        <f t="shared" si="69"/>
        <v>3358.4285714285716</v>
      </c>
      <c r="L305" s="301">
        <v>42835</v>
      </c>
      <c r="M305" s="24">
        <f t="shared" si="69"/>
        <v>33130.857142857145</v>
      </c>
      <c r="N305" s="4">
        <f t="shared" si="80"/>
        <v>4819946</v>
      </c>
      <c r="O305" s="7">
        <v>6253</v>
      </c>
      <c r="P305" s="7">
        <v>2558714</v>
      </c>
      <c r="Q305" s="4">
        <f t="shared" ref="Q305:Q329" si="85">P305+O305</f>
        <v>2564967</v>
      </c>
      <c r="R305" s="4">
        <v>11236</v>
      </c>
      <c r="S305" s="4">
        <v>320315</v>
      </c>
      <c r="T305" s="4">
        <v>1155875</v>
      </c>
      <c r="U305" s="163">
        <f t="shared" ref="U305:U324" si="86">D305-R305-S305-T305</f>
        <v>138089</v>
      </c>
      <c r="V305" s="156">
        <f t="shared" si="74"/>
        <v>148383</v>
      </c>
      <c r="W305" s="57">
        <f t="shared" si="82"/>
        <v>0</v>
      </c>
      <c r="X305" s="149">
        <f t="shared" si="73"/>
        <v>4264</v>
      </c>
      <c r="Y305" s="259">
        <f t="shared" si="83"/>
        <v>2.3183248754911276E-2</v>
      </c>
      <c r="Z305" s="110">
        <f t="shared" si="71"/>
        <v>0.24675775822139867</v>
      </c>
      <c r="AA305" s="110">
        <f t="shared" si="81"/>
        <v>0.23213146139119334</v>
      </c>
      <c r="AB305" s="110">
        <f t="shared" si="76"/>
        <v>0.23213146139119337</v>
      </c>
      <c r="AD305" s="110">
        <f t="shared" si="77"/>
        <v>7.0561243263132845E-2</v>
      </c>
    </row>
    <row r="306" spans="1:30" x14ac:dyDescent="0.25">
      <c r="A306" s="168">
        <v>44197</v>
      </c>
      <c r="B306" s="190">
        <v>4079</v>
      </c>
      <c r="C306" s="24">
        <f t="shared" si="78"/>
        <v>7862.8571428571431</v>
      </c>
      <c r="D306" s="190">
        <f t="shared" si="67"/>
        <v>1629594</v>
      </c>
      <c r="E306" s="190">
        <v>73</v>
      </c>
      <c r="F306" s="24">
        <f t="shared" si="79"/>
        <v>128.28571428571428</v>
      </c>
      <c r="G306" s="190">
        <f t="shared" si="84"/>
        <v>43289</v>
      </c>
      <c r="H306" s="190">
        <f t="shared" si="72"/>
        <v>6235</v>
      </c>
      <c r="I306" s="219">
        <v>1440151</v>
      </c>
      <c r="J306" s="190">
        <v>3440</v>
      </c>
      <c r="K306" s="24">
        <f t="shared" si="69"/>
        <v>3365.5714285714284</v>
      </c>
      <c r="L306" s="301">
        <v>42835</v>
      </c>
      <c r="M306" s="24">
        <f t="shared" si="69"/>
        <v>35756.714285714283</v>
      </c>
      <c r="N306" s="4">
        <f t="shared" si="80"/>
        <v>4862781</v>
      </c>
      <c r="O306" s="7">
        <v>6254</v>
      </c>
      <c r="P306" s="7">
        <v>2565699</v>
      </c>
      <c r="Q306" s="4">
        <f t="shared" si="85"/>
        <v>2571953</v>
      </c>
      <c r="R306" s="4">
        <v>11273</v>
      </c>
      <c r="S306" s="4">
        <v>320768</v>
      </c>
      <c r="T306" s="4">
        <v>1157648</v>
      </c>
      <c r="U306" s="163">
        <f t="shared" si="86"/>
        <v>139905</v>
      </c>
      <c r="V306" s="156">
        <f t="shared" si="74"/>
        <v>146154</v>
      </c>
      <c r="W306" s="57">
        <f t="shared" si="82"/>
        <v>0</v>
      </c>
      <c r="X306" s="149">
        <f t="shared" si="73"/>
        <v>-2229</v>
      </c>
      <c r="Y306" s="259">
        <f t="shared" si="83"/>
        <v>2.353681732966597E-2</v>
      </c>
      <c r="Z306" s="110">
        <f t="shared" si="71"/>
        <v>0.339237919120152</v>
      </c>
      <c r="AA306" s="110">
        <f t="shared" si="81"/>
        <v>0.21989876027279595</v>
      </c>
      <c r="AB306" s="110">
        <f t="shared" si="76"/>
        <v>0.21989876027279592</v>
      </c>
      <c r="AD306" s="110">
        <f t="shared" si="77"/>
        <v>7.8619345982686495E-2</v>
      </c>
    </row>
    <row r="307" spans="1:30" x14ac:dyDescent="0.25">
      <c r="A307" s="168">
        <v>44198</v>
      </c>
      <c r="B307" s="190">
        <v>5240</v>
      </c>
      <c r="C307" s="24">
        <f t="shared" si="78"/>
        <v>8081</v>
      </c>
      <c r="D307" s="190">
        <f t="shared" si="67"/>
        <v>1634834</v>
      </c>
      <c r="E307" s="190">
        <v>56</v>
      </c>
      <c r="F307" s="24">
        <f t="shared" si="79"/>
        <v>125</v>
      </c>
      <c r="G307" s="190">
        <f t="shared" si="84"/>
        <v>43345</v>
      </c>
      <c r="H307" s="190">
        <f t="shared" si="72"/>
        <v>6941</v>
      </c>
      <c r="I307" s="219">
        <v>1447092</v>
      </c>
      <c r="J307" s="190">
        <v>3438</v>
      </c>
      <c r="K307" s="24">
        <f t="shared" si="69"/>
        <v>3390.7142857142858</v>
      </c>
      <c r="L307" s="190">
        <v>17270</v>
      </c>
      <c r="M307" s="24">
        <f t="shared" si="69"/>
        <v>36083.285714285717</v>
      </c>
      <c r="N307" s="4">
        <f t="shared" si="80"/>
        <v>4880051</v>
      </c>
      <c r="O307" s="7"/>
      <c r="P307" s="7"/>
      <c r="Q307" s="4"/>
      <c r="R307" s="4">
        <v>11297</v>
      </c>
      <c r="S307" s="4">
        <v>321585</v>
      </c>
      <c r="T307" s="4">
        <v>1162294</v>
      </c>
      <c r="U307" s="163">
        <f t="shared" si="86"/>
        <v>139658</v>
      </c>
      <c r="V307" s="156">
        <f t="shared" si="74"/>
        <v>144397</v>
      </c>
      <c r="W307" s="57">
        <f t="shared" si="82"/>
        <v>-2</v>
      </c>
      <c r="X307" s="149">
        <f t="shared" si="73"/>
        <v>-1757</v>
      </c>
      <c r="Y307" s="259">
        <f t="shared" si="83"/>
        <v>2.3809358920199173E-2</v>
      </c>
      <c r="Z307" s="110">
        <f t="shared" si="71"/>
        <v>0.34644863372369805</v>
      </c>
      <c r="AA307" s="110">
        <f t="shared" si="81"/>
        <v>0.22395410617499989</v>
      </c>
      <c r="AB307" s="110">
        <f t="shared" si="76"/>
        <v>0.22395410617499989</v>
      </c>
      <c r="AD307" s="110">
        <f t="shared" si="77"/>
        <v>8.1058620947817683E-2</v>
      </c>
    </row>
    <row r="308" spans="1:30" x14ac:dyDescent="0.25">
      <c r="A308" s="168">
        <v>44199</v>
      </c>
      <c r="B308" s="190">
        <v>5884</v>
      </c>
      <c r="C308" s="24">
        <f t="shared" si="78"/>
        <v>8203</v>
      </c>
      <c r="D308" s="190">
        <f t="shared" ref="D308:D371" si="87">D307+B308</f>
        <v>1640718</v>
      </c>
      <c r="E308" s="190">
        <v>107</v>
      </c>
      <c r="F308" s="24">
        <f t="shared" si="79"/>
        <v>119</v>
      </c>
      <c r="G308" s="190">
        <f t="shared" si="84"/>
        <v>43452</v>
      </c>
      <c r="H308" s="190">
        <f t="shared" si="72"/>
        <v>5868</v>
      </c>
      <c r="I308" s="219">
        <v>1452960</v>
      </c>
      <c r="J308" s="190">
        <v>3433</v>
      </c>
      <c r="K308" s="24">
        <f t="shared" si="69"/>
        <v>3407.8571428571427</v>
      </c>
      <c r="L308" s="190">
        <v>22180</v>
      </c>
      <c r="M308" s="24">
        <f t="shared" si="69"/>
        <v>36186.857142857145</v>
      </c>
      <c r="N308" s="4">
        <f t="shared" si="80"/>
        <v>4902231</v>
      </c>
      <c r="O308" s="7"/>
      <c r="P308" s="7"/>
      <c r="Q308" s="4"/>
      <c r="R308" s="4">
        <v>11322</v>
      </c>
      <c r="S308" s="4">
        <v>322365</v>
      </c>
      <c r="T308" s="4">
        <v>1165866</v>
      </c>
      <c r="U308" s="163">
        <f t="shared" si="86"/>
        <v>141165</v>
      </c>
      <c r="V308" s="156">
        <f t="shared" si="74"/>
        <v>144306</v>
      </c>
      <c r="W308" s="57">
        <f t="shared" si="82"/>
        <v>-5</v>
      </c>
      <c r="X308" s="149">
        <f t="shared" si="73"/>
        <v>-91</v>
      </c>
      <c r="Y308" s="259">
        <f t="shared" si="83"/>
        <v>2.3789724612975207E-2</v>
      </c>
      <c r="Z308" s="110">
        <f t="shared" si="71"/>
        <v>0.32382708933717574</v>
      </c>
      <c r="AA308" s="110">
        <f t="shared" si="81"/>
        <v>0.22668451055631877</v>
      </c>
      <c r="AB308" s="110">
        <f t="shared" si="76"/>
        <v>0.2266845105563188</v>
      </c>
      <c r="AD308" s="110">
        <f t="shared" si="77"/>
        <v>8.7034470290466404E-2</v>
      </c>
    </row>
    <row r="309" spans="1:30" x14ac:dyDescent="0.25">
      <c r="A309" s="170">
        <v>44200</v>
      </c>
      <c r="B309" s="197">
        <v>8222</v>
      </c>
      <c r="C309" s="24">
        <f t="shared" si="78"/>
        <v>8346.7142857142862</v>
      </c>
      <c r="D309" s="197">
        <f t="shared" si="87"/>
        <v>1648940</v>
      </c>
      <c r="E309" s="197">
        <v>152</v>
      </c>
      <c r="F309" s="24">
        <f t="shared" si="79"/>
        <v>109.57142857142857</v>
      </c>
      <c r="G309" s="197">
        <f t="shared" si="84"/>
        <v>43604</v>
      </c>
      <c r="H309" s="197">
        <f t="shared" si="72"/>
        <v>5123</v>
      </c>
      <c r="I309" s="220">
        <v>1458083</v>
      </c>
      <c r="J309" s="197">
        <v>3502</v>
      </c>
      <c r="K309" s="24">
        <f t="shared" si="69"/>
        <v>3434</v>
      </c>
      <c r="L309" s="197">
        <v>31819</v>
      </c>
      <c r="M309" s="24">
        <f t="shared" si="69"/>
        <v>36592.714285714283</v>
      </c>
      <c r="N309" s="4">
        <f t="shared" si="80"/>
        <v>4934050</v>
      </c>
      <c r="O309" s="47">
        <v>6347</v>
      </c>
      <c r="P309" s="47">
        <v>2612496</v>
      </c>
      <c r="Q309" s="47">
        <f>P309+O309</f>
        <v>2618843</v>
      </c>
      <c r="R309" s="30">
        <v>11385</v>
      </c>
      <c r="S309" s="30">
        <v>323665</v>
      </c>
      <c r="T309" s="30">
        <v>1174600</v>
      </c>
      <c r="U309" s="171">
        <f t="shared" si="86"/>
        <v>139290</v>
      </c>
      <c r="V309" s="156">
        <f t="shared" si="74"/>
        <v>147253</v>
      </c>
      <c r="W309" s="100">
        <f t="shared" si="82"/>
        <v>69</v>
      </c>
      <c r="X309" s="184">
        <f t="shared" si="73"/>
        <v>2947</v>
      </c>
      <c r="Y309" s="259">
        <f t="shared" si="83"/>
        <v>2.3782197985779577E-2</v>
      </c>
      <c r="Z309" s="110">
        <f t="shared" si="71"/>
        <v>0.24620339561470872</v>
      </c>
      <c r="AA309" s="110">
        <f t="shared" si="81"/>
        <v>0.22809770875545096</v>
      </c>
      <c r="AB309" s="110">
        <f t="shared" si="76"/>
        <v>0.22809770875545093</v>
      </c>
      <c r="AD309" s="110">
        <f t="shared" si="77"/>
        <v>0.10719871274324033</v>
      </c>
    </row>
    <row r="310" spans="1:30" x14ac:dyDescent="0.25">
      <c r="A310" s="168">
        <v>44201</v>
      </c>
      <c r="B310" s="190">
        <v>13790</v>
      </c>
      <c r="C310" s="24">
        <f t="shared" si="78"/>
        <v>8652.4285714285706</v>
      </c>
      <c r="D310" s="190">
        <f t="shared" si="87"/>
        <v>1662730</v>
      </c>
      <c r="E310" s="190">
        <v>151</v>
      </c>
      <c r="F310" s="24">
        <f t="shared" si="79"/>
        <v>109.57142857142857</v>
      </c>
      <c r="G310" s="190">
        <f t="shared" si="84"/>
        <v>43755</v>
      </c>
      <c r="H310" s="190">
        <f t="shared" si="72"/>
        <v>8533</v>
      </c>
      <c r="I310" s="219">
        <v>1466616</v>
      </c>
      <c r="J310" s="190">
        <v>3460</v>
      </c>
      <c r="K310" s="24">
        <f t="shared" si="69"/>
        <v>3450.4285714285716</v>
      </c>
      <c r="L310" s="190">
        <v>50068</v>
      </c>
      <c r="M310" s="24">
        <f t="shared" si="69"/>
        <v>37304.714285714283</v>
      </c>
      <c r="N310" s="4">
        <f t="shared" si="80"/>
        <v>4984118</v>
      </c>
      <c r="O310" s="7">
        <v>6429</v>
      </c>
      <c r="P310" s="7">
        <v>2640401</v>
      </c>
      <c r="Q310" s="4">
        <f t="shared" si="85"/>
        <v>2646830</v>
      </c>
      <c r="R310" s="4">
        <v>11472</v>
      </c>
      <c r="S310" s="4">
        <v>325591</v>
      </c>
      <c r="T310" s="4">
        <v>1184842</v>
      </c>
      <c r="U310" s="163">
        <f t="shared" si="86"/>
        <v>140825</v>
      </c>
      <c r="V310" s="156">
        <f t="shared" si="74"/>
        <v>152359</v>
      </c>
      <c r="W310" s="57">
        <f t="shared" si="82"/>
        <v>-42</v>
      </c>
      <c r="X310" s="149">
        <f t="shared" si="73"/>
        <v>5106</v>
      </c>
      <c r="Y310" s="259">
        <f t="shared" si="83"/>
        <v>2.2709521590454126E-2</v>
      </c>
      <c r="Z310" s="110">
        <f t="shared" si="71"/>
        <v>0.20981563230329758</v>
      </c>
      <c r="AA310" s="110">
        <f t="shared" si="81"/>
        <v>0.23193927998376307</v>
      </c>
      <c r="AB310" s="110">
        <f t="shared" si="76"/>
        <v>0.23193927998376307</v>
      </c>
      <c r="AD310" s="110">
        <f t="shared" si="77"/>
        <v>0.10173548340443994</v>
      </c>
    </row>
    <row r="311" spans="1:30" x14ac:dyDescent="0.25">
      <c r="A311" s="168">
        <v>44202</v>
      </c>
      <c r="B311" s="190">
        <v>13441</v>
      </c>
      <c r="C311" s="24">
        <f t="shared" si="78"/>
        <v>8891.8571428571431</v>
      </c>
      <c r="D311" s="190">
        <f t="shared" si="87"/>
        <v>1676171</v>
      </c>
      <c r="E311" s="190">
        <v>191</v>
      </c>
      <c r="F311" s="24">
        <f t="shared" si="79"/>
        <v>116.14285714285714</v>
      </c>
      <c r="G311" s="190">
        <f t="shared" si="84"/>
        <v>43946</v>
      </c>
      <c r="H311" s="190">
        <f t="shared" si="72"/>
        <v>7432</v>
      </c>
      <c r="I311" s="219">
        <v>1474048</v>
      </c>
      <c r="J311" s="190">
        <v>3521</v>
      </c>
      <c r="K311" s="24">
        <f t="shared" si="69"/>
        <v>3462</v>
      </c>
      <c r="L311" s="190">
        <v>49116</v>
      </c>
      <c r="M311" s="24">
        <f t="shared" si="69"/>
        <v>36589</v>
      </c>
      <c r="N311" s="4">
        <f t="shared" si="80"/>
        <v>5033234</v>
      </c>
      <c r="O311" s="7">
        <v>6530</v>
      </c>
      <c r="P311" s="7">
        <v>2668047</v>
      </c>
      <c r="Q311" s="4">
        <f t="shared" si="85"/>
        <v>2674577</v>
      </c>
      <c r="R311" s="4">
        <v>11560</v>
      </c>
      <c r="S311" s="4">
        <v>327631</v>
      </c>
      <c r="T311" s="4">
        <v>1194273</v>
      </c>
      <c r="U311" s="163">
        <f t="shared" si="86"/>
        <v>142707</v>
      </c>
      <c r="V311" s="156">
        <f t="shared" si="74"/>
        <v>158177</v>
      </c>
      <c r="W311" s="57">
        <f t="shared" si="82"/>
        <v>61</v>
      </c>
      <c r="X311" s="149">
        <f t="shared" si="73"/>
        <v>5818</v>
      </c>
      <c r="Y311" s="259">
        <f t="shared" si="83"/>
        <v>2.2259873432926406E-2</v>
      </c>
      <c r="Z311" s="110">
        <f t="shared" si="71"/>
        <v>0.15618092319123256</v>
      </c>
      <c r="AA311" s="110">
        <f t="shared" si="81"/>
        <v>0.24301995525587317</v>
      </c>
      <c r="AB311" s="110">
        <f t="shared" si="76"/>
        <v>0.24301995525587317</v>
      </c>
      <c r="AD311" s="110">
        <f t="shared" si="77"/>
        <v>9.7544390399600278E-2</v>
      </c>
    </row>
    <row r="312" spans="1:30" x14ac:dyDescent="0.25">
      <c r="A312" s="168">
        <v>44203</v>
      </c>
      <c r="B312" s="190">
        <v>13835</v>
      </c>
      <c r="C312" s="24">
        <f t="shared" si="78"/>
        <v>9213</v>
      </c>
      <c r="D312" s="190">
        <f t="shared" si="87"/>
        <v>1690006</v>
      </c>
      <c r="E312" s="190">
        <v>146</v>
      </c>
      <c r="F312" s="24">
        <f t="shared" si="79"/>
        <v>125.14285714285714</v>
      </c>
      <c r="G312" s="190">
        <f t="shared" si="84"/>
        <v>44092</v>
      </c>
      <c r="H312" s="190">
        <f t="shared" si="72"/>
        <v>10746</v>
      </c>
      <c r="I312" s="219">
        <v>1484794</v>
      </c>
      <c r="J312" s="190">
        <v>3559</v>
      </c>
      <c r="K312" s="24">
        <f t="shared" si="69"/>
        <v>3479</v>
      </c>
      <c r="L312" s="190">
        <v>49166</v>
      </c>
      <c r="M312" s="24">
        <f t="shared" si="69"/>
        <v>37493.428571428572</v>
      </c>
      <c r="N312" s="4">
        <f t="shared" si="80"/>
        <v>5082400</v>
      </c>
      <c r="O312" s="7">
        <v>6628</v>
      </c>
      <c r="P312" s="7">
        <v>2696083</v>
      </c>
      <c r="Q312" s="4">
        <f t="shared" si="85"/>
        <v>2702711</v>
      </c>
      <c r="R312" s="4">
        <v>11682</v>
      </c>
      <c r="S312" s="4">
        <v>329806</v>
      </c>
      <c r="T312" s="4">
        <v>1200435</v>
      </c>
      <c r="U312" s="163">
        <f t="shared" si="86"/>
        <v>148083</v>
      </c>
      <c r="V312" s="156">
        <f t="shared" si="74"/>
        <v>161120</v>
      </c>
      <c r="W312" s="57">
        <f t="shared" si="82"/>
        <v>38</v>
      </c>
      <c r="X312" s="149">
        <f t="shared" si="73"/>
        <v>2943</v>
      </c>
      <c r="Y312" s="259">
        <f t="shared" si="83"/>
        <v>2.2089126117179742E-2</v>
      </c>
      <c r="Z312" s="110">
        <f t="shared" si="71"/>
        <v>0.17171148255813939</v>
      </c>
      <c r="AA312" s="110">
        <f t="shared" si="81"/>
        <v>0.24572306004099764</v>
      </c>
      <c r="AB312" s="110">
        <f t="shared" si="76"/>
        <v>0.24572306004099767</v>
      </c>
      <c r="AD312" s="110">
        <f t="shared" si="77"/>
        <v>8.5838674241658364E-2</v>
      </c>
    </row>
    <row r="313" spans="1:30" x14ac:dyDescent="0.25">
      <c r="A313" s="168">
        <v>44204</v>
      </c>
      <c r="B313" s="190">
        <v>13346</v>
      </c>
      <c r="C313" s="24">
        <f t="shared" si="78"/>
        <v>10536.857142857143</v>
      </c>
      <c r="D313" s="190">
        <f t="shared" si="87"/>
        <v>1703352</v>
      </c>
      <c r="E313" s="190">
        <v>151</v>
      </c>
      <c r="F313" s="24">
        <f t="shared" si="79"/>
        <v>136.28571428571428</v>
      </c>
      <c r="G313" s="190">
        <f t="shared" si="84"/>
        <v>44243</v>
      </c>
      <c r="H313" s="190">
        <f t="shared" si="72"/>
        <v>10102</v>
      </c>
      <c r="I313" s="219">
        <v>1494896</v>
      </c>
      <c r="J313" s="190">
        <v>3602</v>
      </c>
      <c r="K313" s="24">
        <f t="shared" ref="K313:M328" si="88">AVERAGE(J307:J313)</f>
        <v>3502.1428571428573</v>
      </c>
      <c r="L313" s="190">
        <v>58329</v>
      </c>
      <c r="M313" s="24">
        <f t="shared" si="88"/>
        <v>39706.857142857145</v>
      </c>
      <c r="N313" s="4">
        <f t="shared" si="80"/>
        <v>5140729</v>
      </c>
      <c r="O313" s="7">
        <v>6768</v>
      </c>
      <c r="P313" s="7">
        <v>2723301</v>
      </c>
      <c r="Q313" s="4">
        <f t="shared" si="85"/>
        <v>2730069</v>
      </c>
      <c r="R313" s="4">
        <v>11779</v>
      </c>
      <c r="S313" s="4">
        <v>332037</v>
      </c>
      <c r="T313" s="4">
        <v>1203533</v>
      </c>
      <c r="U313" s="163">
        <f t="shared" si="86"/>
        <v>156003</v>
      </c>
      <c r="V313" s="156">
        <f t="shared" si="74"/>
        <v>164213</v>
      </c>
      <c r="W313" s="57">
        <f t="shared" si="82"/>
        <v>43</v>
      </c>
      <c r="X313" s="149">
        <f t="shared" si="73"/>
        <v>3093</v>
      </c>
      <c r="Y313" s="259">
        <f t="shared" si="83"/>
        <v>2.1934925980281707E-2</v>
      </c>
      <c r="Z313" s="110">
        <f t="shared" si="71"/>
        <v>0.30390510368235901</v>
      </c>
      <c r="AA313" s="110">
        <f t="shared" si="81"/>
        <v>0.26536618360268827</v>
      </c>
      <c r="AB313" s="110">
        <f t="shared" si="76"/>
        <v>0.26536618360268827</v>
      </c>
      <c r="AD313" s="110">
        <f t="shared" si="77"/>
        <v>0.12356144888268528</v>
      </c>
    </row>
    <row r="314" spans="1:30" x14ac:dyDescent="0.25">
      <c r="A314" s="168">
        <v>44205</v>
      </c>
      <c r="B314" s="190">
        <v>11057</v>
      </c>
      <c r="C314" s="24">
        <f t="shared" si="78"/>
        <v>11367.857142857143</v>
      </c>
      <c r="D314" s="190">
        <f t="shared" si="87"/>
        <v>1714409</v>
      </c>
      <c r="E314" s="190">
        <v>144</v>
      </c>
      <c r="F314" s="24">
        <f t="shared" si="79"/>
        <v>148.85714285714286</v>
      </c>
      <c r="G314" s="190">
        <f t="shared" si="84"/>
        <v>44387</v>
      </c>
      <c r="H314" s="190">
        <f t="shared" si="72"/>
        <v>9434</v>
      </c>
      <c r="I314" s="219">
        <v>1504330</v>
      </c>
      <c r="J314" s="190">
        <v>3597</v>
      </c>
      <c r="K314" s="24">
        <f t="shared" si="88"/>
        <v>3524.8571428571427</v>
      </c>
      <c r="L314" s="190">
        <v>31990</v>
      </c>
      <c r="M314" s="24">
        <f t="shared" si="88"/>
        <v>41809.714285714283</v>
      </c>
      <c r="N314" s="4">
        <f t="shared" si="80"/>
        <v>5172719</v>
      </c>
      <c r="O314" s="7">
        <v>6802</v>
      </c>
      <c r="P314" s="7">
        <v>2743144</v>
      </c>
      <c r="Q314" s="4">
        <f t="shared" si="85"/>
        <v>2749946</v>
      </c>
      <c r="R314" s="4">
        <v>11857</v>
      </c>
      <c r="S314" s="4">
        <v>333247</v>
      </c>
      <c r="T314" s="4">
        <v>1209389</v>
      </c>
      <c r="U314" s="163">
        <f t="shared" si="86"/>
        <v>159916</v>
      </c>
      <c r="V314" s="156">
        <f t="shared" si="74"/>
        <v>165692</v>
      </c>
      <c r="W314" s="57">
        <f t="shared" si="82"/>
        <v>-5</v>
      </c>
      <c r="X314" s="149">
        <f t="shared" si="73"/>
        <v>1479</v>
      </c>
      <c r="Y314" s="259">
        <f t="shared" si="83"/>
        <v>2.1708953962774304E-2</v>
      </c>
      <c r="Z314" s="110">
        <f t="shared" si="71"/>
        <v>0.38581703557931779</v>
      </c>
      <c r="AA314" s="110">
        <f t="shared" si="81"/>
        <v>0.27189511665094923</v>
      </c>
      <c r="AB314" s="110">
        <f t="shared" si="76"/>
        <v>0.27189511665094918</v>
      </c>
      <c r="AD314" s="110">
        <f t="shared" si="77"/>
        <v>0.14747536306155951</v>
      </c>
    </row>
    <row r="315" spans="1:30" x14ac:dyDescent="0.25">
      <c r="A315" s="168">
        <v>44206</v>
      </c>
      <c r="B315" s="190">
        <v>7808</v>
      </c>
      <c r="C315" s="24">
        <f t="shared" si="78"/>
        <v>11642.714285714286</v>
      </c>
      <c r="D315" s="190">
        <f t="shared" si="87"/>
        <v>1722217</v>
      </c>
      <c r="E315" s="190">
        <v>78</v>
      </c>
      <c r="F315" s="24">
        <f t="shared" si="79"/>
        <v>144.71428571428572</v>
      </c>
      <c r="G315" s="190">
        <f t="shared" si="84"/>
        <v>44465</v>
      </c>
      <c r="H315" s="190">
        <f t="shared" si="72"/>
        <v>7420</v>
      </c>
      <c r="I315" s="219">
        <v>1511750</v>
      </c>
      <c r="J315" s="190">
        <v>3612</v>
      </c>
      <c r="K315" s="24">
        <f t="shared" si="88"/>
        <v>3550.4285714285716</v>
      </c>
      <c r="L315" s="190">
        <v>38365</v>
      </c>
      <c r="M315" s="24">
        <f t="shared" si="88"/>
        <v>44121.857142857145</v>
      </c>
      <c r="N315" s="4">
        <f t="shared" si="80"/>
        <v>5211084</v>
      </c>
      <c r="O315" s="7">
        <v>6832</v>
      </c>
      <c r="P315" s="7">
        <v>2767568</v>
      </c>
      <c r="Q315" s="4">
        <f t="shared" si="85"/>
        <v>2774400</v>
      </c>
      <c r="R315" s="4">
        <v>11922</v>
      </c>
      <c r="S315" s="4">
        <v>334269</v>
      </c>
      <c r="T315" s="4">
        <v>1213524</v>
      </c>
      <c r="U315" s="163">
        <f t="shared" si="86"/>
        <v>162502</v>
      </c>
      <c r="V315" s="156">
        <f t="shared" si="74"/>
        <v>166002</v>
      </c>
      <c r="W315" s="57">
        <f t="shared" si="82"/>
        <v>15</v>
      </c>
      <c r="X315" s="149">
        <f t="shared" si="73"/>
        <v>310</v>
      </c>
      <c r="Y315" s="259">
        <f t="shared" si="83"/>
        <v>2.1758773990674812E-2</v>
      </c>
      <c r="Z315" s="110">
        <f t="shared" ref="Z315:Z378" si="89">C315/C309-1</f>
        <v>0.39488592602735029</v>
      </c>
      <c r="AA315" s="110">
        <f t="shared" si="81"/>
        <v>0.26387634246712838</v>
      </c>
      <c r="AB315" s="110">
        <f t="shared" si="76"/>
        <v>0.26387634246712838</v>
      </c>
      <c r="AD315" s="110">
        <f t="shared" si="77"/>
        <v>0.15034717891147986</v>
      </c>
    </row>
    <row r="316" spans="1:30" x14ac:dyDescent="0.25">
      <c r="A316" s="170">
        <v>44207</v>
      </c>
      <c r="B316" s="197">
        <v>8704</v>
      </c>
      <c r="C316" s="24">
        <f t="shared" si="78"/>
        <v>11711.571428571429</v>
      </c>
      <c r="D316" s="197">
        <f t="shared" si="87"/>
        <v>1730921</v>
      </c>
      <c r="E316" s="197">
        <v>160</v>
      </c>
      <c r="F316" s="24">
        <f t="shared" si="79"/>
        <v>145.85714285714286</v>
      </c>
      <c r="G316" s="197">
        <f t="shared" si="84"/>
        <v>44625</v>
      </c>
      <c r="H316" s="197">
        <f t="shared" si="72"/>
        <v>6965</v>
      </c>
      <c r="I316" s="220">
        <v>1518715</v>
      </c>
      <c r="J316" s="197">
        <v>3606</v>
      </c>
      <c r="K316" s="24">
        <f t="shared" si="88"/>
        <v>3565.2857142857142</v>
      </c>
      <c r="L316" s="197">
        <v>32363</v>
      </c>
      <c r="M316" s="24">
        <f t="shared" si="88"/>
        <v>44199.571428571428</v>
      </c>
      <c r="N316" s="4">
        <f t="shared" si="80"/>
        <v>5243447</v>
      </c>
      <c r="O316" s="47">
        <v>6966</v>
      </c>
      <c r="P316" s="47">
        <v>2785278</v>
      </c>
      <c r="Q316" s="30">
        <f t="shared" si="85"/>
        <v>2792244</v>
      </c>
      <c r="R316" s="30">
        <v>11973</v>
      </c>
      <c r="S316" s="30">
        <v>335669</v>
      </c>
      <c r="T316" s="30">
        <v>1223533</v>
      </c>
      <c r="U316" s="171">
        <f t="shared" si="86"/>
        <v>159746</v>
      </c>
      <c r="V316" s="156">
        <f t="shared" si="74"/>
        <v>167581</v>
      </c>
      <c r="W316" s="57">
        <f t="shared" si="82"/>
        <v>-6</v>
      </c>
      <c r="X316" s="149">
        <f t="shared" si="73"/>
        <v>1579</v>
      </c>
      <c r="Y316" s="259">
        <f t="shared" si="83"/>
        <v>2.1517952512516335E-2</v>
      </c>
      <c r="Z316" s="110">
        <f t="shared" si="89"/>
        <v>0.3535588686908715</v>
      </c>
      <c r="AA316" s="110">
        <f t="shared" si="81"/>
        <v>0.26497024858030299</v>
      </c>
      <c r="AB316" s="110">
        <f t="shared" si="76"/>
        <v>0.26497024858030299</v>
      </c>
      <c r="AD316" s="110">
        <f t="shared" si="77"/>
        <v>0.13804812126068744</v>
      </c>
    </row>
    <row r="317" spans="1:30" x14ac:dyDescent="0.25">
      <c r="A317" s="168">
        <v>44208</v>
      </c>
      <c r="B317" s="190">
        <v>13783</v>
      </c>
      <c r="C317" s="24">
        <f t="shared" si="78"/>
        <v>11710.571428571429</v>
      </c>
      <c r="D317" s="190">
        <f t="shared" si="87"/>
        <v>1744704</v>
      </c>
      <c r="E317" s="190">
        <v>192</v>
      </c>
      <c r="F317" s="24">
        <f t="shared" si="79"/>
        <v>151.71428571428572</v>
      </c>
      <c r="G317" s="190">
        <f t="shared" si="84"/>
        <v>44817</v>
      </c>
      <c r="H317" s="190">
        <f t="shared" si="72"/>
        <v>9146</v>
      </c>
      <c r="I317" s="219">
        <v>1527861</v>
      </c>
      <c r="J317" s="190">
        <v>3619</v>
      </c>
      <c r="K317" s="24">
        <f t="shared" si="88"/>
        <v>3588</v>
      </c>
      <c r="L317" s="190">
        <v>54031</v>
      </c>
      <c r="M317" s="24">
        <f t="shared" si="88"/>
        <v>44765.714285714283</v>
      </c>
      <c r="N317" s="4">
        <f t="shared" si="80"/>
        <v>5297478</v>
      </c>
      <c r="O317" s="7">
        <v>7093</v>
      </c>
      <c r="P317" s="7">
        <v>2816031</v>
      </c>
      <c r="Q317" s="4">
        <f t="shared" si="85"/>
        <v>2823124</v>
      </c>
      <c r="R317" s="4">
        <v>12085</v>
      </c>
      <c r="S317" s="4">
        <v>337864</v>
      </c>
      <c r="T317" s="4">
        <v>1234734</v>
      </c>
      <c r="U317" s="163">
        <f t="shared" si="86"/>
        <v>160021</v>
      </c>
      <c r="V317" s="232">
        <f t="shared" si="74"/>
        <v>172026</v>
      </c>
      <c r="W317" s="57">
        <f t="shared" si="82"/>
        <v>13</v>
      </c>
      <c r="X317" s="149">
        <f t="shared" si="73"/>
        <v>4445</v>
      </c>
      <c r="Y317" s="259">
        <f t="shared" si="83"/>
        <v>2.1037517584551173E-2</v>
      </c>
      <c r="Z317" s="110">
        <f t="shared" si="89"/>
        <v>0.31699950195202686</v>
      </c>
      <c r="AA317" s="110">
        <f t="shared" si="81"/>
        <v>0.26159688537145781</v>
      </c>
      <c r="AB317" s="110">
        <f t="shared" si="76"/>
        <v>0.26159688537145775</v>
      </c>
      <c r="AD317" s="110">
        <f t="shared" si="77"/>
        <v>0.129083283560538</v>
      </c>
    </row>
    <row r="318" spans="1:30" x14ac:dyDescent="0.25">
      <c r="A318" s="168">
        <v>44209</v>
      </c>
      <c r="B318" s="190">
        <v>12725</v>
      </c>
      <c r="C318" s="24">
        <f t="shared" si="78"/>
        <v>11608.285714285714</v>
      </c>
      <c r="D318" s="190">
        <f t="shared" si="87"/>
        <v>1757429</v>
      </c>
      <c r="E318" s="190">
        <v>134</v>
      </c>
      <c r="F318" s="24">
        <f t="shared" si="79"/>
        <v>143.57142857142858</v>
      </c>
      <c r="G318" s="190">
        <f t="shared" si="84"/>
        <v>44951</v>
      </c>
      <c r="H318" s="190">
        <f t="shared" si="72"/>
        <v>8562</v>
      </c>
      <c r="I318" s="219">
        <v>1536423</v>
      </c>
      <c r="J318" s="190">
        <v>3636</v>
      </c>
      <c r="K318" s="24">
        <f t="shared" si="88"/>
        <v>3604.4285714285716</v>
      </c>
      <c r="L318" s="190">
        <v>50648</v>
      </c>
      <c r="M318" s="24">
        <f t="shared" si="88"/>
        <v>44984.571428571428</v>
      </c>
      <c r="N318" s="4">
        <f t="shared" si="80"/>
        <v>5348126</v>
      </c>
      <c r="O318" s="7">
        <v>7265</v>
      </c>
      <c r="P318" s="7">
        <v>2845101</v>
      </c>
      <c r="Q318" s="4">
        <f t="shared" si="85"/>
        <v>2852366</v>
      </c>
      <c r="R318" s="4">
        <v>12177</v>
      </c>
      <c r="S318" s="4">
        <v>339755</v>
      </c>
      <c r="T318" s="4">
        <v>1245296</v>
      </c>
      <c r="U318" s="163">
        <f t="shared" si="86"/>
        <v>160201</v>
      </c>
      <c r="V318" s="156">
        <f t="shared" si="74"/>
        <v>176055</v>
      </c>
      <c r="W318" s="57">
        <f t="shared" si="82"/>
        <v>17</v>
      </c>
      <c r="X318" s="149">
        <f t="shared" si="73"/>
        <v>4029</v>
      </c>
      <c r="Y318" s="259">
        <f t="shared" si="83"/>
        <v>2.0652636960040896E-2</v>
      </c>
      <c r="Z318" s="110">
        <f t="shared" si="89"/>
        <v>0.25998976601386237</v>
      </c>
      <c r="AA318" s="110">
        <f t="shared" si="81"/>
        <v>0.2580503791776228</v>
      </c>
      <c r="AB318" s="110">
        <f t="shared" si="76"/>
        <v>0.2580503791776228</v>
      </c>
      <c r="AD318" s="110">
        <f t="shared" si="77"/>
        <v>0.11302528180456073</v>
      </c>
    </row>
    <row r="319" spans="1:30" x14ac:dyDescent="0.25">
      <c r="A319" s="168">
        <v>44210</v>
      </c>
      <c r="B319" s="190">
        <v>13286</v>
      </c>
      <c r="C319" s="24">
        <f t="shared" si="78"/>
        <v>11529.857142857143</v>
      </c>
      <c r="D319" s="190">
        <f t="shared" si="87"/>
        <v>1770715</v>
      </c>
      <c r="E319" s="244">
        <v>142</v>
      </c>
      <c r="F319" s="24">
        <f t="shared" si="79"/>
        <v>143</v>
      </c>
      <c r="G319" s="190">
        <f t="shared" si="84"/>
        <v>45093</v>
      </c>
      <c r="H319" s="190">
        <f t="shared" si="72"/>
        <v>13067</v>
      </c>
      <c r="I319" s="219">
        <v>1549490</v>
      </c>
      <c r="J319" s="190">
        <v>3634</v>
      </c>
      <c r="K319" s="24">
        <f t="shared" si="88"/>
        <v>3615.1428571428573</v>
      </c>
      <c r="L319" s="190">
        <v>50729</v>
      </c>
      <c r="M319" s="24">
        <f t="shared" si="88"/>
        <v>45207.857142857145</v>
      </c>
      <c r="N319" s="4">
        <f t="shared" si="80"/>
        <v>5398855</v>
      </c>
      <c r="O319" s="7">
        <v>7473</v>
      </c>
      <c r="P319" s="7">
        <v>2874691</v>
      </c>
      <c r="Q319" s="4">
        <f t="shared" si="85"/>
        <v>2882164</v>
      </c>
      <c r="R319" s="4">
        <v>12303</v>
      </c>
      <c r="S319" s="4">
        <v>342210</v>
      </c>
      <c r="T319" s="4">
        <v>1255146</v>
      </c>
      <c r="U319" s="163">
        <f t="shared" si="86"/>
        <v>161056</v>
      </c>
      <c r="V319" s="156">
        <f t="shared" si="74"/>
        <v>176132</v>
      </c>
      <c r="W319" s="57">
        <f t="shared" si="82"/>
        <v>-2</v>
      </c>
      <c r="X319" s="149">
        <f t="shared" si="73"/>
        <v>77</v>
      </c>
      <c r="Y319" s="259">
        <f t="shared" si="83"/>
        <v>2.0632253082915088E-2</v>
      </c>
      <c r="Z319" s="110">
        <f t="shared" si="89"/>
        <v>9.4240624745790313E-2</v>
      </c>
      <c r="AA319" s="110">
        <f t="shared" si="81"/>
        <v>0.25504100109020239</v>
      </c>
      <c r="AB319" s="110">
        <f t="shared" si="76"/>
        <v>0.25504100109020239</v>
      </c>
      <c r="AD319" s="110">
        <f t="shared" si="77"/>
        <v>9.3172790466732769E-2</v>
      </c>
    </row>
    <row r="320" spans="1:30" x14ac:dyDescent="0.25">
      <c r="A320" s="168">
        <v>44211</v>
      </c>
      <c r="B320" s="190">
        <v>12332</v>
      </c>
      <c r="C320" s="24">
        <f t="shared" si="78"/>
        <v>11385</v>
      </c>
      <c r="D320" s="190">
        <f t="shared" si="87"/>
        <v>1783047</v>
      </c>
      <c r="E320" s="190">
        <v>103</v>
      </c>
      <c r="F320" s="24">
        <f t="shared" si="79"/>
        <v>136.14285714285714</v>
      </c>
      <c r="G320" s="190">
        <f t="shared" si="84"/>
        <v>45196</v>
      </c>
      <c r="H320" s="190">
        <f t="shared" si="72"/>
        <v>12473</v>
      </c>
      <c r="I320" s="219">
        <v>1561963</v>
      </c>
      <c r="J320" s="190">
        <v>3578</v>
      </c>
      <c r="K320" s="24">
        <f t="shared" si="88"/>
        <v>3611.7142857142858</v>
      </c>
      <c r="L320" s="190">
        <v>52120</v>
      </c>
      <c r="M320" s="24">
        <f t="shared" si="88"/>
        <v>44320.857142857145</v>
      </c>
      <c r="N320" s="4">
        <f t="shared" si="80"/>
        <v>5450975</v>
      </c>
      <c r="O320" s="7">
        <v>7640</v>
      </c>
      <c r="P320" s="7">
        <v>2906590</v>
      </c>
      <c r="Q320" s="4">
        <f t="shared" si="85"/>
        <v>2914230</v>
      </c>
      <c r="R320" s="4">
        <v>12408</v>
      </c>
      <c r="S320" s="4">
        <v>344202</v>
      </c>
      <c r="T320" s="4">
        <v>1264935</v>
      </c>
      <c r="U320" s="163">
        <f t="shared" si="86"/>
        <v>161502</v>
      </c>
      <c r="V320" s="156">
        <f t="shared" si="74"/>
        <v>175888</v>
      </c>
      <c r="W320" s="57">
        <f t="shared" si="82"/>
        <v>-56</v>
      </c>
      <c r="X320" s="149">
        <f t="shared" si="73"/>
        <v>-244</v>
      </c>
      <c r="Y320" s="259">
        <f t="shared" si="83"/>
        <v>2.0342490675884655E-2</v>
      </c>
      <c r="Z320" s="110">
        <f t="shared" si="89"/>
        <v>1.5080113100847115E-3</v>
      </c>
      <c r="AA320" s="110">
        <f t="shared" si="81"/>
        <v>0.25687680099018195</v>
      </c>
      <c r="AB320" s="110">
        <f t="shared" si="76"/>
        <v>0.25687680099018201</v>
      </c>
      <c r="AD320" s="110">
        <f t="shared" si="77"/>
        <v>7.1096685402495474E-2</v>
      </c>
    </row>
    <row r="321" spans="1:30" x14ac:dyDescent="0.25">
      <c r="A321" s="168">
        <v>44212</v>
      </c>
      <c r="B321" s="190">
        <v>8932</v>
      </c>
      <c r="C321" s="24">
        <f t="shared" si="78"/>
        <v>11081.428571428571</v>
      </c>
      <c r="D321" s="190">
        <f t="shared" si="87"/>
        <v>1791979</v>
      </c>
      <c r="E321" s="190">
        <v>68</v>
      </c>
      <c r="F321" s="24">
        <f t="shared" si="79"/>
        <v>125.28571428571429</v>
      </c>
      <c r="G321" s="190">
        <f t="shared" si="84"/>
        <v>45264</v>
      </c>
      <c r="H321" s="190">
        <f t="shared" si="72"/>
        <v>11141</v>
      </c>
      <c r="I321" s="219">
        <v>1573104</v>
      </c>
      <c r="J321" s="190">
        <v>3578</v>
      </c>
      <c r="K321" s="24">
        <f t="shared" si="88"/>
        <v>3609</v>
      </c>
      <c r="L321" s="190">
        <v>43513</v>
      </c>
      <c r="M321" s="24">
        <f t="shared" si="88"/>
        <v>45967</v>
      </c>
      <c r="N321" s="4">
        <f t="shared" si="80"/>
        <v>5494488</v>
      </c>
      <c r="O321" s="7">
        <v>7674</v>
      </c>
      <c r="P321" s="7">
        <v>2934432</v>
      </c>
      <c r="Q321" s="4">
        <f t="shared" si="85"/>
        <v>2942106</v>
      </c>
      <c r="R321" s="4">
        <v>12474</v>
      </c>
      <c r="S321" s="4">
        <v>345365</v>
      </c>
      <c r="T321" s="4">
        <v>1271065</v>
      </c>
      <c r="U321" s="163">
        <f t="shared" si="86"/>
        <v>163075</v>
      </c>
      <c r="V321" s="156">
        <f t="shared" si="74"/>
        <v>173611</v>
      </c>
      <c r="W321" s="57">
        <f t="shared" si="82"/>
        <v>0</v>
      </c>
      <c r="X321" s="149">
        <f t="shared" si="73"/>
        <v>-2277</v>
      </c>
      <c r="Y321" s="259">
        <f t="shared" si="83"/>
        <v>2.0609293189947642E-2</v>
      </c>
      <c r="Z321" s="110">
        <f t="shared" si="89"/>
        <v>-4.8209180480742186E-2</v>
      </c>
      <c r="AA321" s="110">
        <f t="shared" si="81"/>
        <v>0.24107356519739315</v>
      </c>
      <c r="AB321" s="110">
        <f t="shared" si="76"/>
        <v>0.24107356519739317</v>
      </c>
      <c r="AD321" s="110">
        <f t="shared" si="77"/>
        <v>4.7793496366752786E-2</v>
      </c>
    </row>
    <row r="322" spans="1:30" x14ac:dyDescent="0.25">
      <c r="A322" s="168">
        <v>44213</v>
      </c>
      <c r="B322" s="190">
        <v>7264</v>
      </c>
      <c r="C322" s="24">
        <f t="shared" si="78"/>
        <v>11003.714285714286</v>
      </c>
      <c r="D322" s="190">
        <f t="shared" si="87"/>
        <v>1799243</v>
      </c>
      <c r="E322" s="190">
        <v>112</v>
      </c>
      <c r="F322" s="24">
        <f t="shared" si="79"/>
        <v>130.14285714285714</v>
      </c>
      <c r="G322" s="190">
        <f t="shared" si="84"/>
        <v>45376</v>
      </c>
      <c r="H322" s="190">
        <f t="shared" si="72"/>
        <v>10361</v>
      </c>
      <c r="I322" s="219">
        <v>1583465</v>
      </c>
      <c r="J322" s="190">
        <v>3547</v>
      </c>
      <c r="K322" s="24">
        <f t="shared" si="88"/>
        <v>3599.7142857142858</v>
      </c>
      <c r="L322" s="190">
        <v>39591</v>
      </c>
      <c r="M322" s="24">
        <f t="shared" si="88"/>
        <v>46142.142857142855</v>
      </c>
      <c r="N322" s="4">
        <f t="shared" si="80"/>
        <v>5534079</v>
      </c>
      <c r="O322" s="7">
        <v>7844</v>
      </c>
      <c r="P322" s="7">
        <v>2961095</v>
      </c>
      <c r="Q322" s="4">
        <f t="shared" si="85"/>
        <v>2968939</v>
      </c>
      <c r="R322" s="4">
        <v>12530</v>
      </c>
      <c r="S322" s="4">
        <v>346241</v>
      </c>
      <c r="T322" s="4">
        <v>1275780</v>
      </c>
      <c r="U322" s="163">
        <f t="shared" si="86"/>
        <v>164692</v>
      </c>
      <c r="V322" s="156">
        <f t="shared" si="74"/>
        <v>170402</v>
      </c>
      <c r="W322" s="57">
        <f t="shared" si="82"/>
        <v>-31</v>
      </c>
      <c r="X322" s="149">
        <f t="shared" si="73"/>
        <v>-3209</v>
      </c>
      <c r="Y322" s="259">
        <f t="shared" si="83"/>
        <v>2.0815483386345229E-2</v>
      </c>
      <c r="Z322" s="110">
        <f t="shared" si="89"/>
        <v>-6.0440833851746145E-2</v>
      </c>
      <c r="AA322" s="110">
        <f t="shared" si="81"/>
        <v>0.23847427978761282</v>
      </c>
      <c r="AB322" s="110">
        <f t="shared" si="76"/>
        <v>0.23847427978761282</v>
      </c>
      <c r="AD322" s="110">
        <f t="shared" si="77"/>
        <v>2.6505704750545256E-2</v>
      </c>
    </row>
    <row r="323" spans="1:30" x14ac:dyDescent="0.25">
      <c r="A323" s="168">
        <v>44214</v>
      </c>
      <c r="B323" s="190">
        <v>8185</v>
      </c>
      <c r="C323" s="24">
        <f t="shared" si="78"/>
        <v>10929.571428571429</v>
      </c>
      <c r="D323" s="190">
        <f t="shared" si="87"/>
        <v>1807428</v>
      </c>
      <c r="E323" s="190">
        <v>424</v>
      </c>
      <c r="F323" s="24">
        <f t="shared" si="79"/>
        <v>167.85714285714286</v>
      </c>
      <c r="G323" s="190">
        <f t="shared" si="84"/>
        <v>45800</v>
      </c>
      <c r="H323" s="190">
        <f t="shared" ref="H323:H386" si="90">I323-I322</f>
        <v>11303</v>
      </c>
      <c r="I323" s="219">
        <v>1594768</v>
      </c>
      <c r="J323" s="190">
        <v>3564</v>
      </c>
      <c r="K323" s="24">
        <f t="shared" si="88"/>
        <v>3593.7142857142858</v>
      </c>
      <c r="L323" s="190">
        <v>41451</v>
      </c>
      <c r="M323" s="24">
        <f t="shared" si="88"/>
        <v>47440.428571428572</v>
      </c>
      <c r="N323" s="4">
        <f t="shared" si="80"/>
        <v>5575530</v>
      </c>
      <c r="O323" s="7">
        <v>8070</v>
      </c>
      <c r="P323" s="7">
        <v>2987077</v>
      </c>
      <c r="Q323" s="4">
        <f t="shared" si="85"/>
        <v>2995147</v>
      </c>
      <c r="R323" s="4">
        <v>12585</v>
      </c>
      <c r="S323" s="4">
        <v>347936</v>
      </c>
      <c r="T323" s="4">
        <v>1285430</v>
      </c>
      <c r="U323" s="163">
        <f t="shared" si="86"/>
        <v>161477</v>
      </c>
      <c r="V323" s="156">
        <f t="shared" si="74"/>
        <v>166860</v>
      </c>
      <c r="W323" s="57">
        <f t="shared" si="82"/>
        <v>17</v>
      </c>
      <c r="X323" s="149">
        <f t="shared" si="73"/>
        <v>-3542</v>
      </c>
      <c r="Y323" s="259">
        <f t="shared" si="83"/>
        <v>2.1359223300970873E-2</v>
      </c>
      <c r="Z323" s="110">
        <f t="shared" si="89"/>
        <v>-6.6691877912508857E-2</v>
      </c>
      <c r="AA323" s="110">
        <f t="shared" si="81"/>
        <v>0.23038517479063969</v>
      </c>
      <c r="AB323" s="110">
        <f t="shared" si="76"/>
        <v>0.23038517479063969</v>
      </c>
      <c r="AD323" s="110">
        <f t="shared" si="77"/>
        <v>-4.3023970497848563E-3</v>
      </c>
    </row>
    <row r="324" spans="1:30" x14ac:dyDescent="0.25">
      <c r="A324" s="168">
        <v>44215</v>
      </c>
      <c r="B324" s="190">
        <v>12141</v>
      </c>
      <c r="C324" s="24">
        <f t="shared" si="78"/>
        <v>10695</v>
      </c>
      <c r="D324" s="190">
        <f t="shared" si="87"/>
        <v>1819569</v>
      </c>
      <c r="E324" s="190">
        <v>235</v>
      </c>
      <c r="F324" s="24">
        <f t="shared" si="79"/>
        <v>174</v>
      </c>
      <c r="G324" s="190">
        <f t="shared" si="84"/>
        <v>46035</v>
      </c>
      <c r="H324" s="190">
        <f t="shared" si="90"/>
        <v>9605</v>
      </c>
      <c r="I324" s="219">
        <v>1604373</v>
      </c>
      <c r="J324" s="190">
        <v>3562</v>
      </c>
      <c r="K324" s="24">
        <f t="shared" si="88"/>
        <v>3585.5714285714284</v>
      </c>
      <c r="L324" s="190">
        <v>49566</v>
      </c>
      <c r="M324" s="24">
        <f t="shared" si="88"/>
        <v>46802.571428571428</v>
      </c>
      <c r="N324" s="4">
        <f t="shared" si="80"/>
        <v>5625096</v>
      </c>
      <c r="O324" s="7">
        <v>8115</v>
      </c>
      <c r="P324" s="7">
        <v>3016503</v>
      </c>
      <c r="Q324" s="4">
        <f t="shared" si="85"/>
        <v>3024618</v>
      </c>
      <c r="R324" s="4">
        <v>12688</v>
      </c>
      <c r="S324" s="4">
        <v>349683</v>
      </c>
      <c r="T324" s="4">
        <v>1295213</v>
      </c>
      <c r="U324" s="163">
        <f t="shared" si="86"/>
        <v>161985</v>
      </c>
      <c r="V324" s="156">
        <f t="shared" si="74"/>
        <v>169161</v>
      </c>
      <c r="W324" s="57">
        <f t="shared" si="82"/>
        <v>-2</v>
      </c>
      <c r="X324" s="149">
        <f t="shared" si="73"/>
        <v>2301</v>
      </c>
      <c r="Y324" s="259">
        <f t="shared" si="83"/>
        <v>2.1056862988513902E-2</v>
      </c>
      <c r="Z324" s="110">
        <f t="shared" si="89"/>
        <v>-7.8675330429003876E-2</v>
      </c>
      <c r="AA324" s="110">
        <f t="shared" si="81"/>
        <v>0.22851308536161016</v>
      </c>
      <c r="AB324" s="110">
        <f t="shared" si="76"/>
        <v>0.22851308536161016</v>
      </c>
      <c r="AD324" s="110">
        <f t="shared" si="77"/>
        <v>-1.665445920965436E-2</v>
      </c>
    </row>
    <row r="325" spans="1:30" x14ac:dyDescent="0.25">
      <c r="A325" s="261">
        <v>44216</v>
      </c>
      <c r="B325" s="262">
        <v>12112</v>
      </c>
      <c r="C325" s="24">
        <f t="shared" si="78"/>
        <v>10607.428571428571</v>
      </c>
      <c r="D325" s="190">
        <f t="shared" si="87"/>
        <v>1831681</v>
      </c>
      <c r="E325" s="219">
        <v>149</v>
      </c>
      <c r="F325" s="24">
        <f t="shared" si="79"/>
        <v>176.14285714285714</v>
      </c>
      <c r="G325" s="190">
        <f t="shared" si="84"/>
        <v>46184</v>
      </c>
      <c r="H325" s="190">
        <f t="shared" si="90"/>
        <v>9400</v>
      </c>
      <c r="I325" s="219">
        <v>1613773</v>
      </c>
      <c r="J325" s="190">
        <v>3605</v>
      </c>
      <c r="K325" s="24">
        <f t="shared" si="88"/>
        <v>3581.1428571428573</v>
      </c>
      <c r="L325" s="190">
        <v>54998</v>
      </c>
      <c r="M325" s="24">
        <f t="shared" si="88"/>
        <v>47424</v>
      </c>
      <c r="N325" s="4">
        <f t="shared" si="80"/>
        <v>5680094</v>
      </c>
      <c r="O325" s="7">
        <v>8185</v>
      </c>
      <c r="P325" s="7">
        <v>3071885</v>
      </c>
      <c r="Q325" s="4">
        <f t="shared" si="85"/>
        <v>3080070</v>
      </c>
      <c r="R325" s="4"/>
      <c r="S325" s="4"/>
      <c r="T325" s="4"/>
      <c r="U325" s="4"/>
      <c r="V325" s="258">
        <f t="shared" si="74"/>
        <v>171724</v>
      </c>
      <c r="W325" s="57">
        <f t="shared" si="82"/>
        <v>43</v>
      </c>
      <c r="X325" s="149">
        <f t="shared" si="73"/>
        <v>2563</v>
      </c>
      <c r="Y325" s="259">
        <f t="shared" si="83"/>
        <v>2.0992988749388555E-2</v>
      </c>
      <c r="Z325" s="110">
        <f t="shared" si="89"/>
        <v>-8.0003469253738801E-2</v>
      </c>
      <c r="AA325" s="110">
        <f t="shared" si="81"/>
        <v>0.22367216117216115</v>
      </c>
      <c r="AB325" s="110">
        <f t="shared" si="76"/>
        <v>0.22367216117216118</v>
      </c>
      <c r="AD325" s="110">
        <f t="shared" si="77"/>
        <v>-2.4600266962028883E-2</v>
      </c>
    </row>
    <row r="326" spans="1:30" x14ac:dyDescent="0.25">
      <c r="A326" s="168">
        <v>44217</v>
      </c>
      <c r="B326" s="212">
        <v>11396</v>
      </c>
      <c r="C326" s="24">
        <f t="shared" si="78"/>
        <v>10337.428571428571</v>
      </c>
      <c r="D326" s="190">
        <f t="shared" si="87"/>
        <v>1843077</v>
      </c>
      <c r="E326" s="190">
        <v>142</v>
      </c>
      <c r="F326" s="24">
        <f t="shared" si="79"/>
        <v>176.14285714285714</v>
      </c>
      <c r="G326" s="190">
        <f t="shared" si="84"/>
        <v>46326</v>
      </c>
      <c r="H326" s="190">
        <f t="shared" si="90"/>
        <v>11982</v>
      </c>
      <c r="I326" s="219">
        <v>1625755</v>
      </c>
      <c r="J326" s="190">
        <v>3616</v>
      </c>
      <c r="K326" s="24">
        <f t="shared" si="88"/>
        <v>3578.5714285714284</v>
      </c>
      <c r="L326" s="190">
        <v>53963</v>
      </c>
      <c r="M326" s="24">
        <f t="shared" si="88"/>
        <v>47886</v>
      </c>
      <c r="N326" s="4">
        <f t="shared" si="80"/>
        <v>5734057</v>
      </c>
      <c r="O326" s="7">
        <v>8272</v>
      </c>
      <c r="P326" s="7">
        <v>3085519</v>
      </c>
      <c r="Q326" s="4">
        <f t="shared" si="85"/>
        <v>3093791</v>
      </c>
      <c r="R326" s="4"/>
      <c r="S326" s="4"/>
      <c r="T326" s="4"/>
      <c r="U326" s="4"/>
      <c r="V326" s="258">
        <f t="shared" si="74"/>
        <v>170996</v>
      </c>
      <c r="W326" s="57">
        <f t="shared" si="82"/>
        <v>11</v>
      </c>
      <c r="X326" s="149">
        <f t="shared" si="73"/>
        <v>-728</v>
      </c>
      <c r="Y326" s="259">
        <f t="shared" si="83"/>
        <v>2.1146693489906197E-2</v>
      </c>
      <c r="Z326" s="110">
        <f t="shared" si="89"/>
        <v>-9.2013300708952972E-2</v>
      </c>
      <c r="AA326" s="110">
        <f t="shared" si="81"/>
        <v>0.21587580026372155</v>
      </c>
      <c r="AB326" s="110">
        <f t="shared" si="76"/>
        <v>0.21587580026372158</v>
      </c>
      <c r="AD326" s="110">
        <f t="shared" si="77"/>
        <v>-2.9159948220652709E-2</v>
      </c>
    </row>
    <row r="327" spans="1:30" x14ac:dyDescent="0.25">
      <c r="A327" s="168">
        <v>44218</v>
      </c>
      <c r="B327" s="190">
        <v>10753</v>
      </c>
      <c r="C327" s="24">
        <f t="shared" si="78"/>
        <v>10111.857142857143</v>
      </c>
      <c r="D327" s="190">
        <f t="shared" si="87"/>
        <v>1853830</v>
      </c>
      <c r="E327" s="190">
        <v>220</v>
      </c>
      <c r="F327" s="24">
        <f t="shared" si="79"/>
        <v>192.85714285714286</v>
      </c>
      <c r="G327" s="190">
        <f t="shared" si="84"/>
        <v>46546</v>
      </c>
      <c r="H327" s="190">
        <f t="shared" si="90"/>
        <v>11071</v>
      </c>
      <c r="I327" s="219">
        <v>1636826</v>
      </c>
      <c r="J327" s="190">
        <v>3631</v>
      </c>
      <c r="K327" s="24">
        <f t="shared" si="88"/>
        <v>3586.1428571428573</v>
      </c>
      <c r="L327" s="190">
        <v>55439</v>
      </c>
      <c r="M327" s="24">
        <f t="shared" si="88"/>
        <v>48360.142857142855</v>
      </c>
      <c r="N327" s="4">
        <f t="shared" si="80"/>
        <v>5789496</v>
      </c>
      <c r="O327" s="7">
        <v>8396</v>
      </c>
      <c r="P327" s="7">
        <v>3122500</v>
      </c>
      <c r="Q327" s="4">
        <f t="shared" si="85"/>
        <v>3130896</v>
      </c>
      <c r="R327" s="4"/>
      <c r="S327" s="4"/>
      <c r="T327" s="4"/>
      <c r="U327" s="4"/>
      <c r="V327" s="258">
        <f t="shared" si="74"/>
        <v>170458</v>
      </c>
      <c r="W327" s="57">
        <f t="shared" si="82"/>
        <v>15</v>
      </c>
      <c r="X327" s="149">
        <f t="shared" si="73"/>
        <v>-538</v>
      </c>
      <c r="Y327" s="259">
        <f t="shared" si="83"/>
        <v>2.130143495758486E-2</v>
      </c>
      <c r="Z327" s="110">
        <f t="shared" si="89"/>
        <v>-8.7495165656826024E-2</v>
      </c>
      <c r="AA327" s="110">
        <f t="shared" si="81"/>
        <v>0.20909485674448558</v>
      </c>
      <c r="AB327" s="110">
        <f t="shared" si="76"/>
        <v>0.20909485674448558</v>
      </c>
      <c r="AD327" s="110">
        <f t="shared" si="77"/>
        <v>-3.0871918493586836E-2</v>
      </c>
    </row>
    <row r="328" spans="1:30" x14ac:dyDescent="0.25">
      <c r="A328" s="168">
        <v>44219</v>
      </c>
      <c r="B328" s="190">
        <v>8362</v>
      </c>
      <c r="C328" s="24">
        <f t="shared" si="78"/>
        <v>10030.428571428571</v>
      </c>
      <c r="D328" s="190">
        <f t="shared" si="87"/>
        <v>1862192</v>
      </c>
      <c r="E328" s="190">
        <v>162</v>
      </c>
      <c r="F328" s="24">
        <f t="shared" si="79"/>
        <v>206.28571428571428</v>
      </c>
      <c r="G328" s="190">
        <f t="shared" si="84"/>
        <v>46708</v>
      </c>
      <c r="H328" s="190">
        <f t="shared" si="90"/>
        <v>9842</v>
      </c>
      <c r="I328" s="219">
        <v>1646668</v>
      </c>
      <c r="J328" s="190">
        <v>3618</v>
      </c>
      <c r="K328" s="24">
        <f t="shared" si="88"/>
        <v>3591.8571428571427</v>
      </c>
      <c r="L328" s="190">
        <v>46643</v>
      </c>
      <c r="M328" s="24">
        <f t="shared" si="88"/>
        <v>48807.285714285717</v>
      </c>
      <c r="N328" s="4">
        <f t="shared" si="80"/>
        <v>5836139</v>
      </c>
      <c r="O328" s="7">
        <v>8444</v>
      </c>
      <c r="P328" s="7">
        <v>3152824</v>
      </c>
      <c r="Q328" s="4">
        <f t="shared" si="85"/>
        <v>3161268</v>
      </c>
      <c r="R328" s="4"/>
      <c r="S328" s="4"/>
      <c r="T328" s="4"/>
      <c r="U328" s="4"/>
      <c r="V328" s="258">
        <f t="shared" si="74"/>
        <v>168816</v>
      </c>
      <c r="W328" s="57">
        <f t="shared" si="82"/>
        <v>-13</v>
      </c>
      <c r="X328" s="149">
        <f t="shared" si="73"/>
        <v>-1642</v>
      </c>
      <c r="Y328" s="259">
        <f t="shared" si="83"/>
        <v>2.1431617856127381E-2</v>
      </c>
      <c r="Z328" s="110">
        <f t="shared" si="89"/>
        <v>-8.8450653026250992E-2</v>
      </c>
      <c r="AA328" s="110">
        <f t="shared" si="81"/>
        <v>0.20551088684066485</v>
      </c>
      <c r="AB328" s="110">
        <f t="shared" si="76"/>
        <v>0.2055108868406649</v>
      </c>
      <c r="AD328" s="110">
        <f t="shared" si="77"/>
        <v>-2.7619217676299268E-2</v>
      </c>
    </row>
    <row r="329" spans="1:30" x14ac:dyDescent="0.25">
      <c r="A329" s="168">
        <v>44220</v>
      </c>
      <c r="B329" s="190">
        <v>5031</v>
      </c>
      <c r="C329" s="24">
        <f t="shared" si="78"/>
        <v>9711.4285714285706</v>
      </c>
      <c r="D329" s="190">
        <f t="shared" si="87"/>
        <v>1867223</v>
      </c>
      <c r="E329" s="190">
        <v>90</v>
      </c>
      <c r="F329" s="24">
        <f t="shared" si="79"/>
        <v>203.14285714285714</v>
      </c>
      <c r="G329" s="190">
        <f t="shared" si="84"/>
        <v>46798</v>
      </c>
      <c r="H329" s="190">
        <f t="shared" si="90"/>
        <v>9481</v>
      </c>
      <c r="I329" s="219">
        <v>1656149</v>
      </c>
      <c r="J329" s="190">
        <v>3619</v>
      </c>
      <c r="K329" s="24">
        <f t="shared" ref="K329:M392" si="91">AVERAGE(J323:J329)</f>
        <v>3602.1428571428573</v>
      </c>
      <c r="L329" s="190">
        <v>29659</v>
      </c>
      <c r="M329" s="24">
        <f t="shared" si="91"/>
        <v>47388.428571428572</v>
      </c>
      <c r="N329" s="4">
        <f t="shared" si="80"/>
        <v>5865798</v>
      </c>
      <c r="O329" s="7">
        <v>8475</v>
      </c>
      <c r="P329" s="7">
        <v>3173796</v>
      </c>
      <c r="Q329" s="4">
        <f t="shared" si="85"/>
        <v>3182271</v>
      </c>
      <c r="R329" s="4"/>
      <c r="S329" s="4"/>
      <c r="T329" s="4"/>
      <c r="U329" s="4"/>
      <c r="V329" s="258">
        <f t="shared" si="74"/>
        <v>164276</v>
      </c>
      <c r="W329" s="57">
        <f t="shared" si="82"/>
        <v>1</v>
      </c>
      <c r="X329" s="149">
        <f t="shared" si="73"/>
        <v>-4540</v>
      </c>
      <c r="Y329" s="259">
        <f t="shared" si="83"/>
        <v>2.2029998295551387E-2</v>
      </c>
      <c r="Z329" s="110">
        <f t="shared" si="89"/>
        <v>-0.11145385389572204</v>
      </c>
      <c r="AA329" s="110">
        <f t="shared" si="81"/>
        <v>0.20493248803957564</v>
      </c>
      <c r="AB329" s="110">
        <f t="shared" si="76"/>
        <v>0.20493248803957567</v>
      </c>
      <c r="AD329" s="110">
        <f t="shared" si="77"/>
        <v>-3.5950282273682244E-2</v>
      </c>
    </row>
    <row r="330" spans="1:30" x14ac:dyDescent="0.25">
      <c r="A330" s="168">
        <v>44221</v>
      </c>
      <c r="B330" s="190">
        <v>7578</v>
      </c>
      <c r="C330" s="24">
        <f t="shared" si="78"/>
        <v>9624.7142857142862</v>
      </c>
      <c r="D330" s="190">
        <f t="shared" si="87"/>
        <v>1874801</v>
      </c>
      <c r="E330" s="190">
        <v>208</v>
      </c>
      <c r="F330" s="24">
        <f t="shared" si="79"/>
        <v>172.28571428571428</v>
      </c>
      <c r="G330" s="190">
        <f t="shared" si="84"/>
        <v>47006</v>
      </c>
      <c r="H330" s="190">
        <f t="shared" si="90"/>
        <v>10378</v>
      </c>
      <c r="I330" s="219">
        <v>1666527</v>
      </c>
      <c r="J330" s="190">
        <v>3598</v>
      </c>
      <c r="K330" s="24">
        <f t="shared" si="91"/>
        <v>3607</v>
      </c>
      <c r="L330" s="190">
        <v>36906</v>
      </c>
      <c r="M330" s="24">
        <f t="shared" si="91"/>
        <v>46739.142857142855</v>
      </c>
      <c r="N330" s="4">
        <f t="shared" si="80"/>
        <v>5902704</v>
      </c>
      <c r="O330" s="7">
        <v>8672</v>
      </c>
      <c r="P330" s="7">
        <v>3197613</v>
      </c>
      <c r="Q330" s="7">
        <f>P330+O330</f>
        <v>3206285</v>
      </c>
      <c r="R330" s="4"/>
      <c r="S330" s="4"/>
      <c r="T330" s="4"/>
      <c r="U330" s="4"/>
      <c r="V330" s="258">
        <f t="shared" si="74"/>
        <v>161268</v>
      </c>
      <c r="W330" s="57">
        <f t="shared" si="82"/>
        <v>-21</v>
      </c>
      <c r="X330" s="149">
        <f t="shared" si="73"/>
        <v>-3008</v>
      </c>
      <c r="Y330" s="259">
        <f t="shared" si="83"/>
        <v>2.2310687799191407E-2</v>
      </c>
      <c r="Z330" s="110">
        <f t="shared" si="89"/>
        <v>-0.10007346557136176</v>
      </c>
      <c r="AA330" s="110">
        <f t="shared" si="81"/>
        <v>0.20592406487068046</v>
      </c>
      <c r="AB330" s="110">
        <f t="shared" si="76"/>
        <v>0.20592406487068043</v>
      </c>
      <c r="AD330" s="110">
        <f t="shared" si="77"/>
        <v>-3.3513124775260694E-2</v>
      </c>
    </row>
    <row r="331" spans="1:30" x14ac:dyDescent="0.25">
      <c r="A331" s="168">
        <v>44222</v>
      </c>
      <c r="B331" s="190">
        <v>10409</v>
      </c>
      <c r="C331" s="24">
        <f t="shared" si="78"/>
        <v>9377.2857142857138</v>
      </c>
      <c r="D331" s="190">
        <f t="shared" si="87"/>
        <v>1885210</v>
      </c>
      <c r="E331" s="190">
        <v>219</v>
      </c>
      <c r="F331" s="24">
        <f t="shared" si="79"/>
        <v>170</v>
      </c>
      <c r="G331" s="190">
        <f t="shared" si="84"/>
        <v>47225</v>
      </c>
      <c r="H331" s="190">
        <f t="shared" si="90"/>
        <v>8028</v>
      </c>
      <c r="I331" s="219">
        <v>1674555</v>
      </c>
      <c r="J331" s="190">
        <v>3614</v>
      </c>
      <c r="K331" s="24">
        <f t="shared" si="91"/>
        <v>3614.4285714285716</v>
      </c>
      <c r="L331" s="190">
        <v>55123</v>
      </c>
      <c r="M331" s="24">
        <f t="shared" si="91"/>
        <v>47533</v>
      </c>
      <c r="N331" s="4">
        <f t="shared" si="80"/>
        <v>5957827</v>
      </c>
      <c r="O331" s="7">
        <v>8865</v>
      </c>
      <c r="P331" s="7">
        <v>3232986</v>
      </c>
      <c r="Q331" s="7">
        <f t="shared" ref="Q331:Q394" si="92">P331+O331</f>
        <v>3241851</v>
      </c>
      <c r="R331" s="4"/>
      <c r="S331" s="4"/>
      <c r="T331" s="4"/>
      <c r="U331" s="4"/>
      <c r="V331" s="21">
        <f t="shared" si="74"/>
        <v>163430</v>
      </c>
      <c r="W331" s="57">
        <f t="shared" si="82"/>
        <v>16</v>
      </c>
      <c r="X331" s="149">
        <f t="shared" si="73"/>
        <v>2162</v>
      </c>
      <c r="Y331" s="259">
        <f t="shared" si="83"/>
        <v>2.2113443064308878E-2</v>
      </c>
      <c r="Z331" s="110">
        <f t="shared" si="89"/>
        <v>-0.11596994020363083</v>
      </c>
      <c r="AA331" s="110">
        <f t="shared" si="81"/>
        <v>0.19727948402763792</v>
      </c>
      <c r="AB331" s="110">
        <f t="shared" si="76"/>
        <v>0.19727948402763795</v>
      </c>
      <c r="AD331" s="110">
        <f t="shared" si="77"/>
        <v>-3.3878967374276536E-2</v>
      </c>
    </row>
    <row r="332" spans="1:30" x14ac:dyDescent="0.25">
      <c r="A332" s="170">
        <v>44223</v>
      </c>
      <c r="B332" s="207">
        <v>10843</v>
      </c>
      <c r="C332" s="24">
        <f t="shared" si="78"/>
        <v>9196</v>
      </c>
      <c r="D332" s="190">
        <f t="shared" si="87"/>
        <v>1896053</v>
      </c>
      <c r="E332" s="190">
        <v>182</v>
      </c>
      <c r="F332" s="24">
        <f t="shared" si="79"/>
        <v>174.71428571428572</v>
      </c>
      <c r="G332" s="190">
        <f t="shared" si="84"/>
        <v>47407</v>
      </c>
      <c r="H332" s="190">
        <f t="shared" si="90"/>
        <v>8008</v>
      </c>
      <c r="I332" s="219">
        <v>1682563</v>
      </c>
      <c r="J332" s="190">
        <v>3627</v>
      </c>
      <c r="K332" s="24">
        <f t="shared" si="91"/>
        <v>3617.5714285714284</v>
      </c>
      <c r="L332" s="190">
        <v>49154</v>
      </c>
      <c r="M332" s="24">
        <f t="shared" si="91"/>
        <v>46698.142857142855</v>
      </c>
      <c r="N332" s="4">
        <f t="shared" si="80"/>
        <v>6006981</v>
      </c>
      <c r="O332" s="7">
        <v>8965</v>
      </c>
      <c r="P332" s="7">
        <v>3261828</v>
      </c>
      <c r="Q332" s="7">
        <f t="shared" si="92"/>
        <v>3270793</v>
      </c>
      <c r="R332" s="4"/>
      <c r="S332" s="4"/>
      <c r="T332" s="4"/>
      <c r="U332" s="4"/>
      <c r="V332" s="21">
        <f>D332-G332-I332</f>
        <v>166083</v>
      </c>
      <c r="W332" s="57">
        <f t="shared" si="82"/>
        <v>13</v>
      </c>
      <c r="X332" s="149">
        <f t="shared" si="73"/>
        <v>2653</v>
      </c>
      <c r="Y332" s="259">
        <f t="shared" si="83"/>
        <v>2.1838478351185853E-2</v>
      </c>
      <c r="Z332" s="110">
        <f t="shared" si="89"/>
        <v>-0.11041706973273258</v>
      </c>
      <c r="AA332" s="110">
        <f t="shared" si="81"/>
        <v>0.19692431941313054</v>
      </c>
      <c r="AB332" s="110">
        <f t="shared" si="76"/>
        <v>0.19692431941313054</v>
      </c>
      <c r="AD332" s="110">
        <f t="shared" si="77"/>
        <v>-3.2849223172066844E-2</v>
      </c>
    </row>
    <row r="333" spans="1:30" x14ac:dyDescent="0.25">
      <c r="A333" s="168">
        <v>44224</v>
      </c>
      <c r="B333" s="263">
        <v>9471</v>
      </c>
      <c r="C333" s="24">
        <f t="shared" si="78"/>
        <v>8921</v>
      </c>
      <c r="D333" s="190">
        <f t="shared" si="87"/>
        <v>1905524</v>
      </c>
      <c r="E333" s="190">
        <v>166</v>
      </c>
      <c r="F333" s="24">
        <f t="shared" si="79"/>
        <v>178.14285714285714</v>
      </c>
      <c r="G333" s="190">
        <f t="shared" si="84"/>
        <v>47573</v>
      </c>
      <c r="H333" s="190">
        <f t="shared" si="90"/>
        <v>10583</v>
      </c>
      <c r="I333" s="219">
        <v>1693146</v>
      </c>
      <c r="J333" s="190">
        <v>3607</v>
      </c>
      <c r="K333" s="24">
        <f t="shared" si="91"/>
        <v>3616.2857142857142</v>
      </c>
      <c r="L333" s="190">
        <v>46742</v>
      </c>
      <c r="M333" s="24">
        <f t="shared" si="91"/>
        <v>45666.571428571428</v>
      </c>
      <c r="N333" s="4">
        <f t="shared" si="80"/>
        <v>6053723</v>
      </c>
      <c r="O333" s="7">
        <v>9050</v>
      </c>
      <c r="P333" s="7">
        <v>3289093</v>
      </c>
      <c r="Q333" s="7">
        <f t="shared" si="92"/>
        <v>3298143</v>
      </c>
      <c r="R333" s="4"/>
      <c r="S333" s="4"/>
      <c r="T333" s="4"/>
      <c r="U333" s="4"/>
      <c r="V333" s="21">
        <f>D333-G333-I333</f>
        <v>164805</v>
      </c>
      <c r="W333" s="57">
        <f t="shared" si="82"/>
        <v>-20</v>
      </c>
      <c r="X333" s="149">
        <f t="shared" si="73"/>
        <v>-1278</v>
      </c>
      <c r="Y333" s="259">
        <f t="shared" si="83"/>
        <v>2.1886471891022725E-2</v>
      </c>
      <c r="Z333" s="110">
        <f t="shared" si="89"/>
        <v>-0.11776839071528478</v>
      </c>
      <c r="AA333" s="110">
        <f t="shared" si="81"/>
        <v>0.1953507723686598</v>
      </c>
      <c r="AB333" s="110">
        <f t="shared" si="76"/>
        <v>0.19535077236865978</v>
      </c>
      <c r="AD333" s="110">
        <f t="shared" si="77"/>
        <v>-3.6205525275445072E-2</v>
      </c>
    </row>
    <row r="334" spans="1:30" x14ac:dyDescent="0.25">
      <c r="A334" s="168">
        <v>44225</v>
      </c>
      <c r="B334" s="190">
        <v>9838</v>
      </c>
      <c r="C334" s="24">
        <f t="shared" si="78"/>
        <v>8790.2857142857138</v>
      </c>
      <c r="D334" s="190">
        <f t="shared" si="87"/>
        <v>1915362</v>
      </c>
      <c r="E334" s="190">
        <v>174</v>
      </c>
      <c r="F334" s="24">
        <f t="shared" si="79"/>
        <v>171.57142857142858</v>
      </c>
      <c r="G334" s="190">
        <f t="shared" si="84"/>
        <v>47747</v>
      </c>
      <c r="H334" s="190">
        <f t="shared" si="90"/>
        <v>10313</v>
      </c>
      <c r="I334" s="219">
        <v>1703459</v>
      </c>
      <c r="J334" s="190">
        <v>3628</v>
      </c>
      <c r="K334" s="24">
        <f t="shared" si="91"/>
        <v>3615.8571428571427</v>
      </c>
      <c r="L334" s="190">
        <v>45809</v>
      </c>
      <c r="M334" s="24">
        <f t="shared" si="91"/>
        <v>44290.857142857145</v>
      </c>
      <c r="N334" s="4">
        <f t="shared" si="80"/>
        <v>6099532</v>
      </c>
      <c r="O334" s="7">
        <v>9141</v>
      </c>
      <c r="P334" s="7">
        <v>3315527</v>
      </c>
      <c r="Q334" s="7">
        <f t="shared" si="92"/>
        <v>3324668</v>
      </c>
      <c r="R334" s="4"/>
      <c r="S334" s="4"/>
      <c r="T334" s="4"/>
      <c r="U334" s="4"/>
      <c r="V334" s="4">
        <f>D334-G334-I334</f>
        <v>164156</v>
      </c>
      <c r="W334" s="57">
        <f t="shared" si="82"/>
        <v>21</v>
      </c>
      <c r="X334" s="149">
        <f t="shared" si="73"/>
        <v>-649</v>
      </c>
      <c r="Y334" s="259">
        <f t="shared" si="83"/>
        <v>2.210092838519457E-2</v>
      </c>
      <c r="Z334" s="110">
        <f t="shared" si="89"/>
        <v>-0.12363807272157579</v>
      </c>
      <c r="AA334" s="110">
        <f t="shared" si="81"/>
        <v>0.19846727476809142</v>
      </c>
      <c r="AB334" s="110">
        <f t="shared" si="76"/>
        <v>0.19846727476809145</v>
      </c>
      <c r="AD334" s="110">
        <f t="shared" si="77"/>
        <v>-3.697098405472321E-2</v>
      </c>
    </row>
    <row r="335" spans="1:30" x14ac:dyDescent="0.25">
      <c r="A335" s="168">
        <v>44226</v>
      </c>
      <c r="B335" s="190">
        <v>6902</v>
      </c>
      <c r="C335" s="24">
        <f t="shared" si="78"/>
        <v>8581.7142857142862</v>
      </c>
      <c r="D335" s="190">
        <f t="shared" si="87"/>
        <v>1922264</v>
      </c>
      <c r="E335" s="190">
        <v>156</v>
      </c>
      <c r="F335" s="24">
        <f t="shared" si="79"/>
        <v>170.71428571428572</v>
      </c>
      <c r="G335" s="190">
        <f t="shared" si="84"/>
        <v>47903</v>
      </c>
      <c r="H335" s="190">
        <f t="shared" si="90"/>
        <v>9409</v>
      </c>
      <c r="I335" s="219">
        <v>1712868</v>
      </c>
      <c r="J335" s="190">
        <v>3624</v>
      </c>
      <c r="K335" s="24">
        <f t="shared" si="91"/>
        <v>3616.7142857142858</v>
      </c>
      <c r="L335" s="190">
        <v>40578</v>
      </c>
      <c r="M335" s="24">
        <f t="shared" si="91"/>
        <v>43424.428571428572</v>
      </c>
      <c r="N335" s="4">
        <f t="shared" si="80"/>
        <v>6140110</v>
      </c>
      <c r="O335" s="7">
        <v>9295</v>
      </c>
      <c r="P335" s="7">
        <v>3342833</v>
      </c>
      <c r="Q335" s="7">
        <f t="shared" si="92"/>
        <v>3352128</v>
      </c>
      <c r="R335" s="4"/>
      <c r="S335" s="4"/>
      <c r="T335" s="4"/>
      <c r="U335" s="4"/>
      <c r="V335" s="4">
        <f t="shared" ref="V335:V398" si="93">D335-G335-I335</f>
        <v>161493</v>
      </c>
      <c r="W335" s="57">
        <f t="shared" si="82"/>
        <v>-4</v>
      </c>
      <c r="X335" s="149">
        <f t="shared" si="73"/>
        <v>-2663</v>
      </c>
      <c r="Y335" s="259">
        <f t="shared" si="83"/>
        <v>2.2440601140606715E-2</v>
      </c>
      <c r="Z335" s="110">
        <f t="shared" si="89"/>
        <v>-0.11632833186231228</v>
      </c>
      <c r="AA335" s="110">
        <f t="shared" si="81"/>
        <v>0.19762411545838254</v>
      </c>
      <c r="AB335" s="110">
        <f t="shared" si="76"/>
        <v>0.19762411545838254</v>
      </c>
      <c r="AD335" s="110">
        <f t="shared" si="77"/>
        <v>-4.3378589707136817E-2</v>
      </c>
    </row>
    <row r="336" spans="1:30" x14ac:dyDescent="0.25">
      <c r="A336" s="168">
        <v>44227</v>
      </c>
      <c r="B336" s="190">
        <v>4975</v>
      </c>
      <c r="C336" s="24">
        <f t="shared" si="78"/>
        <v>8573.7142857142862</v>
      </c>
      <c r="D336" s="190">
        <f t="shared" si="87"/>
        <v>1927239</v>
      </c>
      <c r="E336" s="190">
        <v>43</v>
      </c>
      <c r="F336" s="24">
        <f t="shared" si="79"/>
        <v>164</v>
      </c>
      <c r="G336" s="190">
        <f t="shared" si="84"/>
        <v>47946</v>
      </c>
      <c r="H336" s="190">
        <f t="shared" si="90"/>
        <v>8782</v>
      </c>
      <c r="I336" s="219">
        <v>1721650</v>
      </c>
      <c r="J336" s="190">
        <v>3617</v>
      </c>
      <c r="K336" s="24">
        <f t="shared" si="91"/>
        <v>3616.4285714285716</v>
      </c>
      <c r="L336" s="190">
        <v>34412</v>
      </c>
      <c r="M336" s="24">
        <f t="shared" si="91"/>
        <v>44103.428571428572</v>
      </c>
      <c r="N336" s="4">
        <f t="shared" si="80"/>
        <v>6174522</v>
      </c>
      <c r="O336" s="7">
        <v>9403</v>
      </c>
      <c r="P336" s="7">
        <v>3366882</v>
      </c>
      <c r="Q336" s="7">
        <f t="shared" si="92"/>
        <v>3376285</v>
      </c>
      <c r="R336" s="4"/>
      <c r="S336" s="4"/>
      <c r="T336" s="4"/>
      <c r="U336" s="4"/>
      <c r="V336" s="4">
        <f t="shared" si="93"/>
        <v>157643</v>
      </c>
      <c r="W336" s="57">
        <f t="shared" si="82"/>
        <v>-7</v>
      </c>
      <c r="X336" s="149">
        <f t="shared" si="73"/>
        <v>-3850</v>
      </c>
      <c r="Y336" s="259">
        <f t="shared" si="83"/>
        <v>2.2944247445176761E-2</v>
      </c>
      <c r="Z336" s="110">
        <f t="shared" si="89"/>
        <v>-0.10919804669526367</v>
      </c>
      <c r="AA336" s="110">
        <f t="shared" si="81"/>
        <v>0.19440017620917066</v>
      </c>
      <c r="AB336" s="110">
        <f t="shared" si="76"/>
        <v>0.19440017620917066</v>
      </c>
      <c r="AD336" s="110">
        <f t="shared" si="77"/>
        <v>-4.037717012832065E-2</v>
      </c>
    </row>
    <row r="337" spans="1:30" x14ac:dyDescent="0.25">
      <c r="A337" s="168">
        <v>44228</v>
      </c>
      <c r="B337" s="190">
        <v>6614</v>
      </c>
      <c r="C337" s="24">
        <f t="shared" si="78"/>
        <v>8436</v>
      </c>
      <c r="D337" s="190">
        <f t="shared" si="87"/>
        <v>1933853</v>
      </c>
      <c r="E337" s="190">
        <v>275</v>
      </c>
      <c r="F337" s="24">
        <f t="shared" si="79"/>
        <v>173.57142857142858</v>
      </c>
      <c r="G337" s="190">
        <f t="shared" si="84"/>
        <v>48221</v>
      </c>
      <c r="H337" s="190">
        <f t="shared" si="90"/>
        <v>8349</v>
      </c>
      <c r="I337" s="219">
        <v>1729999</v>
      </c>
      <c r="J337" s="190">
        <v>3554</v>
      </c>
      <c r="K337" s="24">
        <f t="shared" si="91"/>
        <v>3610.1428571428573</v>
      </c>
      <c r="L337" s="190">
        <v>34947</v>
      </c>
      <c r="M337" s="24">
        <f t="shared" si="91"/>
        <v>43823.571428571428</v>
      </c>
      <c r="N337" s="4">
        <f t="shared" si="80"/>
        <v>6209469</v>
      </c>
      <c r="O337" s="7">
        <v>9467</v>
      </c>
      <c r="P337" s="7">
        <v>3389599</v>
      </c>
      <c r="Q337" s="4">
        <f t="shared" si="92"/>
        <v>3399066</v>
      </c>
      <c r="R337" s="4"/>
      <c r="S337" s="4"/>
      <c r="T337" s="4"/>
      <c r="U337" s="4"/>
      <c r="V337" s="4">
        <f t="shared" si="93"/>
        <v>155633</v>
      </c>
      <c r="W337" s="57">
        <f t="shared" si="82"/>
        <v>-63</v>
      </c>
      <c r="X337" s="149">
        <f t="shared" si="73"/>
        <v>-2010</v>
      </c>
      <c r="Y337" s="259">
        <f t="shared" si="83"/>
        <v>2.2835773903992083E-2</v>
      </c>
      <c r="Z337" s="110">
        <f t="shared" si="89"/>
        <v>-0.10037933608567806</v>
      </c>
      <c r="AA337" s="110">
        <f t="shared" si="81"/>
        <v>0.19249914429612244</v>
      </c>
      <c r="AB337" s="110">
        <f t="shared" si="76"/>
        <v>0.19249914429612244</v>
      </c>
      <c r="AD337" s="110">
        <f t="shared" si="77"/>
        <v>-3.4941835950095479E-2</v>
      </c>
    </row>
    <row r="338" spans="1:30" x14ac:dyDescent="0.25">
      <c r="A338" s="168">
        <v>44229</v>
      </c>
      <c r="B338" s="190">
        <v>9695</v>
      </c>
      <c r="C338" s="24">
        <f t="shared" si="78"/>
        <v>8334</v>
      </c>
      <c r="D338" s="190">
        <f t="shared" si="87"/>
        <v>1943548</v>
      </c>
      <c r="E338" s="190">
        <v>176</v>
      </c>
      <c r="F338" s="24">
        <f t="shared" si="79"/>
        <v>167.42857142857142</v>
      </c>
      <c r="G338" s="190">
        <f t="shared" si="84"/>
        <v>48397</v>
      </c>
      <c r="H338" s="190">
        <f t="shared" si="90"/>
        <v>8769</v>
      </c>
      <c r="I338" s="219">
        <v>1738768</v>
      </c>
      <c r="J338" s="190">
        <v>3586</v>
      </c>
      <c r="K338" s="24">
        <f t="shared" si="91"/>
        <v>3606.1428571428573</v>
      </c>
      <c r="L338" s="190">
        <v>66202</v>
      </c>
      <c r="M338" s="24">
        <f t="shared" si="91"/>
        <v>45406.285714285717</v>
      </c>
      <c r="N338" s="4">
        <f t="shared" si="80"/>
        <v>6275671</v>
      </c>
      <c r="O338" s="7">
        <v>9653</v>
      </c>
      <c r="P338" s="7">
        <v>3427133</v>
      </c>
      <c r="Q338" s="4">
        <f t="shared" si="92"/>
        <v>3436786</v>
      </c>
      <c r="R338" s="4"/>
      <c r="S338" s="4"/>
      <c r="T338" s="4"/>
      <c r="U338" s="4"/>
      <c r="V338" s="4">
        <f t="shared" si="93"/>
        <v>156383</v>
      </c>
      <c r="W338" s="57">
        <f t="shared" si="82"/>
        <v>32</v>
      </c>
      <c r="X338" s="149">
        <f t="shared" si="73"/>
        <v>750</v>
      </c>
      <c r="Y338" s="259">
        <f t="shared" si="83"/>
        <v>2.293088123389371E-2</v>
      </c>
      <c r="Z338" s="110">
        <f t="shared" si="89"/>
        <v>-9.373640713353637E-2</v>
      </c>
      <c r="AA338" s="110">
        <f t="shared" si="81"/>
        <v>0.1835428700872126</v>
      </c>
      <c r="AB338" s="110">
        <f t="shared" si="76"/>
        <v>0.1835428700872126</v>
      </c>
      <c r="AD338" s="110">
        <f t="shared" si="77"/>
        <v>-4.3119378327112545E-2</v>
      </c>
    </row>
    <row r="339" spans="1:30" x14ac:dyDescent="0.25">
      <c r="A339" s="168">
        <v>44230</v>
      </c>
      <c r="B339" s="190">
        <v>9196</v>
      </c>
      <c r="C339" s="24">
        <f t="shared" si="78"/>
        <v>8098.7142857142853</v>
      </c>
      <c r="D339" s="190">
        <f t="shared" si="87"/>
        <v>1952744</v>
      </c>
      <c r="E339" s="190">
        <v>113</v>
      </c>
      <c r="F339" s="24">
        <f t="shared" si="79"/>
        <v>157.57142857142858</v>
      </c>
      <c r="G339" s="190">
        <f t="shared" si="84"/>
        <v>48510</v>
      </c>
      <c r="H339" s="190">
        <f t="shared" si="90"/>
        <v>6440</v>
      </c>
      <c r="I339" s="219">
        <v>1745208</v>
      </c>
      <c r="J339" s="190">
        <v>3571</v>
      </c>
      <c r="K339" s="24">
        <f t="shared" si="91"/>
        <v>3598.1428571428573</v>
      </c>
      <c r="L339" s="190">
        <v>48160</v>
      </c>
      <c r="M339" s="24">
        <f t="shared" si="91"/>
        <v>45264.285714285717</v>
      </c>
      <c r="N339" s="4">
        <f t="shared" si="80"/>
        <v>6323831</v>
      </c>
      <c r="O339" s="7">
        <v>9845</v>
      </c>
      <c r="P339" s="7">
        <v>3462532</v>
      </c>
      <c r="Q339" s="4">
        <f t="shared" si="92"/>
        <v>3472377</v>
      </c>
      <c r="R339" s="4"/>
      <c r="S339" s="4"/>
      <c r="T339" s="4"/>
      <c r="U339" s="4"/>
      <c r="V339" s="4">
        <f t="shared" si="93"/>
        <v>159026</v>
      </c>
      <c r="W339" s="57">
        <f t="shared" si="82"/>
        <v>-15</v>
      </c>
      <c r="X339" s="149">
        <f t="shared" si="73"/>
        <v>2643</v>
      </c>
      <c r="Y339" s="259">
        <f t="shared" si="83"/>
        <v>2.2455447536880762E-2</v>
      </c>
      <c r="Z339" s="110">
        <f t="shared" si="89"/>
        <v>-9.2174163690809885E-2</v>
      </c>
      <c r="AA339" s="110">
        <f t="shared" si="81"/>
        <v>0.17892062490137287</v>
      </c>
      <c r="AB339" s="110">
        <f t="shared" si="76"/>
        <v>0.17892062490137289</v>
      </c>
      <c r="AD339" s="110">
        <f t="shared" si="77"/>
        <v>-4.2490802791375404E-2</v>
      </c>
    </row>
    <row r="340" spans="1:30" x14ac:dyDescent="0.25">
      <c r="A340" s="168">
        <v>44231</v>
      </c>
      <c r="B340" s="263">
        <v>8891</v>
      </c>
      <c r="C340" s="24">
        <f t="shared" si="78"/>
        <v>8015.8571428571431</v>
      </c>
      <c r="D340" s="190">
        <f t="shared" si="87"/>
        <v>1961635</v>
      </c>
      <c r="E340" s="190">
        <v>162</v>
      </c>
      <c r="F340" s="24">
        <f t="shared" si="79"/>
        <v>157</v>
      </c>
      <c r="G340" s="190">
        <f t="shared" si="84"/>
        <v>48672</v>
      </c>
      <c r="H340" s="190">
        <f t="shared" si="90"/>
        <v>9497</v>
      </c>
      <c r="I340" s="219">
        <v>1754705</v>
      </c>
      <c r="J340" s="190">
        <v>3570</v>
      </c>
      <c r="K340" s="24">
        <f t="shared" si="91"/>
        <v>3592.8571428571427</v>
      </c>
      <c r="L340" s="190">
        <v>52557</v>
      </c>
      <c r="M340" s="24">
        <f t="shared" si="91"/>
        <v>46095</v>
      </c>
      <c r="N340" s="4">
        <f t="shared" si="80"/>
        <v>6376388</v>
      </c>
      <c r="O340" s="7">
        <v>9900</v>
      </c>
      <c r="P340" s="7">
        <v>3486103</v>
      </c>
      <c r="Q340" s="4">
        <f t="shared" si="92"/>
        <v>3496003</v>
      </c>
      <c r="R340" s="4"/>
      <c r="S340" s="4"/>
      <c r="T340" s="4"/>
      <c r="U340" s="4"/>
      <c r="V340" s="4">
        <f t="shared" si="93"/>
        <v>158258</v>
      </c>
      <c r="W340" s="57">
        <f t="shared" si="82"/>
        <v>-1</v>
      </c>
      <c r="X340" s="149">
        <f t="shared" si="73"/>
        <v>-768</v>
      </c>
      <c r="Y340" s="259">
        <f t="shared" si="83"/>
        <v>2.2558101328210897E-2</v>
      </c>
      <c r="Z340" s="110">
        <f t="shared" si="89"/>
        <v>-8.8100500552557914E-2</v>
      </c>
      <c r="AA340" s="110">
        <f t="shared" si="81"/>
        <v>0.17389862550942928</v>
      </c>
      <c r="AB340" s="110">
        <f t="shared" si="76"/>
        <v>0.17389862550942928</v>
      </c>
      <c r="AD340" s="110">
        <f t="shared" si="77"/>
        <v>-3.9725736476441842E-2</v>
      </c>
    </row>
    <row r="341" spans="1:30" x14ac:dyDescent="0.25">
      <c r="A341" s="168">
        <v>44232</v>
      </c>
      <c r="B341" s="190">
        <v>8374</v>
      </c>
      <c r="C341" s="24">
        <f t="shared" si="78"/>
        <v>7806.7142857142853</v>
      </c>
      <c r="D341" s="190">
        <f t="shared" si="87"/>
        <v>1970009</v>
      </c>
      <c r="E341" s="190">
        <v>285</v>
      </c>
      <c r="F341" s="24">
        <f t="shared" si="79"/>
        <v>172.85714285714286</v>
      </c>
      <c r="G341" s="190">
        <f t="shared" si="84"/>
        <v>48957</v>
      </c>
      <c r="H341" s="190">
        <f t="shared" si="90"/>
        <v>9057</v>
      </c>
      <c r="I341" s="219">
        <v>1763762</v>
      </c>
      <c r="J341" s="190">
        <v>3550</v>
      </c>
      <c r="K341" s="24">
        <f t="shared" si="91"/>
        <v>3581.7142857142858</v>
      </c>
      <c r="L341" s="190">
        <v>47745</v>
      </c>
      <c r="M341" s="24">
        <f t="shared" si="91"/>
        <v>46371.571428571428</v>
      </c>
      <c r="N341" s="4">
        <f t="shared" si="80"/>
        <v>6424133</v>
      </c>
      <c r="O341" s="7">
        <v>10282</v>
      </c>
      <c r="P341" s="7">
        <v>3524708</v>
      </c>
      <c r="Q341" s="4">
        <f t="shared" si="92"/>
        <v>3534990</v>
      </c>
      <c r="R341" s="4"/>
      <c r="S341" s="4"/>
      <c r="T341" s="4"/>
      <c r="U341" s="4"/>
      <c r="V341" s="4">
        <f t="shared" si="93"/>
        <v>157290</v>
      </c>
      <c r="W341" s="57">
        <f t="shared" si="82"/>
        <v>-20</v>
      </c>
      <c r="X341" s="149">
        <f t="shared" si="73"/>
        <v>-968</v>
      </c>
      <c r="Y341" s="259">
        <f t="shared" si="83"/>
        <v>2.2569775573780915E-2</v>
      </c>
      <c r="Z341" s="110">
        <f t="shared" si="89"/>
        <v>-9.0308296710614022E-2</v>
      </c>
      <c r="AA341" s="110">
        <f t="shared" si="81"/>
        <v>0.16835129897936235</v>
      </c>
      <c r="AB341" s="110">
        <f t="shared" si="76"/>
        <v>0.16835129897936235</v>
      </c>
      <c r="AD341" s="110">
        <f t="shared" si="77"/>
        <v>-4.1826067886644447E-2</v>
      </c>
    </row>
    <row r="342" spans="1:30" x14ac:dyDescent="0.25">
      <c r="A342" s="168">
        <v>44233</v>
      </c>
      <c r="B342" s="190">
        <v>6680</v>
      </c>
      <c r="C342" s="24">
        <f t="shared" si="78"/>
        <v>7775</v>
      </c>
      <c r="D342" s="190">
        <f t="shared" si="87"/>
        <v>1976689</v>
      </c>
      <c r="E342" s="190">
        <v>125</v>
      </c>
      <c r="F342" s="24">
        <f t="shared" si="79"/>
        <v>168.42857142857142</v>
      </c>
      <c r="G342" s="190">
        <f t="shared" si="84"/>
        <v>49082</v>
      </c>
      <c r="H342" s="190">
        <f t="shared" si="90"/>
        <v>8297</v>
      </c>
      <c r="I342" s="219">
        <v>1772059</v>
      </c>
      <c r="J342" s="190">
        <v>3550</v>
      </c>
      <c r="K342" s="24">
        <f t="shared" si="91"/>
        <v>3571.1428571428573</v>
      </c>
      <c r="L342" s="190">
        <v>42244</v>
      </c>
      <c r="M342" s="24">
        <f t="shared" si="91"/>
        <v>46609.571428571428</v>
      </c>
      <c r="N342" s="4">
        <f t="shared" si="80"/>
        <v>6466377</v>
      </c>
      <c r="O342" s="7">
        <v>10351</v>
      </c>
      <c r="P342" s="7">
        <v>3551197</v>
      </c>
      <c r="Q342" s="4">
        <f t="shared" si="92"/>
        <v>3561548</v>
      </c>
      <c r="R342" s="4"/>
      <c r="S342" s="4"/>
      <c r="T342" s="4"/>
      <c r="U342" s="4"/>
      <c r="V342" s="4">
        <f t="shared" si="93"/>
        <v>155548</v>
      </c>
      <c r="W342" s="57">
        <f t="shared" si="82"/>
        <v>0</v>
      </c>
      <c r="X342" s="149">
        <f t="shared" ref="X342:X405" si="94">(D342-I342-G342)-(D341-G341-I341)</f>
        <v>-1742</v>
      </c>
      <c r="Y342" s="259">
        <f t="shared" si="83"/>
        <v>2.2822537094658882E-2</v>
      </c>
      <c r="Z342" s="110">
        <f t="shared" si="89"/>
        <v>-9.3158491069048277E-2</v>
      </c>
      <c r="AA342" s="110">
        <f t="shared" si="81"/>
        <v>0.16681123129216255</v>
      </c>
      <c r="AB342" s="110">
        <f t="shared" si="76"/>
        <v>0.16681123129216255</v>
      </c>
      <c r="AD342" s="110">
        <f t="shared" si="77"/>
        <v>-3.6812741109521818E-2</v>
      </c>
    </row>
    <row r="343" spans="1:30" x14ac:dyDescent="0.25">
      <c r="A343" s="168">
        <v>44234</v>
      </c>
      <c r="B343" s="190">
        <v>3658</v>
      </c>
      <c r="C343" s="24">
        <f t="shared" si="78"/>
        <v>7586.8571428571431</v>
      </c>
      <c r="D343" s="190">
        <f t="shared" si="87"/>
        <v>1980347</v>
      </c>
      <c r="E343" s="190">
        <v>61</v>
      </c>
      <c r="F343" s="24">
        <f t="shared" si="79"/>
        <v>171</v>
      </c>
      <c r="G343" s="190">
        <f t="shared" si="84"/>
        <v>49143</v>
      </c>
      <c r="H343" s="190">
        <f t="shared" si="90"/>
        <v>6906</v>
      </c>
      <c r="I343" s="219">
        <v>1778965</v>
      </c>
      <c r="J343" s="190">
        <v>3550</v>
      </c>
      <c r="K343" s="24">
        <f t="shared" si="91"/>
        <v>3561.5714285714284</v>
      </c>
      <c r="L343" s="190">
        <v>24721</v>
      </c>
      <c r="M343" s="24">
        <f t="shared" si="91"/>
        <v>45225.142857142855</v>
      </c>
      <c r="N343" s="4">
        <f t="shared" si="80"/>
        <v>6491098</v>
      </c>
      <c r="O343" s="7">
        <v>10480</v>
      </c>
      <c r="P343" s="7">
        <v>3568763</v>
      </c>
      <c r="Q343" s="4">
        <f t="shared" si="92"/>
        <v>3579243</v>
      </c>
      <c r="R343" s="4"/>
      <c r="S343" s="4"/>
      <c r="T343" s="4"/>
      <c r="U343" s="4"/>
      <c r="V343" s="4">
        <f t="shared" si="93"/>
        <v>152239</v>
      </c>
      <c r="W343" s="57">
        <f t="shared" si="82"/>
        <v>0</v>
      </c>
      <c r="X343" s="149">
        <f t="shared" si="94"/>
        <v>-3309</v>
      </c>
      <c r="Y343" s="259">
        <f t="shared" si="83"/>
        <v>2.3318597731198969E-2</v>
      </c>
      <c r="Z343" s="110">
        <f t="shared" si="89"/>
        <v>-0.10065704802546904</v>
      </c>
      <c r="AA343" s="110">
        <f t="shared" si="81"/>
        <v>0.1677575053067826</v>
      </c>
      <c r="AB343" s="110">
        <f t="shared" si="76"/>
        <v>0.16775750530678257</v>
      </c>
      <c r="AD343" s="110">
        <f t="shared" si="77"/>
        <v>-3.42799870593683E-2</v>
      </c>
    </row>
    <row r="344" spans="1:30" x14ac:dyDescent="0.25">
      <c r="A344" s="168">
        <v>44235</v>
      </c>
      <c r="B344" s="190">
        <v>5154</v>
      </c>
      <c r="C344" s="24">
        <f t="shared" si="78"/>
        <v>7378.2857142857147</v>
      </c>
      <c r="D344" s="190">
        <f t="shared" si="87"/>
        <v>1985501</v>
      </c>
      <c r="E344" s="190">
        <v>227</v>
      </c>
      <c r="F344" s="24">
        <f t="shared" si="79"/>
        <v>164.14285714285714</v>
      </c>
      <c r="G344" s="190">
        <f t="shared" si="84"/>
        <v>49370</v>
      </c>
      <c r="H344" s="190">
        <f t="shared" si="90"/>
        <v>7213</v>
      </c>
      <c r="I344" s="219">
        <v>1786178</v>
      </c>
      <c r="J344" s="190">
        <v>3526</v>
      </c>
      <c r="K344" s="24">
        <f t="shared" si="91"/>
        <v>3557.5714285714284</v>
      </c>
      <c r="L344" s="190">
        <v>30651</v>
      </c>
      <c r="M344" s="24">
        <f t="shared" si="91"/>
        <v>44611.428571428572</v>
      </c>
      <c r="N344" s="4">
        <f t="shared" si="80"/>
        <v>6521749</v>
      </c>
      <c r="O344" s="7">
        <v>10625</v>
      </c>
      <c r="P344" s="7">
        <v>3587360</v>
      </c>
      <c r="Q344" s="4">
        <f t="shared" si="92"/>
        <v>3597985</v>
      </c>
      <c r="R344" s="4"/>
      <c r="S344" s="4"/>
      <c r="T344" s="4"/>
      <c r="U344" s="4"/>
      <c r="V344" s="4">
        <f t="shared" si="93"/>
        <v>149953</v>
      </c>
      <c r="W344" s="57">
        <f t="shared" si="82"/>
        <v>-24</v>
      </c>
      <c r="X344" s="149">
        <f t="shared" si="94"/>
        <v>-2286</v>
      </c>
      <c r="Y344" s="259">
        <f t="shared" si="83"/>
        <v>2.3514034397444532E-2</v>
      </c>
      <c r="Z344" s="110">
        <f t="shared" si="89"/>
        <v>-0.11467654016250128</v>
      </c>
      <c r="AA344" s="110">
        <f t="shared" si="81"/>
        <v>0.1653900345843474</v>
      </c>
      <c r="AB344" s="110">
        <f t="shared" si="76"/>
        <v>0.16539003458434737</v>
      </c>
      <c r="AD344" s="110">
        <f t="shared" si="77"/>
        <v>-3.6496115862317158E-2</v>
      </c>
    </row>
    <row r="345" spans="1:30" x14ac:dyDescent="0.25">
      <c r="A345" s="168">
        <v>44236</v>
      </c>
      <c r="B345" s="190">
        <v>7794</v>
      </c>
      <c r="C345" s="24">
        <f t="shared" si="78"/>
        <v>7106.7142857142853</v>
      </c>
      <c r="D345" s="190">
        <f t="shared" si="87"/>
        <v>1993295</v>
      </c>
      <c r="E345" s="190">
        <v>168</v>
      </c>
      <c r="F345" s="24">
        <f t="shared" si="79"/>
        <v>163</v>
      </c>
      <c r="G345" s="190">
        <f t="shared" si="84"/>
        <v>49538</v>
      </c>
      <c r="H345" s="190">
        <f t="shared" si="90"/>
        <v>6143</v>
      </c>
      <c r="I345" s="219">
        <v>1792321</v>
      </c>
      <c r="J345" s="190">
        <v>3553</v>
      </c>
      <c r="K345" s="24">
        <f t="shared" si="91"/>
        <v>3552.8571428571427</v>
      </c>
      <c r="L345" s="190">
        <v>49781</v>
      </c>
      <c r="M345" s="24">
        <f t="shared" si="91"/>
        <v>42265.571428571428</v>
      </c>
      <c r="N345" s="4">
        <f t="shared" si="80"/>
        <v>6571530</v>
      </c>
      <c r="O345" s="7">
        <v>10844</v>
      </c>
      <c r="P345" s="7">
        <v>3619021</v>
      </c>
      <c r="Q345" s="4">
        <f t="shared" si="92"/>
        <v>3629865</v>
      </c>
      <c r="R345" s="4"/>
      <c r="S345" s="4"/>
      <c r="T345" s="4"/>
      <c r="U345" s="4"/>
      <c r="V345" s="4">
        <f t="shared" si="93"/>
        <v>151436</v>
      </c>
      <c r="W345" s="57">
        <f t="shared" si="82"/>
        <v>27</v>
      </c>
      <c r="X345" s="149">
        <f t="shared" si="94"/>
        <v>1483</v>
      </c>
      <c r="Y345" s="259">
        <f t="shared" si="83"/>
        <v>2.3462056578356535E-2</v>
      </c>
      <c r="Z345" s="110">
        <f t="shared" si="89"/>
        <v>-0.12248857843396654</v>
      </c>
      <c r="AA345" s="110">
        <f t="shared" si="81"/>
        <v>0.16814428494654549</v>
      </c>
      <c r="AB345" s="110">
        <f t="shared" si="76"/>
        <v>0.16814428494654549</v>
      </c>
      <c r="AD345" s="110">
        <f t="shared" si="77"/>
        <v>-3.1633873247092104E-2</v>
      </c>
    </row>
    <row r="346" spans="1:30" x14ac:dyDescent="0.25">
      <c r="A346" s="168">
        <v>44237</v>
      </c>
      <c r="B346" s="190">
        <v>7739</v>
      </c>
      <c r="C346" s="24">
        <f t="shared" si="78"/>
        <v>6898.5714285714284</v>
      </c>
      <c r="D346" s="190">
        <f t="shared" si="87"/>
        <v>2001034</v>
      </c>
      <c r="E346" s="190">
        <v>109</v>
      </c>
      <c r="F346" s="24">
        <f t="shared" si="79"/>
        <v>162.42857142857142</v>
      </c>
      <c r="G346" s="190">
        <f t="shared" si="84"/>
        <v>49647</v>
      </c>
      <c r="H346" s="190">
        <f t="shared" si="90"/>
        <v>5799</v>
      </c>
      <c r="I346" s="219">
        <v>1798120</v>
      </c>
      <c r="J346" s="190">
        <v>3561</v>
      </c>
      <c r="K346" s="24">
        <f t="shared" si="91"/>
        <v>3551.4285714285716</v>
      </c>
      <c r="L346" s="190">
        <v>50352</v>
      </c>
      <c r="M346" s="24">
        <f t="shared" si="91"/>
        <v>42578.714285714283</v>
      </c>
      <c r="N346" s="4">
        <f t="shared" si="80"/>
        <v>6621882</v>
      </c>
      <c r="O346" s="7">
        <v>10852</v>
      </c>
      <c r="P346" s="7">
        <v>3639228</v>
      </c>
      <c r="Q346" s="4">
        <f t="shared" si="92"/>
        <v>3650080</v>
      </c>
      <c r="R346" s="4"/>
      <c r="S346" s="4"/>
      <c r="T346" s="4"/>
      <c r="U346" s="4"/>
      <c r="V346" s="4">
        <f t="shared" si="93"/>
        <v>153267</v>
      </c>
      <c r="W346" s="57">
        <f t="shared" si="82"/>
        <v>8</v>
      </c>
      <c r="X346" s="149">
        <f t="shared" si="94"/>
        <v>1831</v>
      </c>
      <c r="Y346" s="259">
        <f t="shared" si="83"/>
        <v>2.3233964258450937E-2</v>
      </c>
      <c r="Z346" s="110">
        <f t="shared" si="89"/>
        <v>-0.13938443442462267</v>
      </c>
      <c r="AA346" s="110">
        <f t="shared" si="81"/>
        <v>0.16201925173879639</v>
      </c>
      <c r="AB346" s="110">
        <f t="shared" si="76"/>
        <v>0.16201925173879639</v>
      </c>
      <c r="AD346" s="110">
        <f t="shared" si="77"/>
        <v>-3.6214203966646985E-2</v>
      </c>
    </row>
    <row r="347" spans="1:30" x14ac:dyDescent="0.25">
      <c r="A347" s="168">
        <v>44238</v>
      </c>
      <c r="B347" s="212">
        <v>7311</v>
      </c>
      <c r="C347" s="24">
        <f t="shared" si="78"/>
        <v>6672.8571428571431</v>
      </c>
      <c r="D347" s="190">
        <f t="shared" si="87"/>
        <v>2008345</v>
      </c>
      <c r="E347" s="212">
        <v>195</v>
      </c>
      <c r="F347" s="24">
        <f t="shared" si="79"/>
        <v>167.14285714285714</v>
      </c>
      <c r="G347" s="190">
        <f t="shared" si="84"/>
        <v>49842</v>
      </c>
      <c r="H347" s="190">
        <f t="shared" si="90"/>
        <v>8140</v>
      </c>
      <c r="I347" s="219">
        <v>1806260</v>
      </c>
      <c r="J347" s="190">
        <v>3541</v>
      </c>
      <c r="K347" s="24">
        <f t="shared" si="91"/>
        <v>3547.2857142857142</v>
      </c>
      <c r="L347" s="190">
        <v>51007</v>
      </c>
      <c r="M347" s="24">
        <f t="shared" si="91"/>
        <v>42357.285714285717</v>
      </c>
      <c r="N347" s="4">
        <f t="shared" si="80"/>
        <v>6672889</v>
      </c>
      <c r="O347" s="7">
        <v>11150</v>
      </c>
      <c r="P347" s="7">
        <v>3684608</v>
      </c>
      <c r="Q347" s="4">
        <f t="shared" si="92"/>
        <v>3695758</v>
      </c>
      <c r="R347" s="4"/>
      <c r="S347" s="4"/>
      <c r="T347" s="4"/>
      <c r="U347" s="4"/>
      <c r="V347" s="4">
        <f t="shared" si="93"/>
        <v>152243</v>
      </c>
      <c r="W347" s="57">
        <f t="shared" si="82"/>
        <v>-20</v>
      </c>
      <c r="X347" s="149">
        <f t="shared" si="94"/>
        <v>-1024</v>
      </c>
      <c r="Y347" s="259">
        <f t="shared" si="83"/>
        <v>2.3258869044882197E-2</v>
      </c>
      <c r="Z347" s="110">
        <f t="shared" si="89"/>
        <v>-0.14524127582483937</v>
      </c>
      <c r="AA347" s="110">
        <f t="shared" si="81"/>
        <v>0.15753741134093982</v>
      </c>
      <c r="AB347" s="110">
        <f t="shared" si="76"/>
        <v>0.15753741134093982</v>
      </c>
      <c r="AD347" s="110">
        <f t="shared" si="77"/>
        <v>-3.8007557279884696E-2</v>
      </c>
    </row>
    <row r="348" spans="1:30" x14ac:dyDescent="0.25">
      <c r="A348" s="168">
        <v>44239</v>
      </c>
      <c r="B348" s="190">
        <v>7151</v>
      </c>
      <c r="C348" s="24">
        <f t="shared" si="78"/>
        <v>6498.1428571428569</v>
      </c>
      <c r="D348" s="190">
        <f t="shared" si="87"/>
        <v>2015496</v>
      </c>
      <c r="E348" s="208">
        <v>155</v>
      </c>
      <c r="F348" s="24">
        <f t="shared" si="79"/>
        <v>148.57142857142858</v>
      </c>
      <c r="G348" s="190">
        <f t="shared" si="84"/>
        <v>49997</v>
      </c>
      <c r="H348" s="190">
        <f t="shared" si="90"/>
        <v>7900</v>
      </c>
      <c r="I348" s="219">
        <v>1814160</v>
      </c>
      <c r="J348" s="190">
        <v>3538</v>
      </c>
      <c r="K348" s="24">
        <f t="shared" si="91"/>
        <v>3545.5714285714284</v>
      </c>
      <c r="L348" s="190">
        <v>49074</v>
      </c>
      <c r="M348" s="24">
        <f t="shared" si="91"/>
        <v>42547.142857142855</v>
      </c>
      <c r="N348" s="4">
        <f t="shared" si="80"/>
        <v>6721963</v>
      </c>
      <c r="O348" s="7">
        <v>11298</v>
      </c>
      <c r="P348" s="7">
        <v>3716607</v>
      </c>
      <c r="Q348" s="4">
        <f t="shared" si="92"/>
        <v>3727905</v>
      </c>
      <c r="R348" s="4"/>
      <c r="S348" s="4"/>
      <c r="T348" s="4"/>
      <c r="U348" s="4"/>
      <c r="V348" s="21">
        <f t="shared" si="93"/>
        <v>151339</v>
      </c>
      <c r="W348" s="57">
        <f t="shared" si="82"/>
        <v>-3</v>
      </c>
      <c r="X348" s="149">
        <f t="shared" si="94"/>
        <v>-904</v>
      </c>
      <c r="Y348" s="259">
        <f t="shared" si="83"/>
        <v>2.3377979238662871E-2</v>
      </c>
      <c r="Z348" s="110">
        <f t="shared" si="89"/>
        <v>-0.16422599908130453</v>
      </c>
      <c r="AA348" s="110">
        <f t="shared" si="81"/>
        <v>0.15272806634657354</v>
      </c>
      <c r="AB348" s="110">
        <f t="shared" si="76"/>
        <v>0.15272806634657354</v>
      </c>
      <c r="AD348" s="110">
        <f t="shared" si="77"/>
        <v>-3.7834573081569123E-2</v>
      </c>
    </row>
    <row r="349" spans="1:30" x14ac:dyDescent="0.25">
      <c r="A349" s="168">
        <v>44240</v>
      </c>
      <c r="B349" s="190">
        <v>6057</v>
      </c>
      <c r="C349" s="24">
        <f t="shared" si="78"/>
        <v>6409.1428571428569</v>
      </c>
      <c r="D349" s="190">
        <f t="shared" si="87"/>
        <v>2021553</v>
      </c>
      <c r="E349" s="208">
        <v>158</v>
      </c>
      <c r="F349" s="24">
        <f t="shared" si="79"/>
        <v>153.28571428571428</v>
      </c>
      <c r="G349" s="190">
        <f t="shared" si="84"/>
        <v>50155</v>
      </c>
      <c r="H349" s="190">
        <f t="shared" si="90"/>
        <v>6805</v>
      </c>
      <c r="I349" s="219">
        <v>1820965</v>
      </c>
      <c r="J349" s="190">
        <v>3514</v>
      </c>
      <c r="K349" s="24">
        <f t="shared" si="91"/>
        <v>3540.4285714285716</v>
      </c>
      <c r="L349" s="190">
        <v>54719</v>
      </c>
      <c r="M349" s="24">
        <f t="shared" si="91"/>
        <v>44329.285714285717</v>
      </c>
      <c r="N349" s="4">
        <f t="shared" si="80"/>
        <v>6776682</v>
      </c>
      <c r="O349" s="7"/>
      <c r="P349" s="7"/>
      <c r="Q349" s="4"/>
      <c r="R349" s="4"/>
      <c r="S349" s="4"/>
      <c r="T349" s="4"/>
      <c r="U349" s="4"/>
      <c r="V349" s="21">
        <f t="shared" si="93"/>
        <v>150433</v>
      </c>
      <c r="W349" s="57">
        <f t="shared" si="82"/>
        <v>-24</v>
      </c>
      <c r="X349" s="149">
        <f t="shared" si="94"/>
        <v>-906</v>
      </c>
      <c r="Y349" s="259">
        <f t="shared" si="83"/>
        <v>2.3359236337771632E-2</v>
      </c>
      <c r="Z349" s="110">
        <f t="shared" si="89"/>
        <v>-0.15523085034269801</v>
      </c>
      <c r="AA349" s="110">
        <f t="shared" si="81"/>
        <v>0.14458033225375033</v>
      </c>
      <c r="AB349" s="110">
        <f t="shared" si="76"/>
        <v>0.14458033225375033</v>
      </c>
      <c r="AD349" s="110">
        <f t="shared" si="77"/>
        <v>-3.2883740067374712E-2</v>
      </c>
    </row>
    <row r="350" spans="1:30" x14ac:dyDescent="0.25">
      <c r="A350" s="168">
        <v>44241</v>
      </c>
      <c r="B350" s="190">
        <v>4245</v>
      </c>
      <c r="C350" s="24">
        <f t="shared" si="78"/>
        <v>6493</v>
      </c>
      <c r="D350" s="190">
        <f t="shared" si="87"/>
        <v>2025798</v>
      </c>
      <c r="E350" s="208">
        <v>48</v>
      </c>
      <c r="F350" s="24">
        <f t="shared" si="79"/>
        <v>151.42857142857142</v>
      </c>
      <c r="G350" s="190">
        <f t="shared" si="84"/>
        <v>50203</v>
      </c>
      <c r="H350" s="190">
        <f t="shared" si="90"/>
        <v>6153</v>
      </c>
      <c r="I350" s="219">
        <v>1827118</v>
      </c>
      <c r="J350" s="190">
        <v>3547</v>
      </c>
      <c r="K350" s="24">
        <f t="shared" si="91"/>
        <v>3540</v>
      </c>
      <c r="L350" s="190">
        <v>41673</v>
      </c>
      <c r="M350" s="24">
        <f t="shared" si="91"/>
        <v>46751</v>
      </c>
      <c r="N350" s="4">
        <f t="shared" si="80"/>
        <v>6818355</v>
      </c>
      <c r="O350" s="7">
        <v>11438</v>
      </c>
      <c r="P350" s="7">
        <v>3778940</v>
      </c>
      <c r="Q350" s="4">
        <f t="shared" si="92"/>
        <v>3790378</v>
      </c>
      <c r="R350" s="4"/>
      <c r="S350" s="4"/>
      <c r="T350" s="4"/>
      <c r="U350" s="4"/>
      <c r="V350" s="21">
        <f t="shared" si="93"/>
        <v>148477</v>
      </c>
      <c r="W350" s="57">
        <f t="shared" si="82"/>
        <v>33</v>
      </c>
      <c r="X350" s="149">
        <f t="shared" si="94"/>
        <v>-1956</v>
      </c>
      <c r="Y350" s="259">
        <f t="shared" si="83"/>
        <v>2.3889221899688166E-2</v>
      </c>
      <c r="Z350" s="110">
        <f t="shared" si="89"/>
        <v>-0.11998528500619587</v>
      </c>
      <c r="AA350" s="110">
        <f t="shared" si="81"/>
        <v>0.13888472973840132</v>
      </c>
      <c r="AB350" s="110">
        <f t="shared" si="76"/>
        <v>0.13888472973840132</v>
      </c>
      <c r="AD350" s="110">
        <f t="shared" si="77"/>
        <v>-2.4711144975991695E-2</v>
      </c>
    </row>
    <row r="351" spans="1:30" x14ac:dyDescent="0.25">
      <c r="A351" s="168">
        <v>44242</v>
      </c>
      <c r="B351" s="190">
        <v>3259</v>
      </c>
      <c r="C351" s="24">
        <f t="shared" si="78"/>
        <v>6222.2857142857147</v>
      </c>
      <c r="D351" s="190">
        <f t="shared" si="87"/>
        <v>2029057</v>
      </c>
      <c r="E351" s="208">
        <v>91</v>
      </c>
      <c r="F351" s="24">
        <f t="shared" si="79"/>
        <v>132</v>
      </c>
      <c r="G351" s="190">
        <f t="shared" si="84"/>
        <v>50294</v>
      </c>
      <c r="H351" s="190">
        <f t="shared" si="90"/>
        <v>6324</v>
      </c>
      <c r="I351" s="219">
        <v>1833442</v>
      </c>
      <c r="J351" s="190">
        <v>3538</v>
      </c>
      <c r="K351" s="24">
        <f t="shared" si="91"/>
        <v>3541.7142857142858</v>
      </c>
      <c r="L351" s="190">
        <v>30040</v>
      </c>
      <c r="M351" s="24">
        <f t="shared" si="91"/>
        <v>46663.714285714283</v>
      </c>
      <c r="N351" s="4">
        <f t="shared" si="80"/>
        <v>6848395</v>
      </c>
      <c r="O351" s="7">
        <v>11525</v>
      </c>
      <c r="P351" s="7">
        <v>3807948</v>
      </c>
      <c r="Q351" s="4">
        <f t="shared" si="92"/>
        <v>3819473</v>
      </c>
      <c r="R351" s="4"/>
      <c r="S351" s="4"/>
      <c r="T351" s="4"/>
      <c r="U351" s="4"/>
      <c r="V351" s="21">
        <f t="shared" si="93"/>
        <v>145321</v>
      </c>
      <c r="W351" s="57">
        <f t="shared" si="82"/>
        <v>-9</v>
      </c>
      <c r="X351" s="149">
        <f t="shared" si="94"/>
        <v>-3156</v>
      </c>
      <c r="Y351" s="259">
        <f t="shared" si="83"/>
        <v>2.4346102765601667E-2</v>
      </c>
      <c r="Z351" s="110">
        <f t="shared" si="89"/>
        <v>-0.12444971556073725</v>
      </c>
      <c r="AA351" s="110">
        <f t="shared" si="81"/>
        <v>0.13334312987148167</v>
      </c>
      <c r="AB351" s="110">
        <f t="shared" si="76"/>
        <v>0.13334312987148167</v>
      </c>
      <c r="AD351" s="110">
        <f t="shared" si="77"/>
        <v>-3.088967876601334E-2</v>
      </c>
    </row>
    <row r="352" spans="1:30" x14ac:dyDescent="0.25">
      <c r="A352" s="168">
        <v>44243</v>
      </c>
      <c r="B352" s="190">
        <v>4003</v>
      </c>
      <c r="C352" s="24">
        <f t="shared" si="78"/>
        <v>5680.7142857142853</v>
      </c>
      <c r="D352" s="190">
        <f t="shared" si="87"/>
        <v>2033060</v>
      </c>
      <c r="E352" s="208">
        <v>105</v>
      </c>
      <c r="F352" s="24">
        <f t="shared" si="79"/>
        <v>123</v>
      </c>
      <c r="G352" s="190">
        <f t="shared" si="84"/>
        <v>50399</v>
      </c>
      <c r="H352" s="190">
        <f t="shared" si="90"/>
        <v>4849</v>
      </c>
      <c r="I352" s="219">
        <v>1838291</v>
      </c>
      <c r="J352" s="190">
        <v>3581</v>
      </c>
      <c r="K352" s="24">
        <f t="shared" si="91"/>
        <v>3545.7142857142858</v>
      </c>
      <c r="L352" s="190">
        <v>36282</v>
      </c>
      <c r="M352" s="24">
        <f t="shared" si="91"/>
        <v>44735.285714285717</v>
      </c>
      <c r="N352" s="4">
        <f t="shared" si="80"/>
        <v>6884677</v>
      </c>
      <c r="O352" s="7">
        <v>11677</v>
      </c>
      <c r="P352" s="7">
        <v>3832083</v>
      </c>
      <c r="Q352" s="4">
        <f t="shared" si="92"/>
        <v>3843760</v>
      </c>
      <c r="R352" s="4"/>
      <c r="S352" s="4"/>
      <c r="T352" s="4"/>
      <c r="U352" s="4"/>
      <c r="V352" s="21">
        <f t="shared" si="93"/>
        <v>144370</v>
      </c>
      <c r="W352" s="57">
        <f t="shared" si="82"/>
        <v>43</v>
      </c>
      <c r="X352" s="149">
        <f t="shared" si="94"/>
        <v>-951</v>
      </c>
      <c r="Y352" s="259">
        <f t="shared" si="83"/>
        <v>2.4804322227609615E-2</v>
      </c>
      <c r="Z352" s="110">
        <f t="shared" si="89"/>
        <v>-0.17653758542141229</v>
      </c>
      <c r="AA352" s="110">
        <f t="shared" si="81"/>
        <v>0.12698509006952005</v>
      </c>
      <c r="AB352" s="110">
        <f t="shared" si="76"/>
        <v>0.12698509006952008</v>
      </c>
      <c r="AD352" s="110">
        <f t="shared" si="77"/>
        <v>-4.6659975171029378E-2</v>
      </c>
    </row>
    <row r="353" spans="1:30" x14ac:dyDescent="0.25">
      <c r="A353" s="168">
        <v>44244</v>
      </c>
      <c r="B353" s="190">
        <v>6064</v>
      </c>
      <c r="C353" s="24">
        <f t="shared" si="78"/>
        <v>5441.4285714285716</v>
      </c>
      <c r="D353" s="190">
        <f t="shared" si="87"/>
        <v>2039124</v>
      </c>
      <c r="E353" s="190">
        <v>183</v>
      </c>
      <c r="F353" s="24">
        <f t="shared" si="79"/>
        <v>133.57142857142858</v>
      </c>
      <c r="G353" s="190">
        <f t="shared" si="84"/>
        <v>50582</v>
      </c>
      <c r="H353" s="190">
        <f t="shared" si="90"/>
        <v>4587</v>
      </c>
      <c r="I353" s="219">
        <v>1842878</v>
      </c>
      <c r="J353" s="190">
        <v>3573</v>
      </c>
      <c r="K353" s="24">
        <f t="shared" si="91"/>
        <v>3547.4285714285716</v>
      </c>
      <c r="L353" s="190">
        <v>45882</v>
      </c>
      <c r="M353" s="24">
        <f t="shared" si="91"/>
        <v>44096.714285714283</v>
      </c>
      <c r="N353" s="4">
        <f t="shared" si="80"/>
        <v>6930559</v>
      </c>
      <c r="O353" s="7">
        <v>11782</v>
      </c>
      <c r="P353" s="7">
        <v>3860961</v>
      </c>
      <c r="Q353" s="4">
        <f t="shared" si="92"/>
        <v>3872743</v>
      </c>
      <c r="R353" s="4"/>
      <c r="S353" s="4"/>
      <c r="T353" s="4"/>
      <c r="U353" s="4"/>
      <c r="V353" s="21">
        <f t="shared" si="93"/>
        <v>145664</v>
      </c>
      <c r="W353" s="57">
        <f t="shared" si="82"/>
        <v>-8</v>
      </c>
      <c r="X353" s="149">
        <f t="shared" si="94"/>
        <v>1294</v>
      </c>
      <c r="Y353" s="259">
        <f t="shared" si="83"/>
        <v>2.4529053163444638E-2</v>
      </c>
      <c r="Z353" s="110">
        <f t="shared" si="89"/>
        <v>-0.18454292442731746</v>
      </c>
      <c r="AA353" s="110">
        <f t="shared" si="81"/>
        <v>0.12339759684071053</v>
      </c>
      <c r="AB353" s="110">
        <f t="shared" si="76"/>
        <v>0.12339759684071051</v>
      </c>
      <c r="AD353" s="110">
        <f t="shared" si="77"/>
        <v>-4.9606242700646619E-2</v>
      </c>
    </row>
    <row r="354" spans="1:30" x14ac:dyDescent="0.25">
      <c r="A354" s="168">
        <v>44245</v>
      </c>
      <c r="B354" s="190">
        <v>7671</v>
      </c>
      <c r="C354" s="24">
        <f t="shared" si="78"/>
        <v>5492.8571428571431</v>
      </c>
      <c r="D354" s="190">
        <f t="shared" si="87"/>
        <v>2046795</v>
      </c>
      <c r="E354" s="190">
        <v>242</v>
      </c>
      <c r="F354" s="24">
        <f t="shared" si="79"/>
        <v>140.28571428571428</v>
      </c>
      <c r="G354" s="190">
        <f t="shared" si="84"/>
        <v>50824</v>
      </c>
      <c r="H354" s="190">
        <f t="shared" si="90"/>
        <v>6573</v>
      </c>
      <c r="I354" s="219">
        <v>1849451</v>
      </c>
      <c r="J354" s="190">
        <v>3595</v>
      </c>
      <c r="K354" s="24">
        <f t="shared" si="91"/>
        <v>3555.1428571428573</v>
      </c>
      <c r="L354" s="190">
        <v>54375</v>
      </c>
      <c r="M354" s="24">
        <f t="shared" si="91"/>
        <v>44577.857142857145</v>
      </c>
      <c r="N354" s="4">
        <f t="shared" si="80"/>
        <v>6984934</v>
      </c>
      <c r="O354" s="7">
        <v>11889</v>
      </c>
      <c r="P354" s="7">
        <v>3886419</v>
      </c>
      <c r="Q354" s="4">
        <f t="shared" si="92"/>
        <v>3898308</v>
      </c>
      <c r="R354" s="4"/>
      <c r="S354" s="4"/>
      <c r="T354" s="4"/>
      <c r="U354" s="4"/>
      <c r="V354" s="4">
        <f t="shared" si="93"/>
        <v>146520</v>
      </c>
      <c r="W354" s="57">
        <f t="shared" si="82"/>
        <v>22</v>
      </c>
      <c r="X354" s="149">
        <f t="shared" si="94"/>
        <v>856</v>
      </c>
      <c r="Y354" s="259">
        <f t="shared" si="83"/>
        <v>2.4535899535899536E-2</v>
      </c>
      <c r="Z354" s="110">
        <f t="shared" si="89"/>
        <v>-0.15470354167124667</v>
      </c>
      <c r="AA354" s="110">
        <f t="shared" si="81"/>
        <v>0.12321940745725776</v>
      </c>
      <c r="AB354" s="110">
        <f t="shared" ref="AB354:AB365" si="95">SUM(B348:B354)/SUM(L348:L354)</f>
        <v>0.12321940745725776</v>
      </c>
      <c r="AD354" s="110">
        <f t="shared" si="77"/>
        <v>-3.7591219300723178E-2</v>
      </c>
    </row>
    <row r="355" spans="1:30" x14ac:dyDescent="0.25">
      <c r="A355" s="168">
        <v>44246</v>
      </c>
      <c r="B355" s="190">
        <v>7886</v>
      </c>
      <c r="C355" s="24">
        <f t="shared" si="78"/>
        <v>5597.8571428571431</v>
      </c>
      <c r="D355" s="190">
        <f t="shared" si="87"/>
        <v>2054681</v>
      </c>
      <c r="E355" s="190">
        <v>143</v>
      </c>
      <c r="F355" s="24">
        <f t="shared" si="79"/>
        <v>138.57142857142858</v>
      </c>
      <c r="G355" s="190">
        <f t="shared" si="84"/>
        <v>50967</v>
      </c>
      <c r="H355" s="190">
        <f t="shared" si="90"/>
        <v>6194</v>
      </c>
      <c r="I355" s="219">
        <v>1855645</v>
      </c>
      <c r="J355" s="190">
        <v>3608</v>
      </c>
      <c r="K355" s="24">
        <f t="shared" si="91"/>
        <v>3565.1428571428573</v>
      </c>
      <c r="L355" s="190">
        <v>59570</v>
      </c>
      <c r="M355" s="24">
        <f t="shared" si="91"/>
        <v>46077.285714285717</v>
      </c>
      <c r="N355" s="4">
        <f t="shared" si="80"/>
        <v>7044504</v>
      </c>
      <c r="O355" s="7">
        <v>12025</v>
      </c>
      <c r="P355" s="7">
        <v>3936801</v>
      </c>
      <c r="Q355" s="4">
        <f t="shared" si="92"/>
        <v>3948826</v>
      </c>
      <c r="R355" s="4"/>
      <c r="S355" s="4"/>
      <c r="T355" s="4"/>
      <c r="U355" s="4"/>
      <c r="V355" s="4">
        <f t="shared" si="93"/>
        <v>148069</v>
      </c>
      <c r="W355" s="57">
        <f t="shared" si="82"/>
        <v>13</v>
      </c>
      <c r="X355" s="149">
        <f t="shared" si="94"/>
        <v>1549</v>
      </c>
      <c r="Y355" s="259">
        <f t="shared" si="83"/>
        <v>2.4367018079408925E-2</v>
      </c>
      <c r="Z355" s="110">
        <f t="shared" si="89"/>
        <v>-0.1265825606276747</v>
      </c>
      <c r="AA355" s="110">
        <f t="shared" si="81"/>
        <v>0.12148843092816107</v>
      </c>
      <c r="AB355" s="110">
        <f t="shared" si="95"/>
        <v>0.12148843092816107</v>
      </c>
      <c r="AD355" s="110">
        <f t="shared" si="77"/>
        <v>-2.1607120438221439E-2</v>
      </c>
    </row>
    <row r="356" spans="1:30" x14ac:dyDescent="0.25">
      <c r="A356" s="168">
        <v>44247</v>
      </c>
      <c r="B356" s="190">
        <v>5944</v>
      </c>
      <c r="C356" s="24">
        <f t="shared" si="78"/>
        <v>5581.7142857142853</v>
      </c>
      <c r="D356" s="190">
        <f t="shared" si="87"/>
        <v>2060625</v>
      </c>
      <c r="E356" s="190">
        <v>122</v>
      </c>
      <c r="F356" s="24">
        <f t="shared" si="79"/>
        <v>133.42857142857142</v>
      </c>
      <c r="G356" s="190">
        <f t="shared" si="84"/>
        <v>51089</v>
      </c>
      <c r="H356" s="190">
        <f t="shared" si="90"/>
        <v>5788</v>
      </c>
      <c r="I356" s="219">
        <v>1861433</v>
      </c>
      <c r="J356" s="190">
        <v>3605</v>
      </c>
      <c r="K356" s="24">
        <f t="shared" si="91"/>
        <v>3578.1428571428573</v>
      </c>
      <c r="L356" s="190">
        <v>51122</v>
      </c>
      <c r="M356" s="24">
        <f t="shared" si="91"/>
        <v>45563.428571428572</v>
      </c>
      <c r="N356" s="4">
        <f t="shared" si="80"/>
        <v>7095626</v>
      </c>
      <c r="O356" s="7">
        <v>12151</v>
      </c>
      <c r="P356" s="7">
        <v>3966620</v>
      </c>
      <c r="Q356" s="4">
        <f t="shared" si="92"/>
        <v>3978771</v>
      </c>
      <c r="R356" s="4"/>
      <c r="S356" s="4"/>
      <c r="T356" s="4"/>
      <c r="U356" s="4"/>
      <c r="V356" s="4">
        <f t="shared" si="93"/>
        <v>148103</v>
      </c>
      <c r="W356" s="57">
        <f t="shared" si="82"/>
        <v>-3</v>
      </c>
      <c r="X356" s="149">
        <f t="shared" si="94"/>
        <v>34</v>
      </c>
      <c r="Y356" s="259">
        <f t="shared" si="83"/>
        <v>2.4341167970939145E-2</v>
      </c>
      <c r="Z356" s="110">
        <f t="shared" si="89"/>
        <v>-0.14034894721788305</v>
      </c>
      <c r="AA356" s="110">
        <f t="shared" si="81"/>
        <v>0.12250426407143572</v>
      </c>
      <c r="AB356" s="110">
        <f t="shared" si="95"/>
        <v>0.12250426407143573</v>
      </c>
      <c r="AD356" s="110">
        <f t="shared" ref="AD356:AD404" si="96">V356/V349-1</f>
        <v>-1.5488622842062538E-2</v>
      </c>
    </row>
    <row r="357" spans="1:30" x14ac:dyDescent="0.25">
      <c r="A357" s="168">
        <v>44248</v>
      </c>
      <c r="B357" s="190">
        <v>3709</v>
      </c>
      <c r="C357" s="24">
        <f t="shared" ref="C357:C405" si="97">AVERAGE(B351:B357)</f>
        <v>5505.1428571428569</v>
      </c>
      <c r="D357" s="190">
        <f t="shared" si="87"/>
        <v>2064334</v>
      </c>
      <c r="E357" s="190">
        <v>77</v>
      </c>
      <c r="F357" s="24">
        <f t="shared" ref="F357:F397" si="98">AVERAGE(E351:E357)</f>
        <v>137.57142857142858</v>
      </c>
      <c r="G357" s="190">
        <f t="shared" si="84"/>
        <v>51166</v>
      </c>
      <c r="H357" s="190">
        <f t="shared" si="90"/>
        <v>5068</v>
      </c>
      <c r="I357" s="219">
        <v>1866501</v>
      </c>
      <c r="J357" s="190">
        <v>3605</v>
      </c>
      <c r="K357" s="24">
        <f t="shared" si="91"/>
        <v>3586.4285714285716</v>
      </c>
      <c r="L357" s="190">
        <v>25350</v>
      </c>
      <c r="M357" s="24">
        <f t="shared" si="91"/>
        <v>43231.571428571428</v>
      </c>
      <c r="N357" s="4">
        <f t="shared" si="80"/>
        <v>7120976</v>
      </c>
      <c r="O357" s="7">
        <v>12205</v>
      </c>
      <c r="P357" s="7">
        <v>3982551</v>
      </c>
      <c r="Q357" s="4">
        <f t="shared" si="92"/>
        <v>3994756</v>
      </c>
      <c r="R357" s="4"/>
      <c r="S357" s="4"/>
      <c r="T357" s="4"/>
      <c r="U357" s="4"/>
      <c r="V357" s="4">
        <f t="shared" si="93"/>
        <v>146667</v>
      </c>
      <c r="W357" s="57">
        <f t="shared" si="82"/>
        <v>0</v>
      </c>
      <c r="X357" s="149">
        <f t="shared" si="94"/>
        <v>-1436</v>
      </c>
      <c r="Y357" s="259">
        <f t="shared" si="83"/>
        <v>2.4579489592069109E-2</v>
      </c>
      <c r="Z357" s="110">
        <f t="shared" si="89"/>
        <v>-0.11525392598034723</v>
      </c>
      <c r="AA357" s="110">
        <f t="shared" si="81"/>
        <v>0.12734079921750308</v>
      </c>
      <c r="AB357" s="110">
        <f t="shared" si="95"/>
        <v>0.12734079921750308</v>
      </c>
      <c r="AD357" s="110">
        <f t="shared" si="96"/>
        <v>-1.2190440270210212E-2</v>
      </c>
    </row>
    <row r="358" spans="1:30" x14ac:dyDescent="0.25">
      <c r="A358" s="168">
        <v>44249</v>
      </c>
      <c r="B358" s="190">
        <v>5417</v>
      </c>
      <c r="C358" s="24">
        <f t="shared" si="97"/>
        <v>5813.4285714285716</v>
      </c>
      <c r="D358" s="190">
        <f t="shared" si="87"/>
        <v>2069751</v>
      </c>
      <c r="E358" s="190">
        <v>161</v>
      </c>
      <c r="F358" s="24">
        <f t="shared" si="98"/>
        <v>147.57142857142858</v>
      </c>
      <c r="G358" s="190">
        <f t="shared" si="84"/>
        <v>51327</v>
      </c>
      <c r="H358" s="190">
        <f t="shared" si="90"/>
        <v>5712</v>
      </c>
      <c r="I358" s="219">
        <v>1872213</v>
      </c>
      <c r="J358" s="190">
        <v>3550</v>
      </c>
      <c r="K358" s="24">
        <f t="shared" si="91"/>
        <v>3588.1428571428573</v>
      </c>
      <c r="L358" s="190">
        <v>42145</v>
      </c>
      <c r="M358" s="24">
        <f t="shared" si="91"/>
        <v>44960.857142857145</v>
      </c>
      <c r="N358" s="4">
        <f t="shared" si="80"/>
        <v>7163121</v>
      </c>
      <c r="O358" s="7">
        <v>12284</v>
      </c>
      <c r="P358" s="7">
        <v>4011747</v>
      </c>
      <c r="Q358" s="4">
        <f t="shared" si="92"/>
        <v>4024031</v>
      </c>
      <c r="R358" s="4"/>
      <c r="S358" s="4"/>
      <c r="T358" s="4"/>
      <c r="U358" s="4"/>
      <c r="V358" s="4">
        <f t="shared" si="93"/>
        <v>146211</v>
      </c>
      <c r="W358" s="57">
        <f t="shared" si="82"/>
        <v>-55</v>
      </c>
      <c r="X358" s="149">
        <f t="shared" si="94"/>
        <v>-456</v>
      </c>
      <c r="Y358" s="259">
        <f t="shared" si="83"/>
        <v>2.4279978934553487E-2</v>
      </c>
      <c r="Z358" s="110">
        <f t="shared" si="89"/>
        <v>2.3362253237771968E-2</v>
      </c>
      <c r="AA358" s="110">
        <f t="shared" si="81"/>
        <v>0.12929977186505087</v>
      </c>
      <c r="AB358" s="110">
        <f t="shared" si="95"/>
        <v>0.12929977186505087</v>
      </c>
      <c r="AD358" s="110">
        <f t="shared" si="96"/>
        <v>6.1243729399054203E-3</v>
      </c>
    </row>
    <row r="359" spans="1:30" x14ac:dyDescent="0.25">
      <c r="A359" s="168">
        <v>44250</v>
      </c>
      <c r="B359" s="190">
        <v>7477</v>
      </c>
      <c r="C359" s="24">
        <f t="shared" si="97"/>
        <v>6309.7142857142853</v>
      </c>
      <c r="D359" s="190">
        <f t="shared" si="87"/>
        <v>2077228</v>
      </c>
      <c r="E359" s="190">
        <v>155</v>
      </c>
      <c r="F359" s="24">
        <f t="shared" si="98"/>
        <v>154.71428571428572</v>
      </c>
      <c r="G359" s="190">
        <f t="shared" si="84"/>
        <v>51482</v>
      </c>
      <c r="H359" s="190">
        <f t="shared" si="90"/>
        <v>5685</v>
      </c>
      <c r="I359" s="219">
        <v>1877898</v>
      </c>
      <c r="J359" s="190">
        <v>3529</v>
      </c>
      <c r="K359" s="24">
        <f t="shared" si="91"/>
        <v>3580.7142857142858</v>
      </c>
      <c r="L359" s="190">
        <v>50888</v>
      </c>
      <c r="M359" s="24">
        <f t="shared" si="91"/>
        <v>47047.428571428572</v>
      </c>
      <c r="N359" s="4">
        <f t="shared" si="80"/>
        <v>7214009</v>
      </c>
      <c r="O359" s="24">
        <v>12458</v>
      </c>
      <c r="P359" s="24">
        <v>4042409</v>
      </c>
      <c r="Q359" s="4">
        <f t="shared" si="92"/>
        <v>4054867</v>
      </c>
      <c r="V359" s="4">
        <f t="shared" si="93"/>
        <v>147848</v>
      </c>
      <c r="W359" s="57">
        <f t="shared" si="82"/>
        <v>-21</v>
      </c>
      <c r="X359" s="149">
        <f t="shared" si="94"/>
        <v>1637</v>
      </c>
      <c r="Y359" s="259">
        <f t="shared" si="83"/>
        <v>2.3869108814458091E-2</v>
      </c>
      <c r="Z359" s="110">
        <f t="shared" si="89"/>
        <v>0.15956944079810964</v>
      </c>
      <c r="AA359" s="110">
        <f t="shared" si="81"/>
        <v>0.13411390329515502</v>
      </c>
      <c r="AB359" s="110">
        <f t="shared" si="95"/>
        <v>0.13411390329515505</v>
      </c>
      <c r="AD359" s="110">
        <f t="shared" si="96"/>
        <v>2.4090877606150807E-2</v>
      </c>
    </row>
    <row r="360" spans="1:30" x14ac:dyDescent="0.25">
      <c r="A360" s="170">
        <v>44251</v>
      </c>
      <c r="B360" s="197">
        <v>8183</v>
      </c>
      <c r="C360" s="24">
        <f t="shared" si="97"/>
        <v>6612.4285714285716</v>
      </c>
      <c r="D360" s="197">
        <f t="shared" si="87"/>
        <v>2085411</v>
      </c>
      <c r="E360" s="197">
        <v>140</v>
      </c>
      <c r="F360" s="24">
        <f t="shared" si="98"/>
        <v>148.57142857142858</v>
      </c>
      <c r="G360" s="197">
        <f t="shared" si="84"/>
        <v>51622</v>
      </c>
      <c r="H360" s="197">
        <f t="shared" si="90"/>
        <v>4670</v>
      </c>
      <c r="I360" s="220">
        <v>1882568</v>
      </c>
      <c r="J360" s="197">
        <v>3504</v>
      </c>
      <c r="K360" s="24">
        <f t="shared" si="91"/>
        <v>3570.8571428571427</v>
      </c>
      <c r="L360" s="197">
        <v>46790</v>
      </c>
      <c r="M360" s="24">
        <f t="shared" si="91"/>
        <v>47177.142857142855</v>
      </c>
      <c r="N360" s="4">
        <f t="shared" si="80"/>
        <v>7260799</v>
      </c>
      <c r="O360" s="24">
        <v>12463</v>
      </c>
      <c r="P360" s="24">
        <v>4062615</v>
      </c>
      <c r="Q360" s="30">
        <f t="shared" si="92"/>
        <v>4075078</v>
      </c>
      <c r="V360" s="30">
        <f t="shared" si="93"/>
        <v>151221</v>
      </c>
      <c r="W360" s="100">
        <f t="shared" si="82"/>
        <v>-25</v>
      </c>
      <c r="X360" s="184">
        <f t="shared" si="94"/>
        <v>3373</v>
      </c>
      <c r="Y360" s="259">
        <f t="shared" si="83"/>
        <v>2.3171384926696688E-2</v>
      </c>
      <c r="Z360" s="110">
        <f t="shared" si="89"/>
        <v>0.20382314694408321</v>
      </c>
      <c r="AA360" s="110">
        <f t="shared" si="81"/>
        <v>0.14016170058139535</v>
      </c>
      <c r="AB360" s="110">
        <f t="shared" si="95"/>
        <v>0.14016170058139535</v>
      </c>
      <c r="AD360" s="110">
        <f t="shared" si="96"/>
        <v>3.8149439806678398E-2</v>
      </c>
    </row>
    <row r="361" spans="1:30" x14ac:dyDescent="0.25">
      <c r="A361" s="168">
        <v>44252</v>
      </c>
      <c r="B361" s="190">
        <v>8234</v>
      </c>
      <c r="C361" s="24">
        <f t="shared" si="97"/>
        <v>6692.8571428571431</v>
      </c>
      <c r="D361" s="190">
        <f t="shared" si="87"/>
        <v>2093645</v>
      </c>
      <c r="E361" s="190">
        <v>145</v>
      </c>
      <c r="F361" s="24">
        <f t="shared" si="98"/>
        <v>134.71428571428572</v>
      </c>
      <c r="G361" s="190">
        <f t="shared" si="84"/>
        <v>51767</v>
      </c>
      <c r="H361" s="190">
        <f t="shared" si="90"/>
        <v>5279</v>
      </c>
      <c r="I361" s="219">
        <v>1887847</v>
      </c>
      <c r="J361" s="190">
        <v>3467</v>
      </c>
      <c r="K361" s="24">
        <f t="shared" si="91"/>
        <v>3552.5714285714284</v>
      </c>
      <c r="L361" s="190">
        <v>50336</v>
      </c>
      <c r="M361" s="24">
        <f t="shared" si="91"/>
        <v>46600.142857142855</v>
      </c>
      <c r="N361" s="4">
        <f t="shared" si="80"/>
        <v>7311135</v>
      </c>
      <c r="O361" s="7">
        <v>12512</v>
      </c>
      <c r="P361" s="7">
        <v>4093490</v>
      </c>
      <c r="Q361" s="4">
        <f t="shared" si="92"/>
        <v>4106002</v>
      </c>
      <c r="R361" s="4"/>
      <c r="S361" s="4"/>
      <c r="T361" s="4"/>
      <c r="U361" s="4"/>
      <c r="V361" s="4">
        <f t="shared" si="93"/>
        <v>154031</v>
      </c>
      <c r="W361" s="57">
        <f t="shared" si="82"/>
        <v>-37</v>
      </c>
      <c r="X361" s="149">
        <f t="shared" si="94"/>
        <v>2810</v>
      </c>
      <c r="Y361" s="259">
        <f t="shared" si="83"/>
        <v>2.2508456090007855E-2</v>
      </c>
      <c r="Z361" s="110">
        <f t="shared" si="89"/>
        <v>0.19561056526732168</v>
      </c>
      <c r="AA361" s="110">
        <f t="shared" si="81"/>
        <v>0.14362310354658631</v>
      </c>
      <c r="AB361" s="110">
        <f t="shared" si="95"/>
        <v>0.14362310354658631</v>
      </c>
      <c r="AD361" s="110">
        <f t="shared" si="96"/>
        <v>5.1262626262626343E-2</v>
      </c>
    </row>
    <row r="362" spans="1:30" x14ac:dyDescent="0.25">
      <c r="A362" s="168">
        <v>44253</v>
      </c>
      <c r="B362" s="190">
        <v>5083</v>
      </c>
      <c r="C362" s="24">
        <f t="shared" si="97"/>
        <v>6292.4285714285716</v>
      </c>
      <c r="D362" s="190">
        <f t="shared" si="87"/>
        <v>2098728</v>
      </c>
      <c r="E362" s="190">
        <v>92</v>
      </c>
      <c r="F362" s="24">
        <f t="shared" si="98"/>
        <v>127.42857142857143</v>
      </c>
      <c r="G362" s="190">
        <f t="shared" si="84"/>
        <v>51859</v>
      </c>
      <c r="H362" s="190">
        <f t="shared" si="90"/>
        <v>4987</v>
      </c>
      <c r="I362" s="219">
        <v>1892834</v>
      </c>
      <c r="J362" s="190">
        <v>3475</v>
      </c>
      <c r="K362" s="24">
        <f t="shared" si="91"/>
        <v>3533.5714285714284</v>
      </c>
      <c r="L362" s="190">
        <v>43445</v>
      </c>
      <c r="M362" s="24">
        <f t="shared" si="91"/>
        <v>44296.571428571428</v>
      </c>
      <c r="N362" s="4">
        <f t="shared" ref="N362:N387" si="99">N363-L363</f>
        <v>7354580</v>
      </c>
      <c r="O362" s="7">
        <v>12668</v>
      </c>
      <c r="P362" s="7">
        <v>4129185</v>
      </c>
      <c r="Q362" s="4">
        <f t="shared" si="92"/>
        <v>4141853</v>
      </c>
      <c r="R362" s="4"/>
      <c r="S362" s="4"/>
      <c r="T362" s="4"/>
      <c r="U362" s="4"/>
      <c r="V362" s="4">
        <f t="shared" si="93"/>
        <v>154035</v>
      </c>
      <c r="W362" s="57">
        <f t="shared" si="82"/>
        <v>8</v>
      </c>
      <c r="X362" s="149">
        <f t="shared" si="94"/>
        <v>4</v>
      </c>
      <c r="Y362" s="259">
        <f t="shared" si="83"/>
        <v>2.2559807835881455E-2</v>
      </c>
      <c r="Z362" s="110">
        <f t="shared" si="89"/>
        <v>0.12732903357903358</v>
      </c>
      <c r="AA362" s="110">
        <f t="shared" si="81"/>
        <v>0.14205227105612819</v>
      </c>
      <c r="AB362" s="110">
        <f t="shared" si="95"/>
        <v>0.14205227105612817</v>
      </c>
      <c r="AD362" s="110">
        <f t="shared" si="96"/>
        <v>4.0292026014898452E-2</v>
      </c>
    </row>
    <row r="363" spans="1:30" x14ac:dyDescent="0.25">
      <c r="A363" s="168">
        <v>44254</v>
      </c>
      <c r="B363" s="190">
        <v>5469</v>
      </c>
      <c r="C363" s="24">
        <f t="shared" si="97"/>
        <v>6224.5714285714284</v>
      </c>
      <c r="D363" s="190">
        <f t="shared" si="87"/>
        <v>2104197</v>
      </c>
      <c r="E363" s="190">
        <v>59</v>
      </c>
      <c r="F363" s="24">
        <f t="shared" si="98"/>
        <v>118.42857142857143</v>
      </c>
      <c r="G363" s="190">
        <f t="shared" si="84"/>
        <v>51918</v>
      </c>
      <c r="H363" s="190">
        <f t="shared" si="90"/>
        <v>6253</v>
      </c>
      <c r="I363" s="219">
        <v>1899087</v>
      </c>
      <c r="J363" s="190">
        <v>3494</v>
      </c>
      <c r="K363" s="24">
        <f t="shared" si="91"/>
        <v>3517.7142857142858</v>
      </c>
      <c r="L363" s="190">
        <v>40095</v>
      </c>
      <c r="M363" s="24">
        <f t="shared" si="91"/>
        <v>42721.285714285717</v>
      </c>
      <c r="N363" s="4">
        <f t="shared" si="99"/>
        <v>7394675</v>
      </c>
      <c r="O363" s="7">
        <v>12698</v>
      </c>
      <c r="P363" s="7">
        <v>4146549</v>
      </c>
      <c r="Q363" s="4">
        <f t="shared" si="92"/>
        <v>4159247</v>
      </c>
      <c r="R363" s="4"/>
      <c r="S363" s="4"/>
      <c r="T363" s="4"/>
      <c r="U363" s="4"/>
      <c r="V363" s="4">
        <f t="shared" si="93"/>
        <v>153192</v>
      </c>
      <c r="W363" s="57">
        <f t="shared" si="82"/>
        <v>19</v>
      </c>
      <c r="X363" s="149">
        <f t="shared" si="94"/>
        <v>-843</v>
      </c>
      <c r="Y363" s="259">
        <f t="shared" si="83"/>
        <v>2.2807979528957127E-2</v>
      </c>
      <c r="Z363" s="110">
        <f t="shared" si="89"/>
        <v>0.130682997716421</v>
      </c>
      <c r="AA363" s="110">
        <f t="shared" si="81"/>
        <v>0.14570187494357112</v>
      </c>
      <c r="AB363" s="110">
        <f t="shared" si="95"/>
        <v>0.14570187494357112</v>
      </c>
      <c r="AD363" s="110">
        <f t="shared" si="96"/>
        <v>3.4361221582277279E-2</v>
      </c>
    </row>
    <row r="364" spans="1:30" x14ac:dyDescent="0.25">
      <c r="A364" s="168">
        <v>44255</v>
      </c>
      <c r="B364" s="190">
        <v>3168</v>
      </c>
      <c r="C364" s="24">
        <f t="shared" si="97"/>
        <v>6147.2857142857147</v>
      </c>
      <c r="D364" s="190">
        <f t="shared" si="87"/>
        <v>2107365</v>
      </c>
      <c r="E364" s="190">
        <v>19</v>
      </c>
      <c r="F364" s="24">
        <f t="shared" si="98"/>
        <v>110.14285714285714</v>
      </c>
      <c r="G364" s="190">
        <f t="shared" si="84"/>
        <v>51937</v>
      </c>
      <c r="H364" s="190">
        <f t="shared" si="90"/>
        <v>5934</v>
      </c>
      <c r="I364" s="219">
        <v>1905021</v>
      </c>
      <c r="J364" s="190">
        <v>3505</v>
      </c>
      <c r="K364" s="24">
        <f t="shared" si="91"/>
        <v>3503.4285714285716</v>
      </c>
      <c r="L364" s="190">
        <v>30915</v>
      </c>
      <c r="M364" s="24">
        <f t="shared" si="91"/>
        <v>43516.285714285717</v>
      </c>
      <c r="N364" s="4">
        <f t="shared" si="99"/>
        <v>7425590</v>
      </c>
      <c r="O364" s="7">
        <v>12841</v>
      </c>
      <c r="P364" s="7">
        <v>4175784</v>
      </c>
      <c r="Q364" s="4">
        <f t="shared" si="92"/>
        <v>4188625</v>
      </c>
      <c r="R364" s="4"/>
      <c r="S364" s="4"/>
      <c r="T364" s="4"/>
      <c r="U364" s="4"/>
      <c r="V364" s="4">
        <f t="shared" si="93"/>
        <v>150407</v>
      </c>
      <c r="W364" s="57">
        <f t="shared" si="82"/>
        <v>11</v>
      </c>
      <c r="X364" s="149">
        <f t="shared" si="94"/>
        <v>-2785</v>
      </c>
      <c r="Y364" s="259">
        <f t="shared" si="83"/>
        <v>2.3303436675154748E-2</v>
      </c>
      <c r="Z364" s="110">
        <f t="shared" si="89"/>
        <v>5.7428613554823871E-2</v>
      </c>
      <c r="AA364" s="110">
        <f t="shared" ref="AA364:AA405" si="100">C364/M364</f>
        <v>0.14126402594759269</v>
      </c>
      <c r="AB364" s="110">
        <f t="shared" si="95"/>
        <v>0.14126402594759269</v>
      </c>
      <c r="AD364" s="110">
        <f t="shared" si="96"/>
        <v>2.5499942045586366E-2</v>
      </c>
    </row>
    <row r="365" spans="1:30" x14ac:dyDescent="0.25">
      <c r="A365" s="168">
        <v>44256</v>
      </c>
      <c r="B365" s="190">
        <v>4658</v>
      </c>
      <c r="C365" s="24">
        <f t="shared" si="97"/>
        <v>6038.8571428571431</v>
      </c>
      <c r="D365" s="190">
        <f t="shared" si="87"/>
        <v>2112023</v>
      </c>
      <c r="E365" s="190">
        <v>112</v>
      </c>
      <c r="F365" s="24">
        <f t="shared" si="98"/>
        <v>103.14285714285714</v>
      </c>
      <c r="G365" s="190">
        <f t="shared" si="84"/>
        <v>52049</v>
      </c>
      <c r="H365" s="190">
        <f t="shared" si="90"/>
        <v>6317</v>
      </c>
      <c r="I365" s="219">
        <v>1911338</v>
      </c>
      <c r="J365" s="190">
        <v>3505</v>
      </c>
      <c r="K365" s="24">
        <f t="shared" si="91"/>
        <v>3497</v>
      </c>
      <c r="L365" s="190">
        <v>30136</v>
      </c>
      <c r="M365" s="24">
        <f t="shared" si="91"/>
        <v>41800.714285714283</v>
      </c>
      <c r="N365" s="4">
        <f t="shared" si="99"/>
        <v>7455726</v>
      </c>
      <c r="O365" s="7">
        <v>12890</v>
      </c>
      <c r="P365" s="7">
        <v>4195306</v>
      </c>
      <c r="Q365" s="4">
        <f t="shared" si="92"/>
        <v>4208196</v>
      </c>
      <c r="R365" s="4"/>
      <c r="S365" s="4"/>
      <c r="T365" s="4"/>
      <c r="U365" s="4"/>
      <c r="V365" s="4">
        <f t="shared" si="93"/>
        <v>148636</v>
      </c>
      <c r="W365" s="57">
        <f t="shared" ref="W365:W405" si="101">J365-J364</f>
        <v>0</v>
      </c>
      <c r="X365" s="149">
        <f t="shared" si="94"/>
        <v>-1771</v>
      </c>
      <c r="Y365" s="259">
        <f t="shared" si="83"/>
        <v>2.358109744610996E-2</v>
      </c>
      <c r="Z365" s="110">
        <f t="shared" si="89"/>
        <v>-4.2927005977177912E-2</v>
      </c>
      <c r="AA365" s="110">
        <f t="shared" si="100"/>
        <v>0.1444677978845201</v>
      </c>
      <c r="AB365" s="110">
        <f t="shared" si="95"/>
        <v>0.14446779788452008</v>
      </c>
      <c r="AD365" s="110">
        <f t="shared" si="96"/>
        <v>1.6585619413040043E-2</v>
      </c>
    </row>
    <row r="366" spans="1:30" x14ac:dyDescent="0.25">
      <c r="A366" s="168">
        <v>44257</v>
      </c>
      <c r="B366" s="190">
        <v>6653</v>
      </c>
      <c r="C366" s="24">
        <f t="shared" si="97"/>
        <v>5921.1428571428569</v>
      </c>
      <c r="D366" s="190">
        <f t="shared" si="87"/>
        <v>2118676</v>
      </c>
      <c r="E366" s="190">
        <v>116</v>
      </c>
      <c r="F366" s="24">
        <f t="shared" si="98"/>
        <v>97.571428571428569</v>
      </c>
      <c r="G366" s="190">
        <f t="shared" si="84"/>
        <v>52165</v>
      </c>
      <c r="H366" s="190">
        <f t="shared" si="90"/>
        <v>5598</v>
      </c>
      <c r="I366" s="219">
        <v>1916936</v>
      </c>
      <c r="J366" s="190">
        <v>3527</v>
      </c>
      <c r="K366" s="24">
        <f t="shared" si="91"/>
        <v>3496.7142857142858</v>
      </c>
      <c r="L366" s="190">
        <v>43912</v>
      </c>
      <c r="M366" s="24">
        <f t="shared" si="91"/>
        <v>40804.142857142855</v>
      </c>
      <c r="N366" s="4">
        <f t="shared" si="99"/>
        <v>7499638</v>
      </c>
      <c r="O366" s="7">
        <v>12962</v>
      </c>
      <c r="P366" s="7">
        <v>4221954</v>
      </c>
      <c r="Q366" s="4">
        <f t="shared" si="92"/>
        <v>4234916</v>
      </c>
      <c r="R366" s="4"/>
      <c r="S366" s="4"/>
      <c r="T366" s="4"/>
      <c r="U366" s="4"/>
      <c r="V366" s="4">
        <f t="shared" si="93"/>
        <v>149575</v>
      </c>
      <c r="W366" s="57">
        <f t="shared" si="101"/>
        <v>22</v>
      </c>
      <c r="X366" s="149">
        <f t="shared" si="94"/>
        <v>939</v>
      </c>
      <c r="Y366" s="259">
        <f t="shared" si="83"/>
        <v>2.3580143740598362E-2</v>
      </c>
      <c r="Z366" s="110">
        <f t="shared" si="89"/>
        <v>-0.10454339231317655</v>
      </c>
      <c r="AA366" s="110">
        <f t="shared" si="100"/>
        <v>0.14511131572774474</v>
      </c>
      <c r="AB366" s="110">
        <f t="shared" ref="AB366:AB402" si="102">SUM(B360:B366)/SUM(L360:L366)</f>
        <v>0.14511131572774474</v>
      </c>
      <c r="AD366" s="110">
        <f t="shared" si="96"/>
        <v>1.1680915534873604E-2</v>
      </c>
    </row>
    <row r="367" spans="1:30" x14ac:dyDescent="0.25">
      <c r="A367" s="168">
        <v>44258</v>
      </c>
      <c r="B367" s="190">
        <v>7855</v>
      </c>
      <c r="C367" s="24">
        <f t="shared" si="97"/>
        <v>5874.2857142857147</v>
      </c>
      <c r="D367" s="190">
        <f t="shared" si="87"/>
        <v>2126531</v>
      </c>
      <c r="E367" s="190">
        <v>262</v>
      </c>
      <c r="F367" s="24">
        <f t="shared" si="98"/>
        <v>115</v>
      </c>
      <c r="G367" s="190">
        <f t="shared" si="84"/>
        <v>52427</v>
      </c>
      <c r="H367" s="190">
        <f t="shared" si="90"/>
        <v>4653</v>
      </c>
      <c r="I367" s="219">
        <v>1921589</v>
      </c>
      <c r="J367" s="190">
        <v>3521</v>
      </c>
      <c r="K367" s="24">
        <f t="shared" si="91"/>
        <v>3499.1428571428573</v>
      </c>
      <c r="L367" s="190">
        <v>54559</v>
      </c>
      <c r="M367" s="24">
        <f t="shared" si="91"/>
        <v>41914</v>
      </c>
      <c r="N367" s="4">
        <f t="shared" si="99"/>
        <v>7554197</v>
      </c>
      <c r="O367" s="7">
        <v>13013</v>
      </c>
      <c r="P367" s="7">
        <v>4258155</v>
      </c>
      <c r="Q367" s="4">
        <f t="shared" si="92"/>
        <v>4271168</v>
      </c>
      <c r="R367" s="4"/>
      <c r="S367" s="4"/>
      <c r="T367" s="4"/>
      <c r="U367" s="4"/>
      <c r="V367" s="4">
        <f t="shared" si="93"/>
        <v>152515</v>
      </c>
      <c r="W367" s="57">
        <f t="shared" si="101"/>
        <v>-6</v>
      </c>
      <c r="X367" s="149">
        <f t="shared" si="94"/>
        <v>2940</v>
      </c>
      <c r="Y367" s="259">
        <f t="shared" si="83"/>
        <v>2.3086253811100549E-2</v>
      </c>
      <c r="Z367" s="110">
        <f t="shared" si="89"/>
        <v>-0.12230522945570965</v>
      </c>
      <c r="AA367" s="110">
        <f t="shared" si="100"/>
        <v>0.14015092127417367</v>
      </c>
      <c r="AB367" s="110">
        <f t="shared" si="102"/>
        <v>0.14015092127417364</v>
      </c>
      <c r="AD367" s="110">
        <f t="shared" si="96"/>
        <v>8.5570125842309164E-3</v>
      </c>
    </row>
    <row r="368" spans="1:30" x14ac:dyDescent="0.25">
      <c r="A368" s="168">
        <v>44259</v>
      </c>
      <c r="B368" s="190">
        <v>7432</v>
      </c>
      <c r="C368" s="24">
        <f t="shared" si="97"/>
        <v>5759.7142857142853</v>
      </c>
      <c r="D368" s="190">
        <f t="shared" si="87"/>
        <v>2133963</v>
      </c>
      <c r="E368" s="190">
        <v>191</v>
      </c>
      <c r="F368" s="24">
        <f t="shared" si="98"/>
        <v>121.57142857142857</v>
      </c>
      <c r="G368" s="190">
        <f t="shared" si="84"/>
        <v>52618</v>
      </c>
      <c r="H368" s="190">
        <f t="shared" si="90"/>
        <v>6788</v>
      </c>
      <c r="I368" s="219">
        <v>1928377</v>
      </c>
      <c r="J368" s="190">
        <v>3489</v>
      </c>
      <c r="K368" s="24">
        <f t="shared" si="91"/>
        <v>3502.2857142857142</v>
      </c>
      <c r="L368" s="190">
        <v>52553</v>
      </c>
      <c r="M368" s="24">
        <f t="shared" si="91"/>
        <v>42230.714285714283</v>
      </c>
      <c r="N368" s="4">
        <f t="shared" si="99"/>
        <v>7606750</v>
      </c>
      <c r="O368" s="7">
        <v>13099</v>
      </c>
      <c r="P368" s="7">
        <v>4288679</v>
      </c>
      <c r="Q368" s="4">
        <f t="shared" si="92"/>
        <v>4301778</v>
      </c>
      <c r="R368" s="4"/>
      <c r="S368" s="4"/>
      <c r="T368" s="4"/>
      <c r="U368" s="4"/>
      <c r="V368" s="4">
        <f t="shared" si="93"/>
        <v>152968</v>
      </c>
      <c r="W368" s="57">
        <f t="shared" si="101"/>
        <v>-32</v>
      </c>
      <c r="X368" s="149">
        <f t="shared" si="94"/>
        <v>453</v>
      </c>
      <c r="Y368" s="259">
        <f t="shared" ref="Y368:Y399" si="103">J368/V368</f>
        <v>2.2808692014016002E-2</v>
      </c>
      <c r="Z368" s="110">
        <f t="shared" si="89"/>
        <v>-8.4659568188525935E-2</v>
      </c>
      <c r="AA368" s="110">
        <f t="shared" si="100"/>
        <v>0.13638685452362026</v>
      </c>
      <c r="AB368" s="110">
        <f t="shared" si="102"/>
        <v>0.13638685452362026</v>
      </c>
      <c r="AD368" s="110">
        <f t="shared" si="96"/>
        <v>-6.9012081983497175E-3</v>
      </c>
    </row>
    <row r="369" spans="1:30" x14ac:dyDescent="0.25">
      <c r="A369" s="168">
        <v>44260</v>
      </c>
      <c r="B369" s="190">
        <v>7891</v>
      </c>
      <c r="C369" s="24">
        <f t="shared" si="97"/>
        <v>6160.8571428571431</v>
      </c>
      <c r="D369" s="190">
        <f t="shared" si="87"/>
        <v>2141854</v>
      </c>
      <c r="E369" s="190">
        <v>140</v>
      </c>
      <c r="F369" s="24">
        <f t="shared" si="98"/>
        <v>128.42857142857142</v>
      </c>
      <c r="G369" s="190">
        <f t="shared" ref="G369:G399" si="104">G368+E369</f>
        <v>52758</v>
      </c>
      <c r="H369" s="190">
        <f t="shared" si="90"/>
        <v>6468</v>
      </c>
      <c r="I369" s="219">
        <v>1934845</v>
      </c>
      <c r="J369" s="190">
        <v>3485</v>
      </c>
      <c r="K369" s="24">
        <f t="shared" si="91"/>
        <v>3503.7142857142858</v>
      </c>
      <c r="L369" s="190">
        <v>42063</v>
      </c>
      <c r="M369" s="24">
        <f t="shared" si="91"/>
        <v>42033.285714285717</v>
      </c>
      <c r="N369" s="4">
        <f t="shared" si="99"/>
        <v>7648813</v>
      </c>
      <c r="O369" s="7">
        <v>13197</v>
      </c>
      <c r="P369" s="7">
        <v>4316933</v>
      </c>
      <c r="Q369" s="4">
        <f t="shared" si="92"/>
        <v>4330130</v>
      </c>
      <c r="R369" s="4"/>
      <c r="S369" s="4"/>
      <c r="T369" s="4"/>
      <c r="U369" s="4"/>
      <c r="V369" s="4">
        <f t="shared" si="93"/>
        <v>154251</v>
      </c>
      <c r="W369" s="57">
        <f t="shared" si="101"/>
        <v>-4</v>
      </c>
      <c r="X369" s="149">
        <f t="shared" si="94"/>
        <v>1283</v>
      </c>
      <c r="Y369" s="259">
        <f t="shared" si="103"/>
        <v>2.2593046398402605E-2</v>
      </c>
      <c r="Z369" s="110">
        <f t="shared" si="89"/>
        <v>-1.0235931332048032E-2</v>
      </c>
      <c r="AA369" s="110">
        <f t="shared" si="100"/>
        <v>0.14657091488718124</v>
      </c>
      <c r="AB369" s="110">
        <f t="shared" si="102"/>
        <v>0.14657091488718124</v>
      </c>
      <c r="AD369" s="110">
        <f t="shared" si="96"/>
        <v>1.4022787028922234E-3</v>
      </c>
    </row>
    <row r="370" spans="1:30" x14ac:dyDescent="0.25">
      <c r="A370" s="168">
        <v>44261</v>
      </c>
      <c r="B370" s="190">
        <v>4860</v>
      </c>
      <c r="C370" s="24">
        <f t="shared" si="97"/>
        <v>6073.8571428571431</v>
      </c>
      <c r="D370" s="190">
        <f t="shared" si="87"/>
        <v>2146714</v>
      </c>
      <c r="E370" s="190">
        <v>86</v>
      </c>
      <c r="F370" s="24">
        <f t="shared" si="98"/>
        <v>132.28571428571428</v>
      </c>
      <c r="G370" s="190">
        <f t="shared" si="104"/>
        <v>52844</v>
      </c>
      <c r="H370" s="190">
        <f t="shared" si="90"/>
        <v>5472</v>
      </c>
      <c r="I370" s="219">
        <v>1940317</v>
      </c>
      <c r="J370" s="190">
        <v>3475</v>
      </c>
      <c r="K370" s="24">
        <f t="shared" si="91"/>
        <v>3501</v>
      </c>
      <c r="L370" s="190">
        <v>37730</v>
      </c>
      <c r="M370" s="24">
        <f t="shared" si="91"/>
        <v>41695.428571428572</v>
      </c>
      <c r="N370" s="4">
        <f t="shared" si="99"/>
        <v>7686543</v>
      </c>
      <c r="O370" s="7"/>
      <c r="P370" s="7"/>
      <c r="Q370" s="4"/>
      <c r="R370" s="4"/>
      <c r="S370" s="4"/>
      <c r="T370" s="4"/>
      <c r="U370" s="4"/>
      <c r="V370" s="4">
        <f t="shared" si="93"/>
        <v>153553</v>
      </c>
      <c r="W370" s="57">
        <f t="shared" si="101"/>
        <v>-10</v>
      </c>
      <c r="X370" s="149">
        <f t="shared" si="94"/>
        <v>-698</v>
      </c>
      <c r="Y370" s="259">
        <f t="shared" si="103"/>
        <v>2.2630622651462363E-2</v>
      </c>
      <c r="Z370" s="110">
        <f t="shared" si="89"/>
        <v>-1.1944876949176231E-2</v>
      </c>
      <c r="AA370" s="110">
        <f t="shared" si="100"/>
        <v>0.14567201611687475</v>
      </c>
      <c r="AB370" s="110">
        <f t="shared" si="102"/>
        <v>0.14567201611687475</v>
      </c>
      <c r="AD370" s="110">
        <f t="shared" si="96"/>
        <v>2.3565199227113531E-3</v>
      </c>
    </row>
    <row r="371" spans="1:30" x14ac:dyDescent="0.25">
      <c r="A371" s="168">
        <v>44262</v>
      </c>
      <c r="B371" s="190">
        <v>2922</v>
      </c>
      <c r="C371" s="24">
        <f t="shared" si="97"/>
        <v>6038.7142857142853</v>
      </c>
      <c r="D371" s="190">
        <f t="shared" si="87"/>
        <v>2149636</v>
      </c>
      <c r="E371" s="190">
        <v>10</v>
      </c>
      <c r="F371" s="24">
        <f t="shared" si="98"/>
        <v>131</v>
      </c>
      <c r="G371" s="190">
        <f t="shared" si="104"/>
        <v>52854</v>
      </c>
      <c r="H371" s="190">
        <f t="shared" si="90"/>
        <v>5499</v>
      </c>
      <c r="I371" s="219">
        <v>1945816</v>
      </c>
      <c r="J371" s="190">
        <v>3467</v>
      </c>
      <c r="K371" s="24">
        <f t="shared" si="91"/>
        <v>3495.5714285714284</v>
      </c>
      <c r="L371" s="190">
        <v>22839</v>
      </c>
      <c r="M371" s="24">
        <f t="shared" si="91"/>
        <v>40541.714285714283</v>
      </c>
      <c r="N371" s="4">
        <f t="shared" si="99"/>
        <v>7709382</v>
      </c>
      <c r="O371" s="7">
        <v>13283</v>
      </c>
      <c r="P371" s="7">
        <v>4351403</v>
      </c>
      <c r="Q371" s="4">
        <f t="shared" si="92"/>
        <v>4364686</v>
      </c>
      <c r="R371" s="4"/>
      <c r="S371" s="4"/>
      <c r="T371" s="4"/>
      <c r="U371" s="4"/>
      <c r="V371" s="4">
        <f t="shared" si="93"/>
        <v>150966</v>
      </c>
      <c r="W371" s="57">
        <f t="shared" si="101"/>
        <v>-8</v>
      </c>
      <c r="X371" s="149">
        <f t="shared" si="94"/>
        <v>-2587</v>
      </c>
      <c r="Y371" s="259">
        <f t="shared" si="103"/>
        <v>2.2965435925970085E-2</v>
      </c>
      <c r="Z371" s="110">
        <f t="shared" si="89"/>
        <v>-2.3656320969123179E-5</v>
      </c>
      <c r="AA371" s="110">
        <f t="shared" si="100"/>
        <v>0.14895063990528273</v>
      </c>
      <c r="AB371" s="110">
        <f t="shared" si="102"/>
        <v>0.14895063990528273</v>
      </c>
      <c r="AD371" s="110">
        <f t="shared" si="96"/>
        <v>3.7165823399176734E-3</v>
      </c>
    </row>
    <row r="372" spans="1:30" x14ac:dyDescent="0.25">
      <c r="A372" s="168">
        <v>44263</v>
      </c>
      <c r="B372" s="190">
        <v>5058</v>
      </c>
      <c r="C372" s="24">
        <f t="shared" si="97"/>
        <v>6095.8571428571431</v>
      </c>
      <c r="D372" s="190">
        <f t="shared" ref="D372:D397" si="105">D371+B372</f>
        <v>2154694</v>
      </c>
      <c r="E372" s="304">
        <v>239</v>
      </c>
      <c r="F372" s="24">
        <f t="shared" si="98"/>
        <v>149.14285714285714</v>
      </c>
      <c r="G372" s="190">
        <f t="shared" si="104"/>
        <v>53093</v>
      </c>
      <c r="H372" s="190">
        <f t="shared" si="90"/>
        <v>5724</v>
      </c>
      <c r="I372" s="219">
        <v>1951540</v>
      </c>
      <c r="J372" s="190">
        <v>3484</v>
      </c>
      <c r="K372" s="24">
        <f t="shared" si="91"/>
        <v>3492.5714285714284</v>
      </c>
      <c r="L372" s="190">
        <v>28407</v>
      </c>
      <c r="M372" s="24">
        <f t="shared" si="91"/>
        <v>40294.714285714283</v>
      </c>
      <c r="N372" s="4">
        <f t="shared" si="99"/>
        <v>7737789</v>
      </c>
      <c r="O372" s="7">
        <v>13343</v>
      </c>
      <c r="P372" s="7">
        <v>4368459</v>
      </c>
      <c r="Q372" s="4">
        <f t="shared" si="92"/>
        <v>4381802</v>
      </c>
      <c r="R372" s="4"/>
      <c r="S372" s="4"/>
      <c r="T372" s="4"/>
      <c r="U372" s="4"/>
      <c r="V372" s="4">
        <f t="shared" si="93"/>
        <v>150061</v>
      </c>
      <c r="W372" s="57">
        <f t="shared" si="101"/>
        <v>17</v>
      </c>
      <c r="X372" s="184">
        <f t="shared" si="94"/>
        <v>-905</v>
      </c>
      <c r="Y372" s="259">
        <f t="shared" si="103"/>
        <v>2.3217224995168633E-2</v>
      </c>
      <c r="Z372" s="110">
        <f t="shared" si="89"/>
        <v>2.9506851959081315E-2</v>
      </c>
      <c r="AA372" s="110">
        <f t="shared" si="100"/>
        <v>0.15128180583770295</v>
      </c>
      <c r="AB372" s="110">
        <f t="shared" si="102"/>
        <v>0.15128180583770293</v>
      </c>
      <c r="AD372" s="110">
        <f t="shared" si="96"/>
        <v>9.587179418175884E-3</v>
      </c>
    </row>
    <row r="373" spans="1:30" x14ac:dyDescent="0.25">
      <c r="A373" s="168">
        <v>44264</v>
      </c>
      <c r="B373" s="190">
        <v>7307</v>
      </c>
      <c r="C373" s="24">
        <f t="shared" si="97"/>
        <v>6189.2857142857147</v>
      </c>
      <c r="D373" s="190">
        <f t="shared" si="105"/>
        <v>2162001</v>
      </c>
      <c r="E373" s="190">
        <v>131</v>
      </c>
      <c r="F373" s="24">
        <f t="shared" si="98"/>
        <v>151.28571428571428</v>
      </c>
      <c r="G373" s="190">
        <f t="shared" si="104"/>
        <v>53224</v>
      </c>
      <c r="H373" s="190">
        <f t="shared" si="90"/>
        <v>5051</v>
      </c>
      <c r="I373" s="219">
        <v>1956591</v>
      </c>
      <c r="J373" s="190">
        <v>3525</v>
      </c>
      <c r="K373" s="24">
        <f t="shared" si="91"/>
        <v>3492.2857142857142</v>
      </c>
      <c r="L373" s="190">
        <v>42565</v>
      </c>
      <c r="M373" s="24">
        <f t="shared" si="91"/>
        <v>40102.285714285717</v>
      </c>
      <c r="N373" s="4">
        <f t="shared" si="99"/>
        <v>7780354</v>
      </c>
      <c r="O373" s="7">
        <v>13426</v>
      </c>
      <c r="P373" s="7">
        <v>4392812</v>
      </c>
      <c r="Q373" s="4">
        <f t="shared" si="92"/>
        <v>4406238</v>
      </c>
      <c r="R373" s="4"/>
      <c r="S373" s="4"/>
      <c r="T373" s="4"/>
      <c r="U373" s="4"/>
      <c r="V373" s="4">
        <f t="shared" si="93"/>
        <v>152186</v>
      </c>
      <c r="W373" s="57">
        <f t="shared" si="101"/>
        <v>41</v>
      </c>
      <c r="X373" s="149">
        <f t="shared" si="94"/>
        <v>2125</v>
      </c>
      <c r="Y373" s="43">
        <f t="shared" si="103"/>
        <v>2.3162445954292774E-2</v>
      </c>
      <c r="Z373" s="307">
        <f t="shared" si="89"/>
        <v>5.3623540856031049E-2</v>
      </c>
      <c r="AA373" s="307">
        <f t="shared" si="100"/>
        <v>0.15433747987289645</v>
      </c>
      <c r="AB373" s="110">
        <f t="shared" si="102"/>
        <v>0.15433747987289645</v>
      </c>
      <c r="AD373" s="110">
        <f t="shared" si="96"/>
        <v>1.7456125689453428E-2</v>
      </c>
    </row>
    <row r="374" spans="1:30" x14ac:dyDescent="0.25">
      <c r="A374" s="168">
        <v>44265</v>
      </c>
      <c r="B374" s="190">
        <v>7693</v>
      </c>
      <c r="C374" s="24">
        <f t="shared" si="97"/>
        <v>6166.1428571428569</v>
      </c>
      <c r="D374" s="190">
        <f t="shared" si="105"/>
        <v>2169694</v>
      </c>
      <c r="E374" s="190">
        <v>107</v>
      </c>
      <c r="F374" s="24">
        <f t="shared" si="98"/>
        <v>129.14285714285714</v>
      </c>
      <c r="G374" s="190">
        <f t="shared" si="104"/>
        <v>53331</v>
      </c>
      <c r="H374" s="190">
        <f t="shared" si="90"/>
        <v>5049</v>
      </c>
      <c r="I374" s="219">
        <v>1961640</v>
      </c>
      <c r="J374" s="190">
        <v>3491</v>
      </c>
      <c r="K374" s="24">
        <f t="shared" si="91"/>
        <v>3488</v>
      </c>
      <c r="L374" s="190">
        <v>45460</v>
      </c>
      <c r="M374" s="24">
        <f t="shared" si="91"/>
        <v>38802.428571428572</v>
      </c>
      <c r="N374" s="4">
        <f t="shared" si="99"/>
        <v>7825814</v>
      </c>
      <c r="O374" s="7">
        <v>13539</v>
      </c>
      <c r="P374" s="7">
        <v>4419508</v>
      </c>
      <c r="Q374" s="4">
        <f t="shared" si="92"/>
        <v>4433047</v>
      </c>
      <c r="R374" s="4"/>
      <c r="S374" s="4"/>
      <c r="T374" s="4"/>
      <c r="U374" s="4"/>
      <c r="V374" s="4">
        <f t="shared" si="93"/>
        <v>154723</v>
      </c>
      <c r="W374" s="57">
        <f t="shared" si="101"/>
        <v>-34</v>
      </c>
      <c r="X374" s="149">
        <f t="shared" si="94"/>
        <v>2537</v>
      </c>
      <c r="Y374" s="43">
        <f t="shared" si="103"/>
        <v>2.2562902735856982E-2</v>
      </c>
      <c r="Z374" s="307">
        <f t="shared" si="89"/>
        <v>7.0564016072225844E-2</v>
      </c>
      <c r="AA374" s="307">
        <f t="shared" si="100"/>
        <v>0.15891126107717851</v>
      </c>
      <c r="AB374" s="110">
        <f t="shared" si="102"/>
        <v>0.15891126107717854</v>
      </c>
      <c r="AD374" s="110">
        <f t="shared" si="96"/>
        <v>1.4477264531357559E-2</v>
      </c>
    </row>
    <row r="375" spans="1:30" x14ac:dyDescent="0.25">
      <c r="A375" s="168">
        <v>44266</v>
      </c>
      <c r="B375" s="190">
        <v>8204</v>
      </c>
      <c r="C375" s="24">
        <f t="shared" si="97"/>
        <v>6276.4285714285716</v>
      </c>
      <c r="D375" s="190">
        <f t="shared" si="105"/>
        <v>2177898</v>
      </c>
      <c r="E375" s="190">
        <v>134</v>
      </c>
      <c r="F375" s="24">
        <f t="shared" si="98"/>
        <v>121</v>
      </c>
      <c r="G375" s="190">
        <f t="shared" si="104"/>
        <v>53465</v>
      </c>
      <c r="H375" s="190">
        <f t="shared" si="90"/>
        <v>6822</v>
      </c>
      <c r="I375" s="219">
        <v>1968462</v>
      </c>
      <c r="J375" s="190">
        <v>3438</v>
      </c>
      <c r="K375" s="24">
        <f t="shared" si="91"/>
        <v>3480.7142857142858</v>
      </c>
      <c r="L375" s="190">
        <v>50248</v>
      </c>
      <c r="M375" s="24">
        <f t="shared" si="91"/>
        <v>38473.142857142855</v>
      </c>
      <c r="N375" s="4">
        <f t="shared" si="99"/>
        <v>7876062</v>
      </c>
      <c r="O375" s="7">
        <v>13624</v>
      </c>
      <c r="P375" s="7">
        <v>4452083</v>
      </c>
      <c r="Q375" s="4">
        <f t="shared" si="92"/>
        <v>4465707</v>
      </c>
      <c r="R375" s="4"/>
      <c r="S375" s="4"/>
      <c r="T375" s="4"/>
      <c r="U375" s="4"/>
      <c r="V375" s="4">
        <f t="shared" si="93"/>
        <v>155971</v>
      </c>
      <c r="W375" s="57">
        <f t="shared" si="101"/>
        <v>-53</v>
      </c>
      <c r="X375" s="149">
        <f t="shared" si="94"/>
        <v>1248</v>
      </c>
      <c r="Y375" s="43">
        <f t="shared" si="103"/>
        <v>2.2042559193696264E-2</v>
      </c>
      <c r="Z375" s="307">
        <f t="shared" si="89"/>
        <v>1.8758985298891639E-2</v>
      </c>
      <c r="AA375" s="307">
        <f t="shared" si="100"/>
        <v>0.16313792181558937</v>
      </c>
      <c r="AB375" s="110">
        <f t="shared" si="102"/>
        <v>0.16313792181558937</v>
      </c>
      <c r="AD375" s="110">
        <f t="shared" si="96"/>
        <v>1.9631556926938964E-2</v>
      </c>
    </row>
    <row r="376" spans="1:30" x14ac:dyDescent="0.25">
      <c r="A376" s="168">
        <v>44267</v>
      </c>
      <c r="B376" s="190">
        <v>7849</v>
      </c>
      <c r="C376" s="24">
        <f t="shared" si="97"/>
        <v>6270.4285714285716</v>
      </c>
      <c r="D376" s="190">
        <f t="shared" si="105"/>
        <v>2185747</v>
      </c>
      <c r="E376" s="190">
        <v>86</v>
      </c>
      <c r="F376" s="24">
        <f t="shared" si="98"/>
        <v>113.28571428571429</v>
      </c>
      <c r="G376" s="190">
        <f t="shared" si="104"/>
        <v>53551</v>
      </c>
      <c r="H376" s="190">
        <f t="shared" si="90"/>
        <v>6404</v>
      </c>
      <c r="I376" s="219">
        <v>1974866</v>
      </c>
      <c r="J376" s="190">
        <v>3417</v>
      </c>
      <c r="K376" s="24">
        <f t="shared" si="91"/>
        <v>3471</v>
      </c>
      <c r="L376" s="190">
        <v>53578</v>
      </c>
      <c r="M376" s="24">
        <f t="shared" si="91"/>
        <v>40118.142857142855</v>
      </c>
      <c r="N376" s="4">
        <f t="shared" si="99"/>
        <v>7929640</v>
      </c>
      <c r="O376" s="7">
        <v>13823</v>
      </c>
      <c r="P376" s="7">
        <v>4476389</v>
      </c>
      <c r="Q376" s="4">
        <f t="shared" si="92"/>
        <v>4490212</v>
      </c>
      <c r="R376" s="4"/>
      <c r="S376" s="4"/>
      <c r="T376" s="4"/>
      <c r="U376" s="4"/>
      <c r="V376" s="4">
        <f t="shared" si="93"/>
        <v>157330</v>
      </c>
      <c r="W376" s="57">
        <f t="shared" si="101"/>
        <v>-21</v>
      </c>
      <c r="X376" s="149">
        <f t="shared" si="94"/>
        <v>1359</v>
      </c>
      <c r="Y376" s="43">
        <f t="shared" si="103"/>
        <v>2.1718680480518657E-2</v>
      </c>
      <c r="Z376" s="307">
        <f t="shared" si="89"/>
        <v>3.2363525178163988E-2</v>
      </c>
      <c r="AA376" s="307">
        <f t="shared" si="100"/>
        <v>0.15629907380700575</v>
      </c>
      <c r="AB376" s="110">
        <f t="shared" si="102"/>
        <v>0.15629907380700572</v>
      </c>
      <c r="AD376" s="110">
        <f t="shared" si="96"/>
        <v>1.9960972700339141E-2</v>
      </c>
    </row>
    <row r="377" spans="1:30" x14ac:dyDescent="0.25">
      <c r="A377" s="168">
        <v>44268</v>
      </c>
      <c r="B377" s="190">
        <v>6278</v>
      </c>
      <c r="C377" s="24">
        <f t="shared" si="97"/>
        <v>6473</v>
      </c>
      <c r="D377" s="190">
        <f t="shared" si="105"/>
        <v>2192025</v>
      </c>
      <c r="E377" s="190">
        <v>68</v>
      </c>
      <c r="F377" s="24">
        <f t="shared" si="98"/>
        <v>110.71428571428571</v>
      </c>
      <c r="G377" s="190">
        <f t="shared" si="104"/>
        <v>53619</v>
      </c>
      <c r="H377" s="190">
        <f t="shared" si="90"/>
        <v>6291</v>
      </c>
      <c r="I377" s="219">
        <v>1981157</v>
      </c>
      <c r="J377" s="190">
        <v>3454</v>
      </c>
      <c r="K377" s="24">
        <f t="shared" si="91"/>
        <v>3468</v>
      </c>
      <c r="L377" s="190">
        <v>42812</v>
      </c>
      <c r="M377" s="24">
        <f t="shared" si="91"/>
        <v>40844.142857142855</v>
      </c>
      <c r="N377" s="4">
        <f t="shared" si="99"/>
        <v>7972452</v>
      </c>
      <c r="O377" s="7">
        <v>13891</v>
      </c>
      <c r="P377" s="7">
        <v>4502329</v>
      </c>
      <c r="Q377" s="4">
        <f t="shared" si="92"/>
        <v>4516220</v>
      </c>
      <c r="R377" s="4"/>
      <c r="S377" s="4"/>
      <c r="T377" s="4"/>
      <c r="U377" s="4"/>
      <c r="V377" s="4">
        <f t="shared" si="93"/>
        <v>157249</v>
      </c>
      <c r="W377" s="57">
        <f t="shared" si="101"/>
        <v>37</v>
      </c>
      <c r="X377" s="149">
        <f t="shared" si="94"/>
        <v>-81</v>
      </c>
      <c r="Y377" s="43">
        <f t="shared" si="103"/>
        <v>2.1965163530451703E-2</v>
      </c>
      <c r="Z377" s="307">
        <f t="shared" si="89"/>
        <v>7.1916917035319772E-2</v>
      </c>
      <c r="AA377" s="307">
        <f t="shared" si="100"/>
        <v>0.15848049554228794</v>
      </c>
      <c r="AB377" s="110">
        <f t="shared" si="102"/>
        <v>0.15848049554228794</v>
      </c>
      <c r="AC377" s="259">
        <f t="shared" ref="AC377:AC402" si="106">F377/C363</f>
        <v>1.7786651978334709E-2</v>
      </c>
      <c r="AD377" s="110">
        <f t="shared" si="96"/>
        <v>2.4069865128001355E-2</v>
      </c>
    </row>
    <row r="378" spans="1:30" x14ac:dyDescent="0.25">
      <c r="A378" s="168">
        <v>44269</v>
      </c>
      <c r="B378" s="190">
        <v>3697</v>
      </c>
      <c r="C378" s="24">
        <f t="shared" si="97"/>
        <v>6583.7142857142853</v>
      </c>
      <c r="D378" s="190">
        <f t="shared" si="105"/>
        <v>2195722</v>
      </c>
      <c r="E378" s="190">
        <v>24</v>
      </c>
      <c r="F378" s="24">
        <f t="shared" si="98"/>
        <v>112.71428571428571</v>
      </c>
      <c r="G378" s="190">
        <f t="shared" si="104"/>
        <v>53643</v>
      </c>
      <c r="H378" s="190">
        <f t="shared" si="90"/>
        <v>5746</v>
      </c>
      <c r="I378" s="219">
        <v>1986903</v>
      </c>
      <c r="J378" s="190">
        <v>3479</v>
      </c>
      <c r="K378" s="24">
        <f t="shared" si="91"/>
        <v>3469.7142857142858</v>
      </c>
      <c r="L378" s="4">
        <v>26221</v>
      </c>
      <c r="M378" s="24">
        <f t="shared" si="91"/>
        <v>41327.285714285717</v>
      </c>
      <c r="N378" s="4">
        <f t="shared" si="99"/>
        <v>7998673</v>
      </c>
      <c r="O378" s="7">
        <v>13964</v>
      </c>
      <c r="P378" s="7">
        <v>4518854</v>
      </c>
      <c r="Q378" s="4">
        <f t="shared" si="92"/>
        <v>4532818</v>
      </c>
      <c r="R378" s="4"/>
      <c r="S378" s="4"/>
      <c r="T378" s="4"/>
      <c r="U378" s="4"/>
      <c r="V378" s="4">
        <f t="shared" si="93"/>
        <v>155176</v>
      </c>
      <c r="W378" s="57">
        <f t="shared" si="101"/>
        <v>25</v>
      </c>
      <c r="X378" s="149">
        <f t="shared" si="94"/>
        <v>-2073</v>
      </c>
      <c r="Y378" s="43">
        <f t="shared" si="103"/>
        <v>2.2419704077950197E-2</v>
      </c>
      <c r="Z378" s="307">
        <f t="shared" si="89"/>
        <v>8.0030934358229056E-2</v>
      </c>
      <c r="AA378" s="307">
        <f t="shared" si="100"/>
        <v>0.15930671884019895</v>
      </c>
      <c r="AB378" s="110">
        <f t="shared" si="102"/>
        <v>0.15930671884019898</v>
      </c>
      <c r="AC378" s="259">
        <f t="shared" si="106"/>
        <v>1.833561850758755E-2</v>
      </c>
      <c r="AD378" s="110">
        <f t="shared" si="96"/>
        <v>2.7887073910681792E-2</v>
      </c>
    </row>
    <row r="379" spans="1:30" x14ac:dyDescent="0.25">
      <c r="A379" s="168">
        <v>44270</v>
      </c>
      <c r="B379" s="190">
        <v>6164</v>
      </c>
      <c r="C379" s="24">
        <f t="shared" si="97"/>
        <v>6741.7142857142853</v>
      </c>
      <c r="D379" s="190">
        <f t="shared" si="105"/>
        <v>2201886</v>
      </c>
      <c r="E379" s="190">
        <v>166</v>
      </c>
      <c r="F379" s="24">
        <f t="shared" si="98"/>
        <v>102.28571428571429</v>
      </c>
      <c r="G379" s="190">
        <f t="shared" si="104"/>
        <v>53809</v>
      </c>
      <c r="H379" s="190">
        <f t="shared" si="90"/>
        <v>6312</v>
      </c>
      <c r="I379" s="219">
        <v>1993215</v>
      </c>
      <c r="J379" s="190">
        <v>3469</v>
      </c>
      <c r="K379" s="24">
        <f t="shared" si="91"/>
        <v>3467.5714285714284</v>
      </c>
      <c r="L379" s="4">
        <v>34040</v>
      </c>
      <c r="M379" s="24">
        <f t="shared" si="91"/>
        <v>42132</v>
      </c>
      <c r="N379" s="4">
        <f t="shared" si="99"/>
        <v>8032713</v>
      </c>
      <c r="O379" s="7">
        <v>14058</v>
      </c>
      <c r="P379" s="7">
        <v>4540295</v>
      </c>
      <c r="Q379" s="4">
        <f t="shared" si="92"/>
        <v>4554353</v>
      </c>
      <c r="R379" s="4"/>
      <c r="S379" s="4"/>
      <c r="T379" s="4"/>
      <c r="U379" s="4"/>
      <c r="V379" s="4">
        <f t="shared" si="93"/>
        <v>154862</v>
      </c>
      <c r="W379" s="57">
        <f t="shared" si="101"/>
        <v>-10</v>
      </c>
      <c r="X379" s="149">
        <f t="shared" si="94"/>
        <v>-314</v>
      </c>
      <c r="Y379" s="43">
        <f t="shared" si="103"/>
        <v>2.2400588911417909E-2</v>
      </c>
      <c r="Z379" s="307">
        <f t="shared" ref="Z379:Z423" si="107">C379/C373-1</f>
        <v>8.9255626081938599E-2</v>
      </c>
      <c r="AA379" s="307">
        <f t="shared" si="100"/>
        <v>0.16001410532883048</v>
      </c>
      <c r="AB379" s="110">
        <f t="shared" si="102"/>
        <v>0.16001410532883048</v>
      </c>
      <c r="AC379" s="259">
        <f t="shared" si="106"/>
        <v>1.6937925813777441E-2</v>
      </c>
      <c r="AD379" s="110">
        <f t="shared" si="96"/>
        <v>3.1993655913261865E-2</v>
      </c>
    </row>
    <row r="380" spans="1:30" x14ac:dyDescent="0.25">
      <c r="A380" s="168">
        <v>44271</v>
      </c>
      <c r="B380" s="190">
        <v>8235</v>
      </c>
      <c r="C380" s="24">
        <f t="shared" si="97"/>
        <v>6874.2857142857147</v>
      </c>
      <c r="D380" s="190">
        <f t="shared" si="105"/>
        <v>2210121</v>
      </c>
      <c r="E380" s="190">
        <v>202</v>
      </c>
      <c r="F380" s="24">
        <f t="shared" si="98"/>
        <v>112.42857142857143</v>
      </c>
      <c r="G380" s="190">
        <f t="shared" si="104"/>
        <v>54011</v>
      </c>
      <c r="H380" s="190">
        <f t="shared" si="90"/>
        <v>5379</v>
      </c>
      <c r="I380" s="219">
        <v>1998594</v>
      </c>
      <c r="J380" s="190">
        <v>3469</v>
      </c>
      <c r="K380" s="24">
        <f t="shared" si="91"/>
        <v>3459.5714285714284</v>
      </c>
      <c r="L380" s="4">
        <v>49875</v>
      </c>
      <c r="M380" s="24">
        <f t="shared" si="91"/>
        <v>43176.285714285717</v>
      </c>
      <c r="N380" s="4">
        <f t="shared" si="99"/>
        <v>8082588</v>
      </c>
      <c r="O380" s="7">
        <v>14170</v>
      </c>
      <c r="P380" s="7">
        <v>4569928</v>
      </c>
      <c r="Q380" s="4">
        <f t="shared" si="92"/>
        <v>4584098</v>
      </c>
      <c r="R380" s="4"/>
      <c r="S380" s="4"/>
      <c r="T380" s="4"/>
      <c r="U380" s="4"/>
      <c r="V380" s="4">
        <f t="shared" si="93"/>
        <v>157516</v>
      </c>
      <c r="W380" s="57">
        <f t="shared" si="101"/>
        <v>0</v>
      </c>
      <c r="X380" s="149">
        <f t="shared" si="94"/>
        <v>2654</v>
      </c>
      <c r="Y380" s="43">
        <f t="shared" si="103"/>
        <v>2.2023159552045507E-2</v>
      </c>
      <c r="Z380" s="307">
        <f t="shared" si="107"/>
        <v>0.11484373190000707</v>
      </c>
      <c r="AA380" s="307">
        <f t="shared" si="100"/>
        <v>0.15921438355711137</v>
      </c>
      <c r="AB380" s="110">
        <f t="shared" si="102"/>
        <v>0.15921438355711137</v>
      </c>
      <c r="AC380" s="259">
        <f t="shared" si="106"/>
        <v>1.8987647172360549E-2</v>
      </c>
      <c r="AD380" s="110">
        <f t="shared" si="96"/>
        <v>3.5022932464221501E-2</v>
      </c>
    </row>
    <row r="381" spans="1:30" x14ac:dyDescent="0.25">
      <c r="A381" s="168">
        <v>44272</v>
      </c>
      <c r="B381" s="190">
        <v>8304</v>
      </c>
      <c r="C381" s="24">
        <f t="shared" si="97"/>
        <v>6961.5714285714284</v>
      </c>
      <c r="D381" s="190">
        <f t="shared" si="105"/>
        <v>2218425</v>
      </c>
      <c r="E381" s="190">
        <v>195</v>
      </c>
      <c r="F381" s="24">
        <f t="shared" si="98"/>
        <v>125</v>
      </c>
      <c r="G381" s="190">
        <f t="shared" si="104"/>
        <v>54206</v>
      </c>
      <c r="H381" s="190">
        <f t="shared" si="90"/>
        <v>4527</v>
      </c>
      <c r="I381" s="219">
        <v>2003121</v>
      </c>
      <c r="J381" s="190">
        <v>3485</v>
      </c>
      <c r="K381" s="24">
        <f t="shared" si="91"/>
        <v>3458.7142857142858</v>
      </c>
      <c r="L381" s="4">
        <v>55017</v>
      </c>
      <c r="M381" s="24">
        <f t="shared" si="91"/>
        <v>44541.571428571428</v>
      </c>
      <c r="N381" s="4">
        <f t="shared" si="99"/>
        <v>8137605</v>
      </c>
      <c r="O381" s="7">
        <v>14274</v>
      </c>
      <c r="P381" s="7">
        <v>4602424</v>
      </c>
      <c r="Q381" s="4">
        <f t="shared" si="92"/>
        <v>4616698</v>
      </c>
      <c r="R381" s="4"/>
      <c r="S381" s="4"/>
      <c r="T381" s="4"/>
      <c r="U381" s="4"/>
      <c r="V381" s="4">
        <f t="shared" si="93"/>
        <v>161098</v>
      </c>
      <c r="W381" s="57">
        <f t="shared" si="101"/>
        <v>16</v>
      </c>
      <c r="X381" s="149">
        <f t="shared" si="94"/>
        <v>3582</v>
      </c>
      <c r="Y381" s="43">
        <f t="shared" si="103"/>
        <v>2.1632794944692051E-2</v>
      </c>
      <c r="Z381" s="307">
        <f t="shared" si="107"/>
        <v>0.10916126095368162</v>
      </c>
      <c r="AA381" s="307">
        <f t="shared" si="100"/>
        <v>0.15629379937201524</v>
      </c>
      <c r="AB381" s="110">
        <f t="shared" si="102"/>
        <v>0.15629379937201524</v>
      </c>
      <c r="AC381" s="259">
        <f t="shared" si="106"/>
        <v>2.1279182879377429E-2</v>
      </c>
      <c r="AD381" s="110">
        <f t="shared" si="96"/>
        <v>4.1202665408504258E-2</v>
      </c>
    </row>
    <row r="382" spans="1:30" x14ac:dyDescent="0.25">
      <c r="A382" s="168">
        <v>44273</v>
      </c>
      <c r="B382" s="190">
        <v>8328</v>
      </c>
      <c r="C382" s="24">
        <f t="shared" si="97"/>
        <v>6979.2857142857147</v>
      </c>
      <c r="D382" s="190">
        <f t="shared" si="105"/>
        <v>2226753</v>
      </c>
      <c r="E382" s="364">
        <v>153</v>
      </c>
      <c r="F382" s="24">
        <f t="shared" si="98"/>
        <v>127.71428571428571</v>
      </c>
      <c r="G382" s="190">
        <f t="shared" si="104"/>
        <v>54359</v>
      </c>
      <c r="H382" s="190">
        <f t="shared" si="90"/>
        <v>6756</v>
      </c>
      <c r="I382" s="219">
        <v>2009877</v>
      </c>
      <c r="J382" s="190">
        <v>3522</v>
      </c>
      <c r="K382" s="24">
        <f t="shared" si="91"/>
        <v>3470.7142857142858</v>
      </c>
      <c r="L382" s="4">
        <v>52192</v>
      </c>
      <c r="M382" s="24">
        <f t="shared" si="91"/>
        <v>44819.285714285717</v>
      </c>
      <c r="N382" s="4">
        <f t="shared" si="99"/>
        <v>8189797</v>
      </c>
      <c r="O382" s="7">
        <v>14378</v>
      </c>
      <c r="P382" s="7">
        <v>4634650</v>
      </c>
      <c r="Q382" s="4">
        <f t="shared" si="92"/>
        <v>4649028</v>
      </c>
      <c r="R382" s="4"/>
      <c r="S382" s="4"/>
      <c r="T382" s="4"/>
      <c r="U382" s="4"/>
      <c r="V382" s="4">
        <f t="shared" si="93"/>
        <v>162517</v>
      </c>
      <c r="W382" s="57">
        <f t="shared" si="101"/>
        <v>37</v>
      </c>
      <c r="X382" s="149">
        <f t="shared" si="94"/>
        <v>1419</v>
      </c>
      <c r="Y382" s="43">
        <f t="shared" si="103"/>
        <v>2.167157897327664E-2</v>
      </c>
      <c r="Z382" s="307">
        <f t="shared" si="107"/>
        <v>0.11304763857562716</v>
      </c>
      <c r="AA382" s="307">
        <f t="shared" si="100"/>
        <v>0.15572059221954834</v>
      </c>
      <c r="AB382" s="110">
        <f t="shared" si="102"/>
        <v>0.15572059221954834</v>
      </c>
      <c r="AC382" s="259">
        <f t="shared" si="106"/>
        <v>2.2173718934470957E-2</v>
      </c>
      <c r="AD382" s="110">
        <f t="shared" si="96"/>
        <v>4.1969340454315329E-2</v>
      </c>
    </row>
    <row r="383" spans="1:30" x14ac:dyDescent="0.25">
      <c r="A383" s="168">
        <v>44274</v>
      </c>
      <c r="B383" s="190">
        <v>8160</v>
      </c>
      <c r="C383" s="24">
        <f t="shared" si="97"/>
        <v>7023.7142857142853</v>
      </c>
      <c r="D383" s="190">
        <f t="shared" si="105"/>
        <v>2234913</v>
      </c>
      <c r="E383" s="190">
        <v>113</v>
      </c>
      <c r="F383" s="24">
        <f t="shared" si="98"/>
        <v>131.57142857142858</v>
      </c>
      <c r="G383" s="190">
        <f t="shared" si="104"/>
        <v>54472</v>
      </c>
      <c r="H383" s="190">
        <f t="shared" si="90"/>
        <v>6852</v>
      </c>
      <c r="I383" s="219">
        <v>2016729</v>
      </c>
      <c r="J383" s="190">
        <v>3534</v>
      </c>
      <c r="K383" s="24">
        <f t="shared" si="91"/>
        <v>3487.4285714285716</v>
      </c>
      <c r="L383" s="4">
        <v>61579</v>
      </c>
      <c r="M383" s="24">
        <f t="shared" si="91"/>
        <v>45962.285714285717</v>
      </c>
      <c r="N383" s="4">
        <f t="shared" si="99"/>
        <v>8251376</v>
      </c>
      <c r="O383" s="7">
        <v>14496</v>
      </c>
      <c r="P383" s="7">
        <v>4671212</v>
      </c>
      <c r="Q383" s="4">
        <f t="shared" si="92"/>
        <v>4685708</v>
      </c>
      <c r="R383" s="4"/>
      <c r="S383" s="4"/>
      <c r="T383" s="4"/>
      <c r="U383" s="4"/>
      <c r="V383" s="4">
        <f t="shared" si="93"/>
        <v>163712</v>
      </c>
      <c r="W383" s="57">
        <f t="shared" si="101"/>
        <v>12</v>
      </c>
      <c r="X383" s="149">
        <f t="shared" si="94"/>
        <v>1195</v>
      </c>
      <c r="Y383" s="43">
        <f t="shared" si="103"/>
        <v>2.1586688819390149E-2</v>
      </c>
      <c r="Z383" s="307">
        <f t="shared" si="107"/>
        <v>8.5078678466597557E-2</v>
      </c>
      <c r="AA383" s="307">
        <f t="shared" si="100"/>
        <v>0.15281473008926572</v>
      </c>
      <c r="AB383" s="110">
        <f t="shared" si="102"/>
        <v>0.15281473008926574</v>
      </c>
      <c r="AC383" s="259">
        <f t="shared" si="106"/>
        <v>2.1356026526921115E-2</v>
      </c>
      <c r="AD383" s="110">
        <f t="shared" si="96"/>
        <v>4.0564418737685015E-2</v>
      </c>
    </row>
    <row r="384" spans="1:30" x14ac:dyDescent="0.25">
      <c r="A384" s="168">
        <v>44275</v>
      </c>
      <c r="B384" s="190">
        <v>6826</v>
      </c>
      <c r="C384" s="24">
        <f t="shared" si="97"/>
        <v>7102</v>
      </c>
      <c r="D384" s="190">
        <f t="shared" si="105"/>
        <v>2241739</v>
      </c>
      <c r="E384" s="190">
        <v>42</v>
      </c>
      <c r="F384" s="24">
        <f t="shared" si="98"/>
        <v>127.85714285714286</v>
      </c>
      <c r="G384" s="190">
        <f t="shared" si="104"/>
        <v>54514</v>
      </c>
      <c r="H384" s="190">
        <f t="shared" si="90"/>
        <v>6935</v>
      </c>
      <c r="I384" s="219">
        <v>2023664</v>
      </c>
      <c r="J384" s="190">
        <v>3534</v>
      </c>
      <c r="K384" s="24">
        <f t="shared" si="91"/>
        <v>3498.8571428571427</v>
      </c>
      <c r="L384" s="4">
        <v>57789</v>
      </c>
      <c r="M384" s="24">
        <f t="shared" si="91"/>
        <v>48101.857142857145</v>
      </c>
      <c r="N384" s="4">
        <f t="shared" si="99"/>
        <v>8309165</v>
      </c>
      <c r="O384" s="7">
        <v>14641</v>
      </c>
      <c r="P384" s="7">
        <v>4709648</v>
      </c>
      <c r="Q384" s="4">
        <f t="shared" si="92"/>
        <v>4724289</v>
      </c>
      <c r="R384" s="4"/>
      <c r="S384" s="4"/>
      <c r="T384" s="4"/>
      <c r="U384" s="4"/>
      <c r="V384" s="4">
        <f t="shared" si="93"/>
        <v>163561</v>
      </c>
      <c r="W384" s="57">
        <f t="shared" si="101"/>
        <v>0</v>
      </c>
      <c r="X384" s="149">
        <f t="shared" si="94"/>
        <v>-151</v>
      </c>
      <c r="Y384" s="43">
        <f t="shared" si="103"/>
        <v>2.1606617714491842E-2</v>
      </c>
      <c r="Z384" s="307">
        <f t="shared" si="107"/>
        <v>7.8722388577876279E-2</v>
      </c>
      <c r="AA384" s="307">
        <f t="shared" si="100"/>
        <v>0.14764502707053187</v>
      </c>
      <c r="AB384" s="110">
        <f t="shared" si="102"/>
        <v>0.14764502707053187</v>
      </c>
      <c r="AC384" s="259">
        <f t="shared" si="106"/>
        <v>2.1050403368064539E-2</v>
      </c>
      <c r="AD384" s="110">
        <f t="shared" si="96"/>
        <v>4.0140159873830683E-2</v>
      </c>
    </row>
    <row r="385" spans="1:30" x14ac:dyDescent="0.25">
      <c r="A385" s="168">
        <v>44276</v>
      </c>
      <c r="B385" s="190">
        <v>4032</v>
      </c>
      <c r="C385" s="24">
        <f t="shared" si="97"/>
        <v>7149.8571428571431</v>
      </c>
      <c r="D385" s="190">
        <f t="shared" si="105"/>
        <v>2245771</v>
      </c>
      <c r="E385" s="190">
        <v>28</v>
      </c>
      <c r="F385" s="24">
        <f t="shared" si="98"/>
        <v>128.42857142857142</v>
      </c>
      <c r="G385" s="190">
        <f t="shared" si="104"/>
        <v>54542</v>
      </c>
      <c r="H385" s="190">
        <f t="shared" si="90"/>
        <v>6489</v>
      </c>
      <c r="I385" s="219">
        <v>2030153</v>
      </c>
      <c r="J385" s="190">
        <v>3534</v>
      </c>
      <c r="K385" s="24">
        <f t="shared" si="91"/>
        <v>3506.7142857142858</v>
      </c>
      <c r="L385" s="4">
        <v>31233</v>
      </c>
      <c r="M385" s="24">
        <f t="shared" si="91"/>
        <v>48817.857142857145</v>
      </c>
      <c r="N385" s="4">
        <f t="shared" si="99"/>
        <v>8340398</v>
      </c>
      <c r="O385" s="7">
        <v>14672</v>
      </c>
      <c r="P385" s="7">
        <v>4732074</v>
      </c>
      <c r="Q385" s="4">
        <f t="shared" si="92"/>
        <v>4746746</v>
      </c>
      <c r="R385" s="4"/>
      <c r="S385" s="4"/>
      <c r="T385" s="4"/>
      <c r="U385" s="4"/>
      <c r="V385" s="4">
        <f t="shared" si="93"/>
        <v>161076</v>
      </c>
      <c r="W385" s="57">
        <f t="shared" si="101"/>
        <v>0</v>
      </c>
      <c r="X385" s="149">
        <f t="shared" si="94"/>
        <v>-2485</v>
      </c>
      <c r="Y385" s="43">
        <f t="shared" si="103"/>
        <v>2.1939953810623556E-2</v>
      </c>
      <c r="Z385" s="307">
        <f t="shared" si="107"/>
        <v>6.053992202068148E-2</v>
      </c>
      <c r="AA385" s="307">
        <f t="shared" si="100"/>
        <v>0.14645987270466018</v>
      </c>
      <c r="AB385" s="110">
        <f t="shared" si="102"/>
        <v>0.14645987270466018</v>
      </c>
      <c r="AC385" s="259">
        <f t="shared" si="106"/>
        <v>2.126753566274751E-2</v>
      </c>
      <c r="AD385" s="110">
        <f t="shared" si="96"/>
        <v>3.8021343506727812E-2</v>
      </c>
    </row>
    <row r="386" spans="1:30" x14ac:dyDescent="0.25">
      <c r="A386" s="168">
        <v>44277</v>
      </c>
      <c r="B386" s="190">
        <v>6401</v>
      </c>
      <c r="C386" s="24">
        <f t="shared" si="97"/>
        <v>7183.7142857142853</v>
      </c>
      <c r="D386" s="190">
        <f t="shared" si="105"/>
        <v>2252172</v>
      </c>
      <c r="E386" s="190">
        <v>125</v>
      </c>
      <c r="F386" s="24">
        <f t="shared" si="98"/>
        <v>122.57142857142857</v>
      </c>
      <c r="G386" s="190">
        <f t="shared" si="104"/>
        <v>54667</v>
      </c>
      <c r="H386" s="190">
        <f t="shared" si="90"/>
        <v>7533</v>
      </c>
      <c r="I386" s="219">
        <v>2037686</v>
      </c>
      <c r="J386" s="190">
        <v>3530</v>
      </c>
      <c r="K386" s="24">
        <f t="shared" si="91"/>
        <v>3515.4285714285716</v>
      </c>
      <c r="L386" s="4">
        <v>43438</v>
      </c>
      <c r="M386" s="24">
        <f t="shared" si="91"/>
        <v>50160.428571428572</v>
      </c>
      <c r="N386" s="4">
        <f t="shared" si="99"/>
        <v>8383836</v>
      </c>
      <c r="O386" s="7">
        <v>14773</v>
      </c>
      <c r="P386" s="7">
        <v>4756568</v>
      </c>
      <c r="Q386" s="4">
        <f t="shared" si="92"/>
        <v>4771341</v>
      </c>
      <c r="R386" s="4"/>
      <c r="S386" s="4"/>
      <c r="T386" s="4"/>
      <c r="U386" s="4"/>
      <c r="V386" s="4">
        <f t="shared" si="93"/>
        <v>159819</v>
      </c>
      <c r="W386" s="57">
        <f t="shared" si="101"/>
        <v>-4</v>
      </c>
      <c r="X386" s="149">
        <f t="shared" si="94"/>
        <v>-1257</v>
      </c>
      <c r="Y386" s="43">
        <f t="shared" si="103"/>
        <v>2.2087486469068135E-2</v>
      </c>
      <c r="Z386" s="307">
        <f t="shared" si="107"/>
        <v>4.5012468827930086E-2</v>
      </c>
      <c r="AA386" s="307">
        <f t="shared" si="100"/>
        <v>0.14321477089225143</v>
      </c>
      <c r="AB386" s="110">
        <f t="shared" si="102"/>
        <v>0.14321477089225143</v>
      </c>
      <c r="AC386" s="259">
        <f t="shared" si="106"/>
        <v>2.0107332849007523E-2</v>
      </c>
      <c r="AD386" s="110">
        <f t="shared" si="96"/>
        <v>3.2009143624646352E-2</v>
      </c>
    </row>
    <row r="387" spans="1:30" x14ac:dyDescent="0.25">
      <c r="A387" s="168">
        <v>44278</v>
      </c>
      <c r="B387" s="190">
        <v>9405</v>
      </c>
      <c r="C387" s="24">
        <f t="shared" si="97"/>
        <v>7350.8571428571431</v>
      </c>
      <c r="D387" s="190">
        <f t="shared" si="105"/>
        <v>2261577</v>
      </c>
      <c r="E387" s="190">
        <v>153</v>
      </c>
      <c r="F387" s="24">
        <f t="shared" si="98"/>
        <v>115.57142857142857</v>
      </c>
      <c r="G387" s="190">
        <f t="shared" si="104"/>
        <v>54820</v>
      </c>
      <c r="H387" s="190">
        <f t="shared" ref="H387:H405" si="108">I387-I386</f>
        <v>6271</v>
      </c>
      <c r="I387" s="219">
        <v>2043957</v>
      </c>
      <c r="J387" s="190">
        <v>3591</v>
      </c>
      <c r="K387" s="24">
        <f t="shared" si="91"/>
        <v>3532.8571428571427</v>
      </c>
      <c r="L387" s="4">
        <v>49703</v>
      </c>
      <c r="M387" s="24">
        <f t="shared" si="91"/>
        <v>50135.857142857145</v>
      </c>
      <c r="N387" s="4">
        <f t="shared" si="99"/>
        <v>8433539</v>
      </c>
      <c r="O387" s="7">
        <v>14892</v>
      </c>
      <c r="P387" s="7">
        <v>4786032</v>
      </c>
      <c r="Q387" s="4">
        <f t="shared" si="92"/>
        <v>4800924</v>
      </c>
      <c r="R387" s="4"/>
      <c r="S387" s="4"/>
      <c r="T387" s="4"/>
      <c r="U387" s="4"/>
      <c r="V387" s="4">
        <f t="shared" si="93"/>
        <v>162800</v>
      </c>
      <c r="W387" s="57">
        <f t="shared" si="101"/>
        <v>61</v>
      </c>
      <c r="X387" s="149">
        <f t="shared" si="94"/>
        <v>2981</v>
      </c>
      <c r="Y387" s="43">
        <f t="shared" si="103"/>
        <v>2.2057739557739559E-2</v>
      </c>
      <c r="Z387" s="307">
        <f t="shared" si="107"/>
        <v>5.5919230058894875E-2</v>
      </c>
      <c r="AA387" s="307">
        <f t="shared" si="100"/>
        <v>0.14661875874409819</v>
      </c>
      <c r="AB387" s="110">
        <f t="shared" si="102"/>
        <v>0.14661875874409819</v>
      </c>
      <c r="AC387" s="259">
        <f t="shared" si="106"/>
        <v>1.8672821696480092E-2</v>
      </c>
      <c r="AD387" s="110">
        <f t="shared" si="96"/>
        <v>3.3545798522054859E-2</v>
      </c>
    </row>
    <row r="388" spans="1:30" x14ac:dyDescent="0.25">
      <c r="A388" s="168">
        <v>44279</v>
      </c>
      <c r="B388" s="190">
        <v>8300</v>
      </c>
      <c r="C388" s="24">
        <f t="shared" si="97"/>
        <v>7350.2857142857147</v>
      </c>
      <c r="D388" s="190">
        <f t="shared" si="105"/>
        <v>2269877</v>
      </c>
      <c r="E388" s="190">
        <v>123</v>
      </c>
      <c r="F388" s="24">
        <f t="shared" si="98"/>
        <v>105.28571428571429</v>
      </c>
      <c r="G388" s="190">
        <f t="shared" si="104"/>
        <v>54943</v>
      </c>
      <c r="H388" s="190">
        <f t="shared" si="108"/>
        <v>5078</v>
      </c>
      <c r="I388" s="219">
        <v>2049035</v>
      </c>
      <c r="J388" s="190">
        <v>3574</v>
      </c>
      <c r="K388" s="24">
        <f t="shared" si="91"/>
        <v>3545.5714285714284</v>
      </c>
      <c r="L388" s="4">
        <v>44058</v>
      </c>
      <c r="M388" s="24">
        <f t="shared" si="91"/>
        <v>48570.285714285717</v>
      </c>
      <c r="N388" s="4">
        <f>N389-L389</f>
        <v>8477597</v>
      </c>
      <c r="O388" s="7">
        <v>15009</v>
      </c>
      <c r="P388" s="7">
        <v>4813948</v>
      </c>
      <c r="Q388" s="4">
        <f t="shared" si="92"/>
        <v>4828957</v>
      </c>
      <c r="R388" s="4"/>
      <c r="S388" s="4"/>
      <c r="T388" s="4"/>
      <c r="U388" s="4"/>
      <c r="V388" s="4">
        <f t="shared" si="93"/>
        <v>165899</v>
      </c>
      <c r="W388" s="57">
        <f t="shared" si="101"/>
        <v>-17</v>
      </c>
      <c r="X388" s="149">
        <f t="shared" si="94"/>
        <v>3099</v>
      </c>
      <c r="Y388" s="43">
        <f t="shared" si="103"/>
        <v>2.1543228108668527E-2</v>
      </c>
      <c r="Z388" s="307">
        <f t="shared" si="107"/>
        <v>5.3157302220857572E-2</v>
      </c>
      <c r="AA388" s="307">
        <f t="shared" si="100"/>
        <v>0.15133297254053035</v>
      </c>
      <c r="AB388" s="110">
        <f t="shared" si="102"/>
        <v>0.15133297254053035</v>
      </c>
      <c r="AC388" s="259">
        <f t="shared" si="106"/>
        <v>1.7074809443273175E-2</v>
      </c>
      <c r="AD388" s="110">
        <f t="shared" si="96"/>
        <v>2.9801735589517042E-2</v>
      </c>
    </row>
    <row r="389" spans="1:30" x14ac:dyDescent="0.25">
      <c r="A389" s="168">
        <v>44280</v>
      </c>
      <c r="B389" s="190">
        <v>8238</v>
      </c>
      <c r="C389" s="24">
        <f t="shared" si="97"/>
        <v>7337.4285714285716</v>
      </c>
      <c r="D389" s="190">
        <f t="shared" si="105"/>
        <v>2278115</v>
      </c>
      <c r="E389" s="190">
        <v>146</v>
      </c>
      <c r="F389" s="24">
        <f t="shared" si="98"/>
        <v>104.28571428571429</v>
      </c>
      <c r="G389" s="190">
        <f t="shared" si="104"/>
        <v>55089</v>
      </c>
      <c r="H389" s="190">
        <f t="shared" si="108"/>
        <v>7437</v>
      </c>
      <c r="I389" s="219">
        <v>2056472</v>
      </c>
      <c r="J389" s="190">
        <v>3585</v>
      </c>
      <c r="K389" s="24">
        <f t="shared" si="91"/>
        <v>3554.5714285714284</v>
      </c>
      <c r="L389" s="4">
        <v>40224</v>
      </c>
      <c r="M389" s="24">
        <f t="shared" si="91"/>
        <v>46860.571428571428</v>
      </c>
      <c r="N389" s="4">
        <v>8517821</v>
      </c>
      <c r="O389" s="8">
        <v>15109</v>
      </c>
      <c r="P389" s="7">
        <v>4837873</v>
      </c>
      <c r="Q389" s="4">
        <f t="shared" si="92"/>
        <v>4852982</v>
      </c>
      <c r="R389" s="4"/>
      <c r="S389" s="4"/>
      <c r="T389" s="4"/>
      <c r="U389" s="4"/>
      <c r="V389" s="4">
        <f t="shared" si="93"/>
        <v>166554</v>
      </c>
      <c r="W389" s="57">
        <f t="shared" si="101"/>
        <v>11</v>
      </c>
      <c r="X389" s="149">
        <f t="shared" si="94"/>
        <v>655</v>
      </c>
      <c r="Y389" s="43">
        <f t="shared" si="103"/>
        <v>2.1524550596203035E-2</v>
      </c>
      <c r="Z389" s="307">
        <f t="shared" si="107"/>
        <v>4.4665012406947868E-2</v>
      </c>
      <c r="AA389" s="307">
        <f t="shared" si="100"/>
        <v>0.15658000634099944</v>
      </c>
      <c r="AB389" s="110">
        <f t="shared" si="102"/>
        <v>0.15658000634099944</v>
      </c>
      <c r="AC389" s="259">
        <f t="shared" si="106"/>
        <v>1.6615454648913168E-2</v>
      </c>
      <c r="AD389" s="110">
        <f t="shared" si="96"/>
        <v>2.484047822689317E-2</v>
      </c>
    </row>
    <row r="390" spans="1:30" x14ac:dyDescent="0.25">
      <c r="A390" s="170">
        <v>44281</v>
      </c>
      <c r="B390" s="197">
        <v>12936</v>
      </c>
      <c r="C390" s="24">
        <f t="shared" si="97"/>
        <v>8019.7142857142853</v>
      </c>
      <c r="D390" s="197">
        <f t="shared" si="105"/>
        <v>2291051</v>
      </c>
      <c r="E390" s="197">
        <v>143</v>
      </c>
      <c r="F390" s="24">
        <f t="shared" si="98"/>
        <v>108.57142857142857</v>
      </c>
      <c r="G390" s="197">
        <f t="shared" si="104"/>
        <v>55232</v>
      </c>
      <c r="H390" s="197">
        <f t="shared" si="108"/>
        <v>8007</v>
      </c>
      <c r="I390" s="220">
        <v>2064479</v>
      </c>
      <c r="J390" s="197">
        <v>3508</v>
      </c>
      <c r="K390" s="24">
        <f t="shared" si="91"/>
        <v>3550.8571428571427</v>
      </c>
      <c r="L390" s="30">
        <v>88074</v>
      </c>
      <c r="M390" s="24">
        <f t="shared" si="91"/>
        <v>50645.571428571428</v>
      </c>
      <c r="N390" s="30">
        <f>N389+L390</f>
        <v>8605895</v>
      </c>
      <c r="O390" s="394">
        <v>15194</v>
      </c>
      <c r="P390" s="47">
        <v>4887389</v>
      </c>
      <c r="Q390" s="30">
        <f t="shared" si="92"/>
        <v>4902583</v>
      </c>
      <c r="R390" s="30"/>
      <c r="S390" s="30"/>
      <c r="T390" s="30"/>
      <c r="U390" s="30"/>
      <c r="V390" s="30">
        <f t="shared" si="93"/>
        <v>171340</v>
      </c>
      <c r="W390" s="100">
        <f t="shared" si="101"/>
        <v>-77</v>
      </c>
      <c r="X390" s="184">
        <f t="shared" si="94"/>
        <v>4786</v>
      </c>
      <c r="Y390" s="114">
        <f t="shared" si="103"/>
        <v>2.0473911520952494E-2</v>
      </c>
      <c r="Z390" s="395">
        <f t="shared" si="107"/>
        <v>0.1292191334432955</v>
      </c>
      <c r="AA390" s="395">
        <f t="shared" si="100"/>
        <v>0.15834976404649681</v>
      </c>
      <c r="AB390" s="110">
        <f t="shared" si="102"/>
        <v>0.15834976404649681</v>
      </c>
      <c r="AC390" s="259">
        <f t="shared" si="106"/>
        <v>1.7314833800378193E-2</v>
      </c>
      <c r="AD390" s="110">
        <f t="shared" si="96"/>
        <v>4.659401876465985E-2</v>
      </c>
    </row>
    <row r="391" spans="1:30" x14ac:dyDescent="0.25">
      <c r="A391" s="168">
        <v>44282</v>
      </c>
      <c r="B391" s="190">
        <v>10338</v>
      </c>
      <c r="C391" s="7">
        <f t="shared" si="97"/>
        <v>8521.4285714285706</v>
      </c>
      <c r="D391" s="190">
        <f t="shared" si="105"/>
        <v>2301389</v>
      </c>
      <c r="E391" s="190">
        <v>133</v>
      </c>
      <c r="F391" s="7">
        <f t="shared" si="98"/>
        <v>121.57142857142857</v>
      </c>
      <c r="G391" s="190">
        <f t="shared" si="104"/>
        <v>55365</v>
      </c>
      <c r="H391" s="190">
        <f t="shared" si="108"/>
        <v>7749</v>
      </c>
      <c r="I391" s="219">
        <v>2072228</v>
      </c>
      <c r="J391" s="190">
        <v>3506</v>
      </c>
      <c r="K391" s="7">
        <f t="shared" si="91"/>
        <v>3546.8571428571427</v>
      </c>
      <c r="L391" s="4">
        <v>44828</v>
      </c>
      <c r="M391" s="7">
        <f t="shared" si="91"/>
        <v>48794</v>
      </c>
      <c r="N391" s="4">
        <f>N390+L391</f>
        <v>8650723</v>
      </c>
      <c r="O391" s="7">
        <v>15244</v>
      </c>
      <c r="P391" s="7">
        <v>4915050</v>
      </c>
      <c r="Q391" s="4">
        <f t="shared" si="92"/>
        <v>4930294</v>
      </c>
      <c r="R391" s="4"/>
      <c r="S391" s="4"/>
      <c r="T391" s="4"/>
      <c r="U391" s="4"/>
      <c r="V391" s="4">
        <f t="shared" si="93"/>
        <v>173796</v>
      </c>
      <c r="W391" s="57">
        <f t="shared" si="101"/>
        <v>-2</v>
      </c>
      <c r="X391" s="149">
        <f t="shared" si="94"/>
        <v>2456</v>
      </c>
      <c r="Y391" s="43">
        <f t="shared" si="103"/>
        <v>2.0173076480471359E-2</v>
      </c>
      <c r="Z391" s="307">
        <f t="shared" si="107"/>
        <v>0.19183200463545713</v>
      </c>
      <c r="AA391" s="307">
        <f t="shared" si="100"/>
        <v>0.17464091018216524</v>
      </c>
      <c r="AB391" s="110">
        <f t="shared" si="102"/>
        <v>0.17464091018216527</v>
      </c>
      <c r="AC391" s="259">
        <f t="shared" si="106"/>
        <v>1.8781311381342279E-2</v>
      </c>
      <c r="AD391" s="110">
        <f t="shared" si="96"/>
        <v>6.2576041965994422E-2</v>
      </c>
    </row>
    <row r="392" spans="1:30" x14ac:dyDescent="0.25">
      <c r="A392" s="168">
        <v>44283</v>
      </c>
      <c r="B392" s="190">
        <v>7208</v>
      </c>
      <c r="C392" s="7">
        <f t="shared" si="97"/>
        <v>8975.1428571428569</v>
      </c>
      <c r="D392" s="190">
        <f t="shared" si="105"/>
        <v>2308597</v>
      </c>
      <c r="E392" s="190">
        <v>81</v>
      </c>
      <c r="F392" s="7">
        <f t="shared" si="98"/>
        <v>129.14285714285714</v>
      </c>
      <c r="G392" s="190">
        <f t="shared" si="104"/>
        <v>55446</v>
      </c>
      <c r="H392" s="190">
        <f t="shared" si="108"/>
        <v>7287</v>
      </c>
      <c r="I392" s="219">
        <v>2079515</v>
      </c>
      <c r="J392" s="190">
        <v>3505</v>
      </c>
      <c r="K392" s="7">
        <f t="shared" si="91"/>
        <v>3542.7142857142858</v>
      </c>
      <c r="L392" s="4">
        <v>37193</v>
      </c>
      <c r="M392" s="7">
        <f t="shared" si="91"/>
        <v>49645.428571428572</v>
      </c>
      <c r="N392" s="4">
        <f>N391+L392</f>
        <v>8687916</v>
      </c>
      <c r="O392" s="7">
        <v>15262</v>
      </c>
      <c r="P392" s="7">
        <v>4937915</v>
      </c>
      <c r="Q392" s="4">
        <f t="shared" si="92"/>
        <v>4953177</v>
      </c>
      <c r="R392" s="4"/>
      <c r="S392" s="4"/>
      <c r="T392" s="4"/>
      <c r="U392" s="4"/>
      <c r="V392" s="4">
        <f t="shared" si="93"/>
        <v>173636</v>
      </c>
      <c r="W392" s="57">
        <f t="shared" si="101"/>
        <v>-1</v>
      </c>
      <c r="X392" s="149">
        <f t="shared" si="94"/>
        <v>-160</v>
      </c>
      <c r="Y392" s="43">
        <f t="shared" si="103"/>
        <v>2.0185906148494553E-2</v>
      </c>
      <c r="Z392" s="307">
        <f t="shared" si="107"/>
        <v>0.24937358310464153</v>
      </c>
      <c r="AA392" s="307">
        <f t="shared" si="100"/>
        <v>0.18078488020764391</v>
      </c>
      <c r="AB392" s="110">
        <f t="shared" si="102"/>
        <v>0.18078488020764391</v>
      </c>
      <c r="AC392" s="259">
        <f t="shared" si="106"/>
        <v>1.9615501453803759E-2</v>
      </c>
      <c r="AD392" s="110">
        <f t="shared" si="96"/>
        <v>7.7975613995877824E-2</v>
      </c>
    </row>
    <row r="393" spans="1:30" x14ac:dyDescent="0.25">
      <c r="A393" s="168">
        <v>44284</v>
      </c>
      <c r="B393" s="190">
        <v>14014</v>
      </c>
      <c r="C393" s="7">
        <f t="shared" si="97"/>
        <v>10062.714285714286</v>
      </c>
      <c r="D393" s="190">
        <f t="shared" si="105"/>
        <v>2322611</v>
      </c>
      <c r="E393" s="190">
        <v>163</v>
      </c>
      <c r="F393" s="7">
        <f t="shared" si="98"/>
        <v>134.57142857142858</v>
      </c>
      <c r="G393" s="190">
        <f t="shared" si="104"/>
        <v>55609</v>
      </c>
      <c r="H393" s="190">
        <f t="shared" si="108"/>
        <v>8741</v>
      </c>
      <c r="I393" s="219">
        <v>2088256</v>
      </c>
      <c r="J393" s="190">
        <v>3639</v>
      </c>
      <c r="K393" s="7">
        <f t="shared" ref="K393:M405" si="109">AVERAGE(J387:J393)</f>
        <v>3558.2857142857142</v>
      </c>
      <c r="L393" s="4">
        <v>57830</v>
      </c>
      <c r="M393" s="7">
        <f t="shared" si="109"/>
        <v>51701.428571428572</v>
      </c>
      <c r="N393" s="4">
        <f t="shared" ref="N393:N402" si="110">N392+L393</f>
        <v>8745746</v>
      </c>
      <c r="O393" s="7">
        <v>15319</v>
      </c>
      <c r="P393" s="7">
        <v>4975797</v>
      </c>
      <c r="Q393" s="4">
        <f t="shared" si="92"/>
        <v>4991116</v>
      </c>
      <c r="R393" s="4"/>
      <c r="S393" s="4"/>
      <c r="T393" s="4"/>
      <c r="U393" s="4"/>
      <c r="V393" s="4">
        <f t="shared" si="93"/>
        <v>178746</v>
      </c>
      <c r="W393" s="57">
        <f t="shared" si="101"/>
        <v>134</v>
      </c>
      <c r="X393" s="149">
        <f t="shared" si="94"/>
        <v>5110</v>
      </c>
      <c r="Y393" s="43">
        <f t="shared" si="103"/>
        <v>2.0358497532811923E-2</v>
      </c>
      <c r="Z393" s="307">
        <f t="shared" si="107"/>
        <v>0.36891713308457708</v>
      </c>
      <c r="AA393" s="307">
        <f t="shared" si="100"/>
        <v>0.19463126191594596</v>
      </c>
      <c r="AB393" s="110">
        <f t="shared" si="102"/>
        <v>0.19463126191594596</v>
      </c>
      <c r="AC393" s="259">
        <f t="shared" si="106"/>
        <v>1.9961010340735722E-2</v>
      </c>
      <c r="AD393" s="110">
        <f t="shared" si="96"/>
        <v>0.11842772135978819</v>
      </c>
    </row>
    <row r="394" spans="1:30" x14ac:dyDescent="0.25">
      <c r="A394" s="168">
        <v>44285</v>
      </c>
      <c r="B394" s="190">
        <v>10154</v>
      </c>
      <c r="C394" s="7">
        <f t="shared" si="97"/>
        <v>10169.714285714286</v>
      </c>
      <c r="D394" s="190">
        <f t="shared" si="105"/>
        <v>2332765</v>
      </c>
      <c r="E394" s="190">
        <v>125</v>
      </c>
      <c r="F394" s="7">
        <f t="shared" si="98"/>
        <v>130.57142857142858</v>
      </c>
      <c r="G394" s="190">
        <f t="shared" si="104"/>
        <v>55734</v>
      </c>
      <c r="H394" s="190">
        <f t="shared" si="108"/>
        <v>7597</v>
      </c>
      <c r="I394" s="219">
        <v>2095853</v>
      </c>
      <c r="J394" s="190">
        <v>3702</v>
      </c>
      <c r="K394" s="7">
        <f t="shared" si="109"/>
        <v>3574.1428571428573</v>
      </c>
      <c r="L394" s="4">
        <v>78400</v>
      </c>
      <c r="M394" s="7">
        <f t="shared" si="109"/>
        <v>55801</v>
      </c>
      <c r="N394" s="4">
        <f t="shared" si="110"/>
        <v>8824146</v>
      </c>
      <c r="O394" s="7">
        <v>15377</v>
      </c>
      <c r="P394" s="7">
        <v>5003806</v>
      </c>
      <c r="Q394" s="4">
        <f t="shared" si="92"/>
        <v>5019183</v>
      </c>
      <c r="R394" s="4"/>
      <c r="S394" s="4"/>
      <c r="T394" s="4"/>
      <c r="U394" s="4"/>
      <c r="V394" s="4">
        <f t="shared" si="93"/>
        <v>181178</v>
      </c>
      <c r="W394" s="57">
        <f t="shared" si="101"/>
        <v>63</v>
      </c>
      <c r="X394" s="149">
        <f t="shared" si="94"/>
        <v>2432</v>
      </c>
      <c r="Y394" s="43">
        <f t="shared" si="103"/>
        <v>2.0432944397222621E-2</v>
      </c>
      <c r="Z394" s="307">
        <f t="shared" si="107"/>
        <v>0.38358081318510462</v>
      </c>
      <c r="AA394" s="307">
        <f t="shared" si="100"/>
        <v>0.18224967806516526</v>
      </c>
      <c r="AB394" s="110">
        <f t="shared" si="102"/>
        <v>0.18224967806516523</v>
      </c>
      <c r="AC394" s="259">
        <f t="shared" si="106"/>
        <v>1.8994181213632586E-2</v>
      </c>
      <c r="AD394" s="110">
        <f t="shared" si="96"/>
        <v>0.11288697788697788</v>
      </c>
    </row>
    <row r="395" spans="1:30" x14ac:dyDescent="0.25">
      <c r="A395" s="168">
        <v>44286</v>
      </c>
      <c r="B395" s="190">
        <v>16056</v>
      </c>
      <c r="C395" s="7">
        <f t="shared" si="97"/>
        <v>11277.714285714286</v>
      </c>
      <c r="D395" s="190">
        <f t="shared" si="105"/>
        <v>2348821</v>
      </c>
      <c r="E395" s="190">
        <v>124</v>
      </c>
      <c r="F395" s="7">
        <f t="shared" si="98"/>
        <v>130.71428571428572</v>
      </c>
      <c r="G395" s="190">
        <f t="shared" si="104"/>
        <v>55858</v>
      </c>
      <c r="H395" s="190">
        <f t="shared" si="108"/>
        <v>6763</v>
      </c>
      <c r="I395" s="219">
        <v>2102616</v>
      </c>
      <c r="J395" s="190">
        <v>3638</v>
      </c>
      <c r="K395" s="7">
        <f t="shared" si="109"/>
        <v>3583.2857142857142</v>
      </c>
      <c r="L395" s="4">
        <v>56334</v>
      </c>
      <c r="M395" s="7">
        <f t="shared" si="109"/>
        <v>57554.714285714283</v>
      </c>
      <c r="N395" s="4">
        <f t="shared" si="110"/>
        <v>8880480</v>
      </c>
      <c r="O395" s="7"/>
      <c r="P395" s="7"/>
      <c r="Q395" s="4"/>
      <c r="R395" s="4"/>
      <c r="S395" s="4"/>
      <c r="T395" s="4"/>
      <c r="U395" s="4"/>
      <c r="V395" s="4">
        <f t="shared" si="93"/>
        <v>190347</v>
      </c>
      <c r="W395" s="57">
        <f t="shared" si="101"/>
        <v>-64</v>
      </c>
      <c r="X395" s="149">
        <f t="shared" si="94"/>
        <v>9169</v>
      </c>
      <c r="Y395" s="43">
        <f t="shared" si="103"/>
        <v>1.9112463028048775E-2</v>
      </c>
      <c r="Z395" s="307">
        <f t="shared" si="107"/>
        <v>0.53701179860597326</v>
      </c>
      <c r="AA395" s="307">
        <f t="shared" si="100"/>
        <v>0.19594770690250024</v>
      </c>
      <c r="AB395" s="110">
        <f t="shared" si="102"/>
        <v>0.19594770690250024</v>
      </c>
      <c r="AC395" s="259">
        <f t="shared" si="106"/>
        <v>1.8776548808766495E-2</v>
      </c>
      <c r="AD395" s="110">
        <f t="shared" si="96"/>
        <v>0.14736677134883269</v>
      </c>
    </row>
    <row r="396" spans="1:30" x14ac:dyDescent="0.25">
      <c r="A396" s="168">
        <v>44287</v>
      </c>
      <c r="B396" s="190">
        <v>14430</v>
      </c>
      <c r="C396" s="7">
        <f t="shared" si="97"/>
        <v>12162.285714285714</v>
      </c>
      <c r="D396" s="190">
        <f t="shared" si="105"/>
        <v>2363251</v>
      </c>
      <c r="E396" s="190">
        <v>83</v>
      </c>
      <c r="F396" s="7">
        <f t="shared" si="98"/>
        <v>121.71428571428571</v>
      </c>
      <c r="G396" s="190">
        <f t="shared" si="104"/>
        <v>55941</v>
      </c>
      <c r="H396" s="190">
        <f t="shared" si="108"/>
        <v>9650</v>
      </c>
      <c r="I396" s="219">
        <v>2112266</v>
      </c>
      <c r="J396" s="190">
        <v>3639</v>
      </c>
      <c r="K396" s="7">
        <f t="shared" si="109"/>
        <v>3591</v>
      </c>
      <c r="L396" s="4">
        <v>52292</v>
      </c>
      <c r="M396" s="7">
        <f t="shared" si="109"/>
        <v>59278.714285714283</v>
      </c>
      <c r="N396" s="4">
        <f t="shared" si="110"/>
        <v>8932772</v>
      </c>
      <c r="O396" s="7"/>
      <c r="P396" s="7"/>
      <c r="Q396" s="4"/>
      <c r="R396" s="4"/>
      <c r="S396" s="4"/>
      <c r="T396" s="4"/>
      <c r="U396" s="4"/>
      <c r="V396" s="4">
        <f t="shared" si="93"/>
        <v>195044</v>
      </c>
      <c r="W396" s="57">
        <f t="shared" si="101"/>
        <v>1</v>
      </c>
      <c r="X396" s="149">
        <f t="shared" si="94"/>
        <v>4697</v>
      </c>
      <c r="Y396" s="43">
        <f t="shared" si="103"/>
        <v>1.8657328602776808E-2</v>
      </c>
      <c r="Z396" s="307">
        <f t="shared" si="107"/>
        <v>0.51654850546866649</v>
      </c>
      <c r="AA396" s="307">
        <f t="shared" si="100"/>
        <v>0.2051712129865936</v>
      </c>
      <c r="AB396" s="110">
        <f t="shared" si="102"/>
        <v>0.2051712129865936</v>
      </c>
      <c r="AC396" s="259">
        <f t="shared" si="106"/>
        <v>1.7439361375498924E-2</v>
      </c>
      <c r="AD396" s="110">
        <f t="shared" si="96"/>
        <v>0.17105563360831932</v>
      </c>
    </row>
    <row r="397" spans="1:30" x14ac:dyDescent="0.25">
      <c r="A397" s="168">
        <v>44288</v>
      </c>
      <c r="B397" s="190">
        <v>9902</v>
      </c>
      <c r="C397" s="7">
        <f t="shared" si="97"/>
        <v>11728.857142857143</v>
      </c>
      <c r="D397" s="190">
        <f t="shared" si="105"/>
        <v>2373153</v>
      </c>
      <c r="E397" s="190">
        <v>82</v>
      </c>
      <c r="F397" s="7">
        <f t="shared" si="98"/>
        <v>113</v>
      </c>
      <c r="G397" s="190">
        <f t="shared" si="104"/>
        <v>56023</v>
      </c>
      <c r="H397" s="190">
        <f t="shared" si="108"/>
        <v>9688</v>
      </c>
      <c r="I397" s="219">
        <v>2121954</v>
      </c>
      <c r="J397" s="190">
        <v>3619</v>
      </c>
      <c r="K397" s="7">
        <f t="shared" si="109"/>
        <v>3606.8571428571427</v>
      </c>
      <c r="L397" s="4">
        <v>50043</v>
      </c>
      <c r="M397" s="7">
        <f t="shared" si="109"/>
        <v>53845.714285714283</v>
      </c>
      <c r="N397" s="4">
        <f t="shared" si="110"/>
        <v>8982815</v>
      </c>
      <c r="O397" s="7"/>
      <c r="P397" s="7"/>
      <c r="Q397" s="4"/>
      <c r="R397" s="4"/>
      <c r="S397" s="4"/>
      <c r="T397" s="4"/>
      <c r="U397" s="4"/>
      <c r="V397" s="4">
        <f t="shared" si="93"/>
        <v>195176</v>
      </c>
      <c r="W397" s="57">
        <f t="shared" si="101"/>
        <v>-20</v>
      </c>
      <c r="X397" s="149">
        <f t="shared" si="94"/>
        <v>132</v>
      </c>
      <c r="Y397" s="43">
        <f t="shared" si="103"/>
        <v>1.854223879985244E-2</v>
      </c>
      <c r="Z397" s="307">
        <f t="shared" si="107"/>
        <v>0.37639564124057023</v>
      </c>
      <c r="AA397" s="307">
        <f t="shared" si="100"/>
        <v>0.21782341080335352</v>
      </c>
      <c r="AB397" s="110">
        <f t="shared" si="102"/>
        <v>0.21782341080335349</v>
      </c>
      <c r="AC397" s="259">
        <f t="shared" si="106"/>
        <v>1.6088353740389701E-2</v>
      </c>
      <c r="AD397" s="110">
        <f t="shared" si="96"/>
        <v>0.13911520952492129</v>
      </c>
    </row>
    <row r="398" spans="1:30" x14ac:dyDescent="0.25">
      <c r="A398" s="168">
        <v>44289</v>
      </c>
      <c r="B398" s="190">
        <v>10384</v>
      </c>
      <c r="C398" s="7">
        <f t="shared" si="97"/>
        <v>11735.428571428571</v>
      </c>
      <c r="D398" s="190">
        <f>D397+B398</f>
        <v>2383537</v>
      </c>
      <c r="E398" s="190">
        <v>83</v>
      </c>
      <c r="F398" s="7">
        <f>AVERAGE(E392:E398)</f>
        <v>105.85714285714286</v>
      </c>
      <c r="G398" s="190">
        <f t="shared" si="104"/>
        <v>56106</v>
      </c>
      <c r="H398" s="190">
        <f t="shared" si="108"/>
        <v>8686</v>
      </c>
      <c r="I398" s="219">
        <v>2130640</v>
      </c>
      <c r="J398" s="190">
        <v>3618</v>
      </c>
      <c r="K398" s="7">
        <f>AVERAGE(J392:J398)</f>
        <v>3622.8571428571427</v>
      </c>
      <c r="L398" s="4">
        <v>54024</v>
      </c>
      <c r="M398" s="7">
        <f t="shared" si="109"/>
        <v>55159.428571428572</v>
      </c>
      <c r="N398" s="4">
        <f t="shared" si="110"/>
        <v>9036839</v>
      </c>
      <c r="O398" s="7"/>
      <c r="P398" s="7"/>
      <c r="Q398" s="4"/>
      <c r="R398" s="4"/>
      <c r="S398" s="4"/>
      <c r="T398" s="4"/>
      <c r="U398" s="4"/>
      <c r="V398" s="4">
        <f t="shared" si="93"/>
        <v>196791</v>
      </c>
      <c r="W398" s="57">
        <f t="shared" si="101"/>
        <v>-1</v>
      </c>
      <c r="X398" s="149">
        <f t="shared" si="94"/>
        <v>1615</v>
      </c>
      <c r="Y398" s="43">
        <f>J398/V398</f>
        <v>1.8384987118313337E-2</v>
      </c>
      <c r="Z398" s="307">
        <f t="shared" si="107"/>
        <v>0.30754783051602841</v>
      </c>
      <c r="AA398" s="307">
        <f t="shared" si="100"/>
        <v>0.21275471619927688</v>
      </c>
      <c r="AB398" s="110">
        <f t="shared" si="102"/>
        <v>0.21275471619927691</v>
      </c>
      <c r="AC398" s="259">
        <f t="shared" si="106"/>
        <v>1.4905258076195841E-2</v>
      </c>
      <c r="AD398" s="110">
        <f t="shared" si="96"/>
        <v>0.13231029482841961</v>
      </c>
    </row>
    <row r="399" spans="1:30" x14ac:dyDescent="0.25">
      <c r="A399" s="168">
        <v>44290</v>
      </c>
      <c r="B399" s="190">
        <v>9955</v>
      </c>
      <c r="C399" s="7">
        <f t="shared" si="97"/>
        <v>12127.857142857143</v>
      </c>
      <c r="D399" s="190">
        <f>D398+B399</f>
        <v>2393492</v>
      </c>
      <c r="E399" s="190">
        <v>93</v>
      </c>
      <c r="F399" s="7">
        <f t="shared" ref="F399:F405" si="111">AVERAGE(E393:E399)</f>
        <v>107.57142857142857</v>
      </c>
      <c r="G399" s="190">
        <f t="shared" si="104"/>
        <v>56199</v>
      </c>
      <c r="H399" s="190">
        <f t="shared" si="108"/>
        <v>9840</v>
      </c>
      <c r="I399" s="219">
        <v>2140480</v>
      </c>
      <c r="J399" s="190">
        <v>3626</v>
      </c>
      <c r="K399" s="7">
        <f t="shared" ref="K399:K405" si="112">AVERAGE(J393:J399)</f>
        <v>3640.1428571428573</v>
      </c>
      <c r="L399" s="4">
        <v>33159</v>
      </c>
      <c r="M399" s="7">
        <f t="shared" si="109"/>
        <v>54583.142857142855</v>
      </c>
      <c r="N399" s="4">
        <f t="shared" si="110"/>
        <v>9069998</v>
      </c>
      <c r="O399" s="4">
        <f>N398+M399</f>
        <v>9091422.1428571437</v>
      </c>
      <c r="P399" s="7"/>
      <c r="Q399" s="4"/>
      <c r="R399" s="4"/>
      <c r="S399" s="4"/>
      <c r="T399" s="4"/>
      <c r="U399" s="4"/>
      <c r="V399" s="4">
        <f t="shared" ref="V399:V405" si="113">D399-G399-I399</f>
        <v>196813</v>
      </c>
      <c r="W399" s="57">
        <f t="shared" si="101"/>
        <v>8</v>
      </c>
      <c r="X399" s="149">
        <f t="shared" si="94"/>
        <v>22</v>
      </c>
      <c r="Y399" s="43">
        <f>K399/V399</f>
        <v>1.8495439107898651E-2</v>
      </c>
      <c r="Z399" s="307">
        <f>C399/C392-1</f>
        <v>0.35127176646611291</v>
      </c>
      <c r="AA399" s="307">
        <f t="shared" si="100"/>
        <v>0.22219052454708677</v>
      </c>
      <c r="AB399" s="110">
        <f t="shared" si="102"/>
        <v>0.22219052454708674</v>
      </c>
      <c r="AC399" s="259">
        <f t="shared" si="106"/>
        <v>1.5045255649463525E-2</v>
      </c>
      <c r="AD399" s="110">
        <f t="shared" si="96"/>
        <v>0.13348038425211373</v>
      </c>
    </row>
    <row r="400" spans="1:30" x14ac:dyDescent="0.25">
      <c r="A400" s="168">
        <v>44291</v>
      </c>
      <c r="B400" s="190">
        <v>13667</v>
      </c>
      <c r="C400" s="7">
        <f t="shared" si="97"/>
        <v>12078.285714285714</v>
      </c>
      <c r="D400" s="190">
        <f>D399+C400</f>
        <v>2405570.2857142859</v>
      </c>
      <c r="E400" s="190">
        <v>272</v>
      </c>
      <c r="F400" s="7">
        <f t="shared" si="111"/>
        <v>123.14285714285714</v>
      </c>
      <c r="G400" s="190">
        <f t="shared" ref="G400:G405" si="114">G399+F400</f>
        <v>56322.142857142855</v>
      </c>
      <c r="H400" s="190">
        <f t="shared" si="108"/>
        <v>13029</v>
      </c>
      <c r="I400" s="219">
        <v>2153509</v>
      </c>
      <c r="J400" s="190">
        <v>3652</v>
      </c>
      <c r="K400" s="7">
        <f t="shared" si="112"/>
        <v>3642</v>
      </c>
      <c r="L400" s="4">
        <v>46037</v>
      </c>
      <c r="M400" s="7">
        <f t="shared" si="109"/>
        <v>52898.428571428572</v>
      </c>
      <c r="N400" s="4">
        <f t="shared" si="110"/>
        <v>9116035</v>
      </c>
      <c r="O400" s="7"/>
      <c r="P400" s="7"/>
      <c r="Q400" s="4"/>
      <c r="R400" s="4"/>
      <c r="S400" s="4"/>
      <c r="T400" s="4"/>
      <c r="U400" s="4"/>
      <c r="V400" s="7">
        <f t="shared" si="113"/>
        <v>195739.14285714319</v>
      </c>
      <c r="W400" s="57">
        <f t="shared" si="101"/>
        <v>26</v>
      </c>
      <c r="X400" s="149">
        <f t="shared" si="94"/>
        <v>-1073.8571428569267</v>
      </c>
      <c r="Y400" s="43">
        <f>K400/V400</f>
        <v>1.8606395975985499E-2</v>
      </c>
      <c r="Z400" s="307">
        <f>C400/C393-1</f>
        <v>0.20030096963329957</v>
      </c>
      <c r="AA400" s="307">
        <f t="shared" si="100"/>
        <v>0.22832976404916158</v>
      </c>
      <c r="AB400" s="110">
        <f t="shared" si="102"/>
        <v>0.22832976404916161</v>
      </c>
      <c r="AC400" s="259">
        <f t="shared" si="106"/>
        <v>1.7141948057113311E-2</v>
      </c>
      <c r="AD400" s="110">
        <f t="shared" si="96"/>
        <v>9.5068660877128286E-2</v>
      </c>
    </row>
    <row r="401" spans="1:34" ht="16.5" customHeight="1" x14ac:dyDescent="0.25">
      <c r="A401" s="168">
        <v>44292</v>
      </c>
      <c r="B401" s="208">
        <v>20870</v>
      </c>
      <c r="C401" s="7">
        <f t="shared" si="97"/>
        <v>13609.142857142857</v>
      </c>
      <c r="D401" s="190">
        <f>D400+C401</f>
        <v>2419179.4285714286</v>
      </c>
      <c r="E401" s="190">
        <v>163</v>
      </c>
      <c r="F401" s="7">
        <f t="shared" si="111"/>
        <v>128.57142857142858</v>
      </c>
      <c r="G401" s="190">
        <f t="shared" si="114"/>
        <v>56450.714285714283</v>
      </c>
      <c r="H401" s="190">
        <f t="shared" si="108"/>
        <v>10536</v>
      </c>
      <c r="I401" s="219">
        <v>2164045</v>
      </c>
      <c r="J401" s="190">
        <v>3642</v>
      </c>
      <c r="K401" s="7">
        <f t="shared" si="112"/>
        <v>3633.4285714285716</v>
      </c>
      <c r="L401" s="4">
        <v>75392</v>
      </c>
      <c r="M401" s="7">
        <f t="shared" si="109"/>
        <v>52468.714285714283</v>
      </c>
      <c r="N401" s="4">
        <f t="shared" si="110"/>
        <v>9191427</v>
      </c>
      <c r="O401" s="4"/>
      <c r="P401" s="4"/>
      <c r="Q401" s="4"/>
      <c r="R401" s="4" t="e">
        <f>C401-#REF!-I401</f>
        <v>#REF!</v>
      </c>
      <c r="S401" s="57">
        <f>J401-H400</f>
        <v>-9387</v>
      </c>
      <c r="T401" s="149" t="e">
        <f>(C401-I401-#REF!)-(C400-E400-G400)</f>
        <v>#REF!</v>
      </c>
      <c r="U401" s="4"/>
      <c r="V401" s="7">
        <f t="shared" si="113"/>
        <v>198683.71428571455</v>
      </c>
      <c r="W401" s="57">
        <f t="shared" si="101"/>
        <v>-10</v>
      </c>
      <c r="X401" s="149">
        <f t="shared" si="94"/>
        <v>2944.5714285711583</v>
      </c>
      <c r="Y401" s="43">
        <f>K401/V401</f>
        <v>1.8287500736993301E-2</v>
      </c>
      <c r="Z401" s="307">
        <f>C401/C394-1</f>
        <v>0.33820306793279764</v>
      </c>
      <c r="AA401" s="307">
        <f t="shared" si="100"/>
        <v>0.25937633583005926</v>
      </c>
      <c r="AB401" s="110">
        <f t="shared" si="102"/>
        <v>0.25937633583005926</v>
      </c>
      <c r="AC401" s="259">
        <f t="shared" si="106"/>
        <v>1.7490671641791047E-2</v>
      </c>
      <c r="AD401" s="110">
        <f t="shared" si="96"/>
        <v>9.6621633342428792E-2</v>
      </c>
    </row>
    <row r="402" spans="1:34" x14ac:dyDescent="0.25">
      <c r="A402" s="168">
        <v>44293</v>
      </c>
      <c r="B402" s="190">
        <v>22039</v>
      </c>
      <c r="C402" s="7">
        <f t="shared" si="97"/>
        <v>14463.857142857143</v>
      </c>
      <c r="D402" s="190">
        <f>D401+C402</f>
        <v>2433643.2857142859</v>
      </c>
      <c r="E402" s="190">
        <v>199</v>
      </c>
      <c r="F402" s="7">
        <f t="shared" si="111"/>
        <v>139.28571428571428</v>
      </c>
      <c r="G402" s="190">
        <f t="shared" si="114"/>
        <v>56590</v>
      </c>
      <c r="H402" s="190">
        <f t="shared" si="108"/>
        <v>10580</v>
      </c>
      <c r="I402" s="219">
        <v>2174625</v>
      </c>
      <c r="J402" s="190">
        <v>3706</v>
      </c>
      <c r="K402" s="7">
        <f t="shared" si="112"/>
        <v>3643.1428571428573</v>
      </c>
      <c r="L402" s="4">
        <v>74679</v>
      </c>
      <c r="M402" s="7">
        <f t="shared" si="109"/>
        <v>55089.428571428572</v>
      </c>
      <c r="N402" s="4">
        <f t="shared" si="110"/>
        <v>9266106</v>
      </c>
      <c r="O402" s="4"/>
      <c r="P402" s="4"/>
      <c r="Q402" s="4"/>
      <c r="R402" s="4">
        <f>D402-H402-J402</f>
        <v>2419357.2857142859</v>
      </c>
      <c r="S402" s="57">
        <f>L402-H401</f>
        <v>64143</v>
      </c>
      <c r="T402" s="149">
        <f>(D402-J402-H402)-(C401-E401-G401)</f>
        <v>2462361.8571428573</v>
      </c>
      <c r="U402" s="4"/>
      <c r="V402" s="7">
        <f t="shared" si="113"/>
        <v>202428.28571428591</v>
      </c>
      <c r="W402" s="57">
        <f t="shared" si="101"/>
        <v>64</v>
      </c>
      <c r="X402" s="149">
        <f t="shared" si="94"/>
        <v>3744.571428571362</v>
      </c>
      <c r="Y402" s="43">
        <f>K402/V402</f>
        <v>1.7997202536630241E-2</v>
      </c>
      <c r="Z402" s="307">
        <f>C402/C395-1</f>
        <v>0.28251672071341716</v>
      </c>
      <c r="AA402" s="307">
        <f t="shared" si="100"/>
        <v>0.26255231753045699</v>
      </c>
      <c r="AB402" s="110">
        <f t="shared" si="102"/>
        <v>0.26255231753045699</v>
      </c>
      <c r="AC402" s="259">
        <f t="shared" si="106"/>
        <v>1.8949700691907018E-2</v>
      </c>
      <c r="AD402" s="110">
        <f t="shared" si="96"/>
        <v>6.3469798390759502E-2</v>
      </c>
    </row>
    <row r="403" spans="1:34" x14ac:dyDescent="0.25">
      <c r="A403" s="168">
        <v>44294</v>
      </c>
      <c r="B403" s="195">
        <v>23683</v>
      </c>
      <c r="C403" s="7">
        <f t="shared" si="97"/>
        <v>15785.714285714286</v>
      </c>
      <c r="D403" s="190">
        <f>D402+C403</f>
        <v>2449429</v>
      </c>
      <c r="E403" s="190">
        <v>290</v>
      </c>
      <c r="F403" s="7">
        <f t="shared" si="111"/>
        <v>168.85714285714286</v>
      </c>
      <c r="G403" s="190">
        <f t="shared" si="114"/>
        <v>56758.857142857145</v>
      </c>
      <c r="H403" s="190">
        <f t="shared" si="108"/>
        <v>14358</v>
      </c>
      <c r="I403" s="219">
        <v>2188983</v>
      </c>
      <c r="J403" s="190">
        <v>3742</v>
      </c>
      <c r="K403" s="7">
        <f t="shared" si="112"/>
        <v>3657.8571428571427</v>
      </c>
      <c r="L403" s="4">
        <v>94991</v>
      </c>
      <c r="M403" s="7">
        <f t="shared" si="109"/>
        <v>61189.285714285717</v>
      </c>
      <c r="N403" s="4">
        <f>N402+L403</f>
        <v>9361097</v>
      </c>
      <c r="V403" s="7">
        <f t="shared" si="113"/>
        <v>203687.14285714272</v>
      </c>
      <c r="W403" s="57">
        <f t="shared" si="101"/>
        <v>36</v>
      </c>
      <c r="X403" s="149">
        <f t="shared" si="94"/>
        <v>1258.8571428569267</v>
      </c>
      <c r="Y403" s="43">
        <f>K403/V403</f>
        <v>1.7958213226166191E-2</v>
      </c>
      <c r="Z403" s="307">
        <f>C403/C396-1</f>
        <v>0.29792332268370614</v>
      </c>
      <c r="AA403" s="307">
        <f t="shared" si="100"/>
        <v>0.25798167279519058</v>
      </c>
      <c r="AB403" s="110">
        <f>SUM(B397:B403)/SUM(L397:L403)</f>
        <v>0.25798167279519058</v>
      </c>
      <c r="AC403" s="259">
        <f>F403/C389</f>
        <v>2.3013122541957091E-2</v>
      </c>
      <c r="AD403" s="110">
        <f t="shared" si="96"/>
        <v>4.431381051015526E-2</v>
      </c>
    </row>
    <row r="404" spans="1:34" x14ac:dyDescent="0.25">
      <c r="A404" s="168">
        <v>44295</v>
      </c>
      <c r="B404" s="207">
        <v>24130</v>
      </c>
      <c r="C404" s="7">
        <f t="shared" si="97"/>
        <v>17818.285714285714</v>
      </c>
      <c r="D404" s="190">
        <f>D403+C404</f>
        <v>2467247.2857142859</v>
      </c>
      <c r="E404" s="207">
        <v>228</v>
      </c>
      <c r="F404" s="7">
        <f t="shared" si="111"/>
        <v>189.71428571428572</v>
      </c>
      <c r="G404" s="190">
        <f t="shared" si="114"/>
        <v>56948.571428571428</v>
      </c>
      <c r="H404" s="190">
        <f t="shared" si="108"/>
        <v>14943</v>
      </c>
      <c r="I404" s="223">
        <v>2203926</v>
      </c>
      <c r="J404" s="207">
        <v>3718</v>
      </c>
      <c r="K404" s="7">
        <f t="shared" si="112"/>
        <v>3672</v>
      </c>
      <c r="L404" s="63">
        <v>90657</v>
      </c>
      <c r="M404" s="7">
        <f t="shared" si="109"/>
        <v>66991.28571428571</v>
      </c>
      <c r="N404" s="4">
        <f>N403+L404</f>
        <v>9451754</v>
      </c>
      <c r="V404" s="7">
        <f t="shared" si="113"/>
        <v>206372.71428571455</v>
      </c>
      <c r="W404" s="57">
        <f t="shared" si="101"/>
        <v>-24</v>
      </c>
      <c r="X404" s="149">
        <f t="shared" si="94"/>
        <v>2685.5714285717695</v>
      </c>
      <c r="Y404" s="43">
        <f>K404/V404</f>
        <v>1.7793049884086261E-2</v>
      </c>
      <c r="Z404" s="307">
        <f>C404/C397-1</f>
        <v>0.51918345472704686</v>
      </c>
      <c r="AA404" s="307">
        <f t="shared" si="100"/>
        <v>0.26597915720381543</v>
      </c>
      <c r="AB404" s="110">
        <f>SUM(B398:B404)/SUM(L398:L404)</f>
        <v>0.26597915720381543</v>
      </c>
      <c r="AC404" s="259">
        <f>F404/C390</f>
        <v>2.3655990594606151E-2</v>
      </c>
      <c r="AD404" s="110">
        <f t="shared" si="96"/>
        <v>5.7367269980502567E-2</v>
      </c>
    </row>
    <row r="405" spans="1:34" x14ac:dyDescent="0.25">
      <c r="A405" s="168">
        <v>44296</v>
      </c>
      <c r="B405" s="207">
        <v>19419</v>
      </c>
      <c r="C405" s="7">
        <f t="shared" si="97"/>
        <v>19109</v>
      </c>
      <c r="D405" s="190">
        <f>D404+C405</f>
        <v>2486356.2857142859</v>
      </c>
      <c r="E405" s="207">
        <v>229</v>
      </c>
      <c r="F405" s="7">
        <f t="shared" si="111"/>
        <v>210.57142857142858</v>
      </c>
      <c r="G405" s="190">
        <f t="shared" si="114"/>
        <v>57159.142857142855</v>
      </c>
      <c r="H405" s="190">
        <f t="shared" si="108"/>
        <v>13857</v>
      </c>
      <c r="I405" s="223">
        <v>2217783</v>
      </c>
      <c r="J405" s="207">
        <v>3761</v>
      </c>
      <c r="K405" s="7">
        <f t="shared" si="112"/>
        <v>3692.4285714285716</v>
      </c>
      <c r="L405" s="63">
        <v>75713</v>
      </c>
      <c r="M405" s="7">
        <f t="shared" si="109"/>
        <v>70089.71428571429</v>
      </c>
      <c r="N405" s="4">
        <f>N404+L405</f>
        <v>9527467</v>
      </c>
      <c r="V405" s="7">
        <f t="shared" si="113"/>
        <v>211414.14285714319</v>
      </c>
      <c r="W405" s="57">
        <f t="shared" si="101"/>
        <v>43</v>
      </c>
      <c r="X405" s="149">
        <f t="shared" si="94"/>
        <v>5041.4285714285215</v>
      </c>
      <c r="Y405" s="43">
        <f>K405/V405</f>
        <v>1.7465381083438775E-2</v>
      </c>
      <c r="Z405" s="307">
        <f>C405/C398-1</f>
        <v>0.62831718361980826</v>
      </c>
      <c r="AA405" s="307">
        <f t="shared" si="100"/>
        <v>0.27263629470800688</v>
      </c>
      <c r="AB405" s="110">
        <f>SUM(B399:B405)/SUM(L399:L405)</f>
        <v>0.27263629470800688</v>
      </c>
      <c r="AC405" s="259">
        <f>F405/C386</f>
        <v>2.931233345265084E-2</v>
      </c>
      <c r="AD405" s="110">
        <f>V405/V398-1</f>
        <v>7.4307985919799036E-2</v>
      </c>
      <c r="AE405" s="110"/>
      <c r="AF405" s="110"/>
      <c r="AG405" s="110"/>
      <c r="AH405" s="110"/>
    </row>
    <row r="407" spans="1:34" x14ac:dyDescent="0.25">
      <c r="C407" s="231"/>
    </row>
  </sheetData>
  <autoFilter ref="A1:V388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CE29-96EF-42D0-B521-6AC2F93E36F5}">
  <dimension ref="A1:O50"/>
  <sheetViews>
    <sheetView zoomScale="55" zoomScaleNormal="55" workbookViewId="0">
      <selection activeCell="D3" sqref="D3"/>
    </sheetView>
  </sheetViews>
  <sheetFormatPr baseColWidth="10" defaultRowHeight="15" x14ac:dyDescent="0.25"/>
  <cols>
    <col min="1" max="1" width="3.85546875" style="314" customWidth="1"/>
    <col min="2" max="2" width="27" style="305" bestFit="1" customWidth="1"/>
    <col min="3" max="5" width="11.42578125" style="62"/>
    <col min="6" max="6" width="0" style="62" hidden="1" customWidth="1"/>
    <col min="7" max="7" width="11.42578125" style="62"/>
    <col min="8" max="8" width="11.42578125" style="62" customWidth="1"/>
    <col min="9" max="9" width="5.5703125" style="314" customWidth="1"/>
    <col min="10" max="10" width="24.140625" style="62" bestFit="1" customWidth="1"/>
    <col min="11" max="14" width="11.42578125" style="62"/>
    <col min="15" max="15" width="3.42578125" style="314" customWidth="1"/>
    <col min="16" max="16384" width="11.42578125" style="62"/>
  </cols>
  <sheetData>
    <row r="1" spans="1:15" s="314" customFormat="1" ht="15.75" thickBot="1" x14ac:dyDescent="0.3">
      <c r="B1" s="324"/>
    </row>
    <row r="2" spans="1:15" s="63" customFormat="1" ht="48" thickBot="1" x14ac:dyDescent="0.3">
      <c r="A2" s="313"/>
      <c r="B2" s="71" t="s">
        <v>221</v>
      </c>
      <c r="C2" s="315" t="s">
        <v>224</v>
      </c>
      <c r="D2" s="315" t="s">
        <v>225</v>
      </c>
      <c r="E2" s="316" t="s">
        <v>222</v>
      </c>
      <c r="F2" s="317" t="s">
        <v>145</v>
      </c>
      <c r="G2" s="318" t="s">
        <v>223</v>
      </c>
      <c r="H2" s="310" t="s">
        <v>146</v>
      </c>
      <c r="I2" s="313"/>
      <c r="J2" s="71" t="s">
        <v>221</v>
      </c>
      <c r="K2" s="315" t="s">
        <v>224</v>
      </c>
      <c r="L2" s="315" t="s">
        <v>225</v>
      </c>
      <c r="M2" s="316" t="s">
        <v>222</v>
      </c>
      <c r="N2" s="318" t="s">
        <v>223</v>
      </c>
      <c r="O2" s="313"/>
    </row>
    <row r="3" spans="1:15" ht="21" customHeight="1" thickBot="1" x14ac:dyDescent="0.3">
      <c r="B3" s="311" t="s">
        <v>147</v>
      </c>
      <c r="C3" s="326">
        <v>39</v>
      </c>
      <c r="D3" s="326">
        <v>34</v>
      </c>
      <c r="E3" s="294">
        <v>1.1000000000000001</v>
      </c>
      <c r="F3" s="312" t="s">
        <v>148</v>
      </c>
      <c r="G3" s="319">
        <v>281</v>
      </c>
      <c r="H3" s="309" t="s">
        <v>149</v>
      </c>
      <c r="J3" s="311" t="s">
        <v>197</v>
      </c>
      <c r="K3" s="326">
        <v>177</v>
      </c>
      <c r="L3" s="326">
        <v>128</v>
      </c>
      <c r="M3" s="294">
        <v>1.4</v>
      </c>
      <c r="N3" s="319">
        <v>432</v>
      </c>
    </row>
    <row r="4" spans="1:15" ht="21" customHeight="1" thickBot="1" x14ac:dyDescent="0.3">
      <c r="B4" s="311" t="s">
        <v>150</v>
      </c>
      <c r="C4" s="326">
        <v>460</v>
      </c>
      <c r="D4" s="326">
        <v>461</v>
      </c>
      <c r="E4" s="294">
        <v>1</v>
      </c>
      <c r="F4" s="312" t="s">
        <v>151</v>
      </c>
      <c r="G4" s="319">
        <v>348</v>
      </c>
      <c r="H4" s="309" t="s">
        <v>149</v>
      </c>
      <c r="J4" s="311" t="s">
        <v>198</v>
      </c>
      <c r="K4" s="326">
        <v>73</v>
      </c>
      <c r="L4" s="326">
        <v>67</v>
      </c>
      <c r="M4" s="294">
        <v>1.1000000000000001</v>
      </c>
      <c r="N4" s="319">
        <v>370</v>
      </c>
    </row>
    <row r="5" spans="1:15" ht="21" customHeight="1" thickBot="1" x14ac:dyDescent="0.3">
      <c r="B5" s="311" t="s">
        <v>152</v>
      </c>
      <c r="C5" s="326">
        <v>497</v>
      </c>
      <c r="D5" s="326">
        <v>462</v>
      </c>
      <c r="E5" s="294">
        <v>1.1000000000000001</v>
      </c>
      <c r="F5" s="312" t="s">
        <v>153</v>
      </c>
      <c r="G5" s="319">
        <v>357</v>
      </c>
      <c r="H5" s="309" t="s">
        <v>149</v>
      </c>
      <c r="J5" s="311" t="s">
        <v>199</v>
      </c>
      <c r="K5" s="326">
        <v>35</v>
      </c>
      <c r="L5" s="326">
        <v>42</v>
      </c>
      <c r="M5" s="294">
        <v>0.8</v>
      </c>
      <c r="N5" s="319">
        <v>519</v>
      </c>
    </row>
    <row r="6" spans="1:15" ht="21" customHeight="1" thickBot="1" x14ac:dyDescent="0.3">
      <c r="B6" s="311" t="s">
        <v>154</v>
      </c>
      <c r="C6" s="326">
        <v>297</v>
      </c>
      <c r="D6" s="326">
        <v>225</v>
      </c>
      <c r="E6" s="294">
        <v>1.3</v>
      </c>
      <c r="F6" s="312" t="s">
        <v>155</v>
      </c>
      <c r="G6" s="319">
        <v>332</v>
      </c>
      <c r="H6" s="309" t="s">
        <v>156</v>
      </c>
      <c r="J6" s="311" t="s">
        <v>200</v>
      </c>
      <c r="K6" s="326">
        <v>620</v>
      </c>
      <c r="L6" s="326">
        <v>542</v>
      </c>
      <c r="M6" s="294">
        <v>1.1000000000000001</v>
      </c>
      <c r="N6" s="319">
        <v>391</v>
      </c>
    </row>
    <row r="7" spans="1:15" ht="21" customHeight="1" thickBot="1" x14ac:dyDescent="0.3">
      <c r="B7" s="311" t="s">
        <v>157</v>
      </c>
      <c r="C7" s="326">
        <v>484</v>
      </c>
      <c r="D7" s="326">
        <v>415</v>
      </c>
      <c r="E7" s="294">
        <v>1.2</v>
      </c>
      <c r="F7" s="312" t="s">
        <v>158</v>
      </c>
      <c r="G7" s="319">
        <v>382</v>
      </c>
      <c r="H7" s="309" t="s">
        <v>156</v>
      </c>
      <c r="J7" s="311" t="s">
        <v>201</v>
      </c>
      <c r="K7" s="326">
        <v>177</v>
      </c>
      <c r="L7" s="326">
        <v>153</v>
      </c>
      <c r="M7" s="294">
        <v>1.2</v>
      </c>
      <c r="N7" s="319">
        <v>271</v>
      </c>
    </row>
    <row r="8" spans="1:15" ht="21" customHeight="1" thickBot="1" x14ac:dyDescent="0.3">
      <c r="B8" s="311" t="s">
        <v>159</v>
      </c>
      <c r="C8" s="326">
        <v>157</v>
      </c>
      <c r="D8" s="326">
        <v>150</v>
      </c>
      <c r="E8" s="294">
        <v>1</v>
      </c>
      <c r="F8" s="312" t="s">
        <v>160</v>
      </c>
      <c r="G8" s="319">
        <v>350</v>
      </c>
      <c r="H8" s="309" t="s">
        <v>149</v>
      </c>
      <c r="J8" s="311" t="s">
        <v>202</v>
      </c>
      <c r="K8" s="326">
        <v>155</v>
      </c>
      <c r="L8" s="326">
        <v>122</v>
      </c>
      <c r="M8" s="294">
        <v>1.3</v>
      </c>
      <c r="N8" s="319">
        <v>309</v>
      </c>
    </row>
    <row r="9" spans="1:15" ht="21" customHeight="1" thickBot="1" x14ac:dyDescent="0.3">
      <c r="B9" s="311" t="s">
        <v>161</v>
      </c>
      <c r="C9" s="326">
        <v>158</v>
      </c>
      <c r="D9" s="326">
        <v>155</v>
      </c>
      <c r="E9" s="294">
        <v>1</v>
      </c>
      <c r="F9" s="312" t="s">
        <v>162</v>
      </c>
      <c r="G9" s="319">
        <v>334</v>
      </c>
      <c r="H9" s="309" t="s">
        <v>149</v>
      </c>
      <c r="J9" s="311" t="s">
        <v>203</v>
      </c>
      <c r="K9" s="326">
        <v>135</v>
      </c>
      <c r="L9" s="326">
        <v>131</v>
      </c>
      <c r="M9" s="294">
        <v>1</v>
      </c>
      <c r="N9" s="319">
        <v>278</v>
      </c>
    </row>
    <row r="10" spans="1:15" ht="21" customHeight="1" thickBot="1" x14ac:dyDescent="0.3">
      <c r="B10" s="311" t="s">
        <v>163</v>
      </c>
      <c r="C10" s="326">
        <v>599</v>
      </c>
      <c r="D10" s="326">
        <v>600</v>
      </c>
      <c r="E10" s="294">
        <v>1</v>
      </c>
      <c r="F10" s="312" t="s">
        <v>164</v>
      </c>
      <c r="G10" s="319">
        <v>339</v>
      </c>
      <c r="H10" s="309" t="s">
        <v>149</v>
      </c>
      <c r="J10" s="311" t="s">
        <v>204</v>
      </c>
      <c r="K10" s="326">
        <v>164</v>
      </c>
      <c r="L10" s="326">
        <v>153</v>
      </c>
      <c r="M10" s="294">
        <v>1.1000000000000001</v>
      </c>
      <c r="N10" s="319">
        <v>556</v>
      </c>
    </row>
    <row r="11" spans="1:15" ht="21" customHeight="1" thickBot="1" x14ac:dyDescent="0.3">
      <c r="B11" s="311" t="s">
        <v>165</v>
      </c>
      <c r="C11" s="326">
        <v>92</v>
      </c>
      <c r="D11" s="326">
        <v>112</v>
      </c>
      <c r="E11" s="294">
        <v>0.8</v>
      </c>
      <c r="F11" s="312" t="s">
        <v>166</v>
      </c>
      <c r="G11" s="319">
        <v>334</v>
      </c>
      <c r="H11" s="309" t="s">
        <v>149</v>
      </c>
      <c r="J11" s="311" t="s">
        <v>205</v>
      </c>
      <c r="K11" s="326">
        <v>84</v>
      </c>
      <c r="L11" s="326">
        <v>79</v>
      </c>
      <c r="M11" s="294">
        <v>1.1000000000000001</v>
      </c>
      <c r="N11" s="319">
        <v>415</v>
      </c>
    </row>
    <row r="12" spans="1:15" ht="21" customHeight="1" thickBot="1" x14ac:dyDescent="0.3">
      <c r="B12" s="311" t="s">
        <v>167</v>
      </c>
      <c r="C12" s="326">
        <v>55</v>
      </c>
      <c r="D12" s="326">
        <v>59</v>
      </c>
      <c r="E12" s="294">
        <v>0.9</v>
      </c>
      <c r="F12" s="312" t="s">
        <v>168</v>
      </c>
      <c r="G12" s="319">
        <v>294</v>
      </c>
      <c r="H12" s="309" t="s">
        <v>149</v>
      </c>
      <c r="J12" s="311" t="s">
        <v>206</v>
      </c>
      <c r="K12" s="326">
        <v>141</v>
      </c>
      <c r="L12" s="326">
        <v>107</v>
      </c>
      <c r="M12" s="294">
        <v>1.3</v>
      </c>
      <c r="N12" s="319">
        <v>401</v>
      </c>
    </row>
    <row r="13" spans="1:15" ht="21" customHeight="1" thickBot="1" x14ac:dyDescent="0.3">
      <c r="B13" s="311" t="s">
        <v>169</v>
      </c>
      <c r="C13" s="326">
        <v>193</v>
      </c>
      <c r="D13" s="326">
        <v>144</v>
      </c>
      <c r="E13" s="294">
        <v>1.3</v>
      </c>
      <c r="F13" s="312" t="s">
        <v>170</v>
      </c>
      <c r="G13" s="319">
        <v>369</v>
      </c>
      <c r="H13" s="309" t="s">
        <v>156</v>
      </c>
      <c r="J13" s="311" t="s">
        <v>207</v>
      </c>
      <c r="K13" s="326">
        <v>54</v>
      </c>
      <c r="L13" s="326">
        <v>59</v>
      </c>
      <c r="M13" s="294">
        <v>0.9</v>
      </c>
      <c r="N13" s="319">
        <v>389</v>
      </c>
    </row>
    <row r="14" spans="1:15" ht="21" customHeight="1" thickBot="1" x14ac:dyDescent="0.3">
      <c r="B14" s="311" t="s">
        <v>171</v>
      </c>
      <c r="C14" s="326">
        <v>180</v>
      </c>
      <c r="D14" s="326">
        <v>168</v>
      </c>
      <c r="E14" s="294">
        <v>1.1000000000000001</v>
      </c>
      <c r="F14" s="312" t="s">
        <v>172</v>
      </c>
      <c r="G14" s="319">
        <v>409</v>
      </c>
      <c r="H14" s="309" t="s">
        <v>149</v>
      </c>
      <c r="J14" s="311" t="s">
        <v>208</v>
      </c>
      <c r="K14" s="326">
        <v>296</v>
      </c>
      <c r="L14" s="326">
        <v>264</v>
      </c>
      <c r="M14" s="294">
        <v>1.1000000000000001</v>
      </c>
      <c r="N14" s="319">
        <v>362</v>
      </c>
    </row>
    <row r="15" spans="1:15" ht="21" customHeight="1" thickBot="1" x14ac:dyDescent="0.3">
      <c r="B15" s="311" t="s">
        <v>173</v>
      </c>
      <c r="C15" s="326">
        <v>542</v>
      </c>
      <c r="D15" s="326">
        <v>483</v>
      </c>
      <c r="E15" s="294">
        <v>1.1000000000000001</v>
      </c>
      <c r="F15" s="312" t="s">
        <v>174</v>
      </c>
      <c r="G15" s="319">
        <v>330</v>
      </c>
      <c r="H15" s="309" t="s">
        <v>149</v>
      </c>
      <c r="J15" s="311" t="s">
        <v>209</v>
      </c>
      <c r="K15" s="326">
        <v>202</v>
      </c>
      <c r="L15" s="326">
        <v>158</v>
      </c>
      <c r="M15" s="294">
        <v>1.3</v>
      </c>
      <c r="N15" s="319">
        <v>367</v>
      </c>
    </row>
    <row r="16" spans="1:15" ht="21" customHeight="1" thickBot="1" x14ac:dyDescent="0.3">
      <c r="B16" s="311" t="s">
        <v>175</v>
      </c>
      <c r="C16" s="326">
        <v>109</v>
      </c>
      <c r="D16" s="326">
        <v>108</v>
      </c>
      <c r="E16" s="294">
        <v>1</v>
      </c>
      <c r="F16" s="312" t="s">
        <v>176</v>
      </c>
      <c r="G16" s="319">
        <v>291</v>
      </c>
      <c r="H16" s="309" t="s">
        <v>149</v>
      </c>
      <c r="J16" s="311" t="s">
        <v>210</v>
      </c>
      <c r="K16" s="326">
        <v>263</v>
      </c>
      <c r="L16" s="326">
        <v>235</v>
      </c>
      <c r="M16" s="294">
        <v>1.1000000000000001</v>
      </c>
      <c r="N16" s="319">
        <v>395</v>
      </c>
    </row>
    <row r="17" spans="2:14" ht="21" customHeight="1" thickBot="1" x14ac:dyDescent="0.3">
      <c r="B17" s="311" t="s">
        <v>177</v>
      </c>
      <c r="C17" s="326">
        <v>157</v>
      </c>
      <c r="D17" s="326">
        <v>142</v>
      </c>
      <c r="E17" s="294">
        <v>1.1000000000000001</v>
      </c>
      <c r="F17" s="312" t="s">
        <v>178</v>
      </c>
      <c r="G17" s="319">
        <v>355</v>
      </c>
      <c r="H17" s="309" t="s">
        <v>149</v>
      </c>
      <c r="J17" s="311" t="s">
        <v>211</v>
      </c>
      <c r="K17" s="326">
        <v>102</v>
      </c>
      <c r="L17" s="326">
        <v>97</v>
      </c>
      <c r="M17" s="294">
        <v>1.1000000000000001</v>
      </c>
      <c r="N17" s="319">
        <v>292</v>
      </c>
    </row>
    <row r="18" spans="2:14" ht="21" customHeight="1" thickBot="1" x14ac:dyDescent="0.3">
      <c r="B18" s="311" t="s">
        <v>179</v>
      </c>
      <c r="C18" s="326">
        <v>248</v>
      </c>
      <c r="D18" s="326">
        <v>194</v>
      </c>
      <c r="E18" s="294">
        <v>1.3</v>
      </c>
      <c r="F18" s="312" t="s">
        <v>180</v>
      </c>
      <c r="G18" s="319">
        <v>386</v>
      </c>
      <c r="H18" s="309" t="s">
        <v>156</v>
      </c>
      <c r="J18" s="311" t="s">
        <v>212</v>
      </c>
      <c r="K18" s="326">
        <v>333</v>
      </c>
      <c r="L18" s="326">
        <v>336</v>
      </c>
      <c r="M18" s="294">
        <v>1</v>
      </c>
      <c r="N18" s="319">
        <v>263</v>
      </c>
    </row>
    <row r="19" spans="2:14" ht="21" customHeight="1" thickBot="1" x14ac:dyDescent="0.3">
      <c r="B19" s="311" t="s">
        <v>181</v>
      </c>
      <c r="C19" s="326">
        <v>143</v>
      </c>
      <c r="D19" s="326">
        <v>147</v>
      </c>
      <c r="E19" s="294">
        <v>1</v>
      </c>
      <c r="F19" s="312" t="s">
        <v>182</v>
      </c>
      <c r="G19" s="319">
        <v>354</v>
      </c>
      <c r="H19" s="309" t="s">
        <v>149</v>
      </c>
      <c r="J19" s="311" t="s">
        <v>213</v>
      </c>
      <c r="K19" s="326">
        <v>106</v>
      </c>
      <c r="L19" s="326">
        <v>121</v>
      </c>
      <c r="M19" s="294">
        <v>0.9</v>
      </c>
      <c r="N19" s="319">
        <v>326</v>
      </c>
    </row>
    <row r="20" spans="2:14" ht="21" customHeight="1" thickBot="1" x14ac:dyDescent="0.3">
      <c r="B20" s="311" t="s">
        <v>183</v>
      </c>
      <c r="C20" s="326">
        <v>124</v>
      </c>
      <c r="D20" s="326">
        <v>118</v>
      </c>
      <c r="E20" s="294">
        <v>1.1000000000000001</v>
      </c>
      <c r="F20" s="312" t="s">
        <v>184</v>
      </c>
      <c r="G20" s="319">
        <v>367</v>
      </c>
      <c r="H20" s="309" t="s">
        <v>149</v>
      </c>
      <c r="J20" s="311" t="s">
        <v>214</v>
      </c>
      <c r="K20" s="326">
        <v>72</v>
      </c>
      <c r="L20" s="326">
        <v>65</v>
      </c>
      <c r="M20" s="294">
        <v>1.1000000000000001</v>
      </c>
      <c r="N20" s="319">
        <v>336</v>
      </c>
    </row>
    <row r="21" spans="2:14" ht="21" customHeight="1" thickBot="1" x14ac:dyDescent="0.3">
      <c r="B21" s="311" t="s">
        <v>185</v>
      </c>
      <c r="C21" s="326">
        <v>157</v>
      </c>
      <c r="D21" s="326">
        <v>147</v>
      </c>
      <c r="E21" s="294">
        <v>1.1000000000000001</v>
      </c>
      <c r="F21" s="312" t="s">
        <v>186</v>
      </c>
      <c r="G21" s="319">
        <v>372</v>
      </c>
      <c r="H21" s="309" t="s">
        <v>149</v>
      </c>
      <c r="J21" s="311" t="s">
        <v>215</v>
      </c>
      <c r="K21" s="326">
        <v>128</v>
      </c>
      <c r="L21" s="326">
        <v>124</v>
      </c>
      <c r="M21" s="294">
        <v>1</v>
      </c>
      <c r="N21" s="319">
        <v>323</v>
      </c>
    </row>
    <row r="22" spans="2:14" ht="21" customHeight="1" thickBot="1" x14ac:dyDescent="0.3">
      <c r="B22" s="311" t="s">
        <v>187</v>
      </c>
      <c r="C22" s="326">
        <v>168</v>
      </c>
      <c r="D22" s="326">
        <v>150</v>
      </c>
      <c r="E22" s="294">
        <v>1.1000000000000001</v>
      </c>
      <c r="F22" s="312" t="s">
        <v>188</v>
      </c>
      <c r="G22" s="319">
        <v>320</v>
      </c>
      <c r="H22" s="309" t="s">
        <v>149</v>
      </c>
      <c r="J22" s="311" t="s">
        <v>216</v>
      </c>
      <c r="K22" s="326">
        <v>46</v>
      </c>
      <c r="L22" s="326">
        <v>50</v>
      </c>
      <c r="M22" s="294">
        <v>0.9</v>
      </c>
      <c r="N22" s="319">
        <v>342</v>
      </c>
    </row>
    <row r="23" spans="2:14" ht="21" customHeight="1" thickBot="1" x14ac:dyDescent="0.3">
      <c r="B23" s="311" t="s">
        <v>189</v>
      </c>
      <c r="C23" s="326">
        <v>879</v>
      </c>
      <c r="D23" s="326">
        <v>816</v>
      </c>
      <c r="E23" s="294">
        <v>1.1000000000000001</v>
      </c>
      <c r="F23" s="312" t="s">
        <v>190</v>
      </c>
      <c r="G23" s="319">
        <v>389</v>
      </c>
      <c r="H23" s="309" t="s">
        <v>149</v>
      </c>
      <c r="J23" s="311" t="s">
        <v>217</v>
      </c>
      <c r="K23" s="326">
        <v>73</v>
      </c>
      <c r="L23" s="326">
        <v>63</v>
      </c>
      <c r="M23" s="294">
        <v>1.2</v>
      </c>
      <c r="N23" s="319">
        <v>519</v>
      </c>
    </row>
    <row r="24" spans="2:14" ht="21" customHeight="1" thickBot="1" x14ac:dyDescent="0.3">
      <c r="B24" s="311" t="s">
        <v>191</v>
      </c>
      <c r="C24" s="326">
        <v>168</v>
      </c>
      <c r="D24" s="326">
        <v>133</v>
      </c>
      <c r="E24" s="294">
        <v>1.3</v>
      </c>
      <c r="F24" s="312" t="s">
        <v>192</v>
      </c>
      <c r="G24" s="319">
        <v>316</v>
      </c>
      <c r="H24" s="309" t="s">
        <v>156</v>
      </c>
      <c r="J24" s="311" t="s">
        <v>218</v>
      </c>
      <c r="K24" s="326">
        <v>93</v>
      </c>
      <c r="L24" s="326">
        <v>97</v>
      </c>
      <c r="M24" s="294">
        <v>1</v>
      </c>
      <c r="N24" s="319">
        <v>281</v>
      </c>
    </row>
    <row r="25" spans="2:14" ht="21" customHeight="1" thickBot="1" x14ac:dyDescent="0.3">
      <c r="B25" s="311" t="s">
        <v>193</v>
      </c>
      <c r="C25" s="326">
        <v>184</v>
      </c>
      <c r="D25" s="326">
        <v>163</v>
      </c>
      <c r="E25" s="294">
        <v>1.1000000000000001</v>
      </c>
      <c r="F25" s="312" t="s">
        <v>194</v>
      </c>
      <c r="G25" s="319">
        <v>327</v>
      </c>
      <c r="H25" s="309" t="s">
        <v>149</v>
      </c>
      <c r="J25" s="311" t="s">
        <v>219</v>
      </c>
      <c r="K25" s="326">
        <v>141</v>
      </c>
      <c r="L25" s="326">
        <v>101</v>
      </c>
      <c r="M25" s="294">
        <v>1.4</v>
      </c>
      <c r="N25" s="319">
        <v>302</v>
      </c>
    </row>
    <row r="26" spans="2:14" ht="21" customHeight="1" thickBot="1" x14ac:dyDescent="0.3">
      <c r="B26" s="320" t="s">
        <v>195</v>
      </c>
      <c r="C26" s="327">
        <v>72</v>
      </c>
      <c r="D26" s="327">
        <v>50</v>
      </c>
      <c r="E26" s="321">
        <v>1.4</v>
      </c>
      <c r="F26" s="322" t="s">
        <v>196</v>
      </c>
      <c r="G26" s="323">
        <v>410</v>
      </c>
      <c r="H26" s="309" t="s">
        <v>156</v>
      </c>
      <c r="J26" s="320" t="s">
        <v>220</v>
      </c>
      <c r="K26" s="327">
        <v>319</v>
      </c>
      <c r="L26" s="327">
        <v>270</v>
      </c>
      <c r="M26" s="321">
        <v>1.2</v>
      </c>
      <c r="N26" s="323">
        <v>346</v>
      </c>
    </row>
    <row r="27" spans="2:14" s="314" customFormat="1" x14ac:dyDescent="0.25">
      <c r="B27" s="324"/>
      <c r="H27" s="325" t="s">
        <v>156</v>
      </c>
    </row>
    <row r="28" spans="2:14" s="314" customFormat="1" x14ac:dyDescent="0.25">
      <c r="B28" s="324"/>
      <c r="H28" s="325" t="s">
        <v>149</v>
      </c>
    </row>
    <row r="29" spans="2:14" s="314" customFormat="1" x14ac:dyDescent="0.25">
      <c r="B29" s="324"/>
      <c r="H29" s="325" t="s">
        <v>149</v>
      </c>
    </row>
    <row r="30" spans="2:14" x14ac:dyDescent="0.25">
      <c r="H30" s="309" t="s">
        <v>149</v>
      </c>
    </row>
    <row r="31" spans="2:14" x14ac:dyDescent="0.25">
      <c r="H31" s="309" t="s">
        <v>156</v>
      </c>
    </row>
    <row r="32" spans="2:14" x14ac:dyDescent="0.25">
      <c r="H32" s="309" t="s">
        <v>156</v>
      </c>
    </row>
    <row r="33" spans="8:8" x14ac:dyDescent="0.25">
      <c r="H33" s="309" t="s">
        <v>149</v>
      </c>
    </row>
    <row r="34" spans="8:8" x14ac:dyDescent="0.25">
      <c r="H34" s="309" t="s">
        <v>149</v>
      </c>
    </row>
    <row r="35" spans="8:8" x14ac:dyDescent="0.25">
      <c r="H35" s="309" t="s">
        <v>149</v>
      </c>
    </row>
    <row r="36" spans="8:8" x14ac:dyDescent="0.25">
      <c r="H36" s="309" t="s">
        <v>156</v>
      </c>
    </row>
    <row r="37" spans="8:8" x14ac:dyDescent="0.25">
      <c r="H37" s="309" t="s">
        <v>149</v>
      </c>
    </row>
    <row r="38" spans="8:8" x14ac:dyDescent="0.25">
      <c r="H38" s="309" t="s">
        <v>149</v>
      </c>
    </row>
    <row r="39" spans="8:8" x14ac:dyDescent="0.25">
      <c r="H39" s="309" t="s">
        <v>156</v>
      </c>
    </row>
    <row r="40" spans="8:8" x14ac:dyDescent="0.25">
      <c r="H40" s="309" t="s">
        <v>149</v>
      </c>
    </row>
    <row r="41" spans="8:8" x14ac:dyDescent="0.25">
      <c r="H41" s="309" t="s">
        <v>149</v>
      </c>
    </row>
    <row r="42" spans="8:8" x14ac:dyDescent="0.25">
      <c r="H42" s="309" t="s">
        <v>149</v>
      </c>
    </row>
    <row r="43" spans="8:8" x14ac:dyDescent="0.25">
      <c r="H43" s="309" t="s">
        <v>149</v>
      </c>
    </row>
    <row r="44" spans="8:8" x14ac:dyDescent="0.25">
      <c r="H44" s="309" t="s">
        <v>149</v>
      </c>
    </row>
    <row r="45" spans="8:8" x14ac:dyDescent="0.25">
      <c r="H45" s="309" t="s">
        <v>149</v>
      </c>
    </row>
    <row r="46" spans="8:8" x14ac:dyDescent="0.25">
      <c r="H46" s="309" t="s">
        <v>149</v>
      </c>
    </row>
    <row r="47" spans="8:8" x14ac:dyDescent="0.25">
      <c r="H47" s="309" t="s">
        <v>156</v>
      </c>
    </row>
    <row r="48" spans="8:8" x14ac:dyDescent="0.25">
      <c r="H48" s="309" t="s">
        <v>149</v>
      </c>
    </row>
    <row r="49" spans="8:8" x14ac:dyDescent="0.25">
      <c r="H49" s="309" t="s">
        <v>156</v>
      </c>
    </row>
    <row r="50" spans="8:8" x14ac:dyDescent="0.25">
      <c r="H50" s="309" t="s">
        <v>156</v>
      </c>
    </row>
  </sheetData>
  <conditionalFormatting sqref="G3:G26 N3:N26">
    <cfRule type="cellIs" dxfId="141" priority="3" operator="lessThan">
      <formula>150</formula>
    </cfRule>
    <cfRule type="cellIs" dxfId="140" priority="4" operator="greaterThanOrEqual">
      <formula>150</formula>
    </cfRule>
  </conditionalFormatting>
  <conditionalFormatting sqref="E3:E26 M3:M26">
    <cfRule type="cellIs" dxfId="139" priority="1" operator="lessThan">
      <formula>1.2</formula>
    </cfRule>
    <cfRule type="cellIs" dxfId="138" priority="2" operator="greaterThanOrEqual">
      <formula>1.2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B8F7-542C-4D7E-903B-3163DF62C08D}">
  <dimension ref="A1:BN29"/>
  <sheetViews>
    <sheetView topLeftCell="AS1" zoomScale="70" zoomScaleNormal="70" workbookViewId="0">
      <selection activeCell="BI1" sqref="BI1:BN1048576"/>
    </sheetView>
  </sheetViews>
  <sheetFormatPr baseColWidth="10" defaultRowHeight="15" x14ac:dyDescent="0.25"/>
  <cols>
    <col min="1" max="1" width="19" style="62" customWidth="1"/>
    <col min="2" max="40" width="11.42578125" style="62" hidden="1" customWidth="1"/>
    <col min="41" max="53" width="11.42578125" style="62" customWidth="1"/>
    <col min="54" max="16384" width="11.42578125" style="62"/>
  </cols>
  <sheetData>
    <row r="1" spans="1:66" ht="15.75" thickBot="1" x14ac:dyDescent="0.3">
      <c r="A1" s="290" t="s">
        <v>25</v>
      </c>
      <c r="B1" s="291">
        <v>44219</v>
      </c>
      <c r="C1" s="291">
        <v>44220</v>
      </c>
      <c r="D1" s="291">
        <v>44221</v>
      </c>
      <c r="E1" s="291">
        <v>44222</v>
      </c>
      <c r="F1" s="291">
        <v>44223</v>
      </c>
      <c r="G1" s="291">
        <v>44224</v>
      </c>
      <c r="H1" s="291">
        <v>44225</v>
      </c>
      <c r="I1" s="291">
        <v>44226</v>
      </c>
      <c r="J1" s="291">
        <v>44227</v>
      </c>
      <c r="K1" s="291">
        <v>44228</v>
      </c>
      <c r="L1" s="291">
        <v>44229</v>
      </c>
      <c r="M1" s="291">
        <v>44230</v>
      </c>
      <c r="N1" s="291">
        <v>44231</v>
      </c>
      <c r="O1" s="291">
        <v>44232</v>
      </c>
      <c r="P1" s="291">
        <v>44233</v>
      </c>
      <c r="Q1" s="291">
        <v>44234</v>
      </c>
      <c r="R1" s="291">
        <v>44235</v>
      </c>
      <c r="S1" s="291">
        <v>44236</v>
      </c>
      <c r="T1" s="291">
        <v>44237</v>
      </c>
      <c r="U1" s="291">
        <v>44238</v>
      </c>
      <c r="V1" s="291">
        <v>44239</v>
      </c>
      <c r="W1" s="291">
        <v>44240</v>
      </c>
      <c r="X1" s="291">
        <v>44241</v>
      </c>
      <c r="Y1" s="291">
        <v>44242</v>
      </c>
      <c r="Z1" s="291">
        <v>44243</v>
      </c>
      <c r="AA1" s="291">
        <v>44244</v>
      </c>
      <c r="AB1" s="291">
        <v>44245</v>
      </c>
      <c r="AC1" s="291">
        <v>44246</v>
      </c>
      <c r="AD1" s="291">
        <v>44247</v>
      </c>
      <c r="AE1" s="291">
        <v>44248</v>
      </c>
      <c r="AF1" s="291">
        <v>44249</v>
      </c>
      <c r="AG1" s="291">
        <v>44250</v>
      </c>
      <c r="AH1" s="291">
        <v>44251</v>
      </c>
      <c r="AI1" s="291">
        <v>44252</v>
      </c>
      <c r="AJ1" s="291">
        <v>44253</v>
      </c>
      <c r="AK1" s="291">
        <v>44254</v>
      </c>
      <c r="AL1" s="291">
        <v>44255</v>
      </c>
      <c r="AM1" s="291">
        <v>44256</v>
      </c>
      <c r="AN1" s="291">
        <v>44257</v>
      </c>
      <c r="AO1" s="291">
        <v>44258</v>
      </c>
      <c r="AP1" s="291">
        <v>44259</v>
      </c>
      <c r="AQ1" s="291">
        <v>44260</v>
      </c>
      <c r="AR1" s="291">
        <v>44261</v>
      </c>
      <c r="AS1" s="291">
        <v>44262</v>
      </c>
      <c r="AT1" s="291">
        <v>44263</v>
      </c>
      <c r="AU1" s="291">
        <v>44264</v>
      </c>
      <c r="AV1" s="291">
        <v>44265</v>
      </c>
      <c r="AW1" s="291">
        <v>44266</v>
      </c>
      <c r="AX1" s="291">
        <v>44267</v>
      </c>
      <c r="AY1" s="291">
        <v>44268</v>
      </c>
      <c r="AZ1" s="291">
        <v>44269</v>
      </c>
      <c r="BA1" s="291">
        <v>44270</v>
      </c>
      <c r="BB1" s="291">
        <v>44271</v>
      </c>
      <c r="BC1" s="291">
        <v>44272</v>
      </c>
      <c r="BD1" s="291">
        <v>44273</v>
      </c>
      <c r="BE1" s="291">
        <v>44274</v>
      </c>
      <c r="BF1" s="291">
        <v>44275</v>
      </c>
      <c r="BG1" s="291">
        <v>44276</v>
      </c>
      <c r="BH1" s="291">
        <v>44277</v>
      </c>
      <c r="BI1" s="291">
        <v>44278</v>
      </c>
      <c r="BJ1" s="291">
        <v>44279</v>
      </c>
      <c r="BK1" s="291">
        <v>44280</v>
      </c>
      <c r="BL1" s="291">
        <v>44281</v>
      </c>
      <c r="BM1" s="291">
        <v>44282</v>
      </c>
      <c r="BN1" s="291">
        <v>44283</v>
      </c>
    </row>
    <row r="2" spans="1:66" ht="15.75" thickBot="1" x14ac:dyDescent="0.3">
      <c r="A2" s="292" t="s">
        <v>17</v>
      </c>
      <c r="B2" s="230">
        <v>1.0990031330105383</v>
      </c>
      <c r="C2" s="230">
        <v>1.0502371951671485</v>
      </c>
      <c r="D2" s="230">
        <v>1.036354590849625</v>
      </c>
      <c r="E2" s="230">
        <v>1.0026419123102257</v>
      </c>
      <c r="F2" s="230">
        <v>0.99338884774480229</v>
      </c>
      <c r="G2" s="230">
        <v>0.96709182759485512</v>
      </c>
      <c r="H2" s="230">
        <v>0.90940790141846373</v>
      </c>
      <c r="I2" s="230">
        <v>0.88018707342466662</v>
      </c>
      <c r="J2" s="230">
        <v>0.86598444535407282</v>
      </c>
      <c r="K2" s="230">
        <v>0.85872571643671958</v>
      </c>
      <c r="L2" s="230">
        <v>0.8484335169805115</v>
      </c>
      <c r="M2" s="230">
        <v>0.83337193144974531</v>
      </c>
      <c r="N2" s="230">
        <v>0.82756889714371773</v>
      </c>
      <c r="O2" s="230">
        <v>0.82646645085843096</v>
      </c>
      <c r="P2" s="230">
        <v>0.83700478584633464</v>
      </c>
      <c r="Q2" s="230">
        <v>0.84432289369210412</v>
      </c>
      <c r="R2" s="230">
        <v>0.83916506649598177</v>
      </c>
      <c r="S2" s="230">
        <v>0.82995542240430253</v>
      </c>
      <c r="T2" s="230">
        <v>0.8147467951631967</v>
      </c>
      <c r="U2" s="230">
        <v>0.81100305640455683</v>
      </c>
      <c r="V2" s="230">
        <v>0.79116256561069132</v>
      </c>
      <c r="W2" s="230">
        <v>0.7864666453878072</v>
      </c>
      <c r="X2" s="230">
        <v>0.77993949706938925</v>
      </c>
      <c r="Y2" s="230">
        <v>0.76338409346471248</v>
      </c>
      <c r="Z2" s="230">
        <v>0.72296419779410337</v>
      </c>
      <c r="AA2" s="230">
        <v>0.7187717104349034</v>
      </c>
      <c r="AB2" s="230">
        <v>0.7229568522787011</v>
      </c>
      <c r="AC2" s="230">
        <v>0.73459929456156181</v>
      </c>
      <c r="AD2" s="230">
        <v>0.73043657756218394</v>
      </c>
      <c r="AE2" s="230">
        <v>0.7395929114770543</v>
      </c>
      <c r="AF2" s="230">
        <v>0.74780711047078263</v>
      </c>
      <c r="AG2" s="230">
        <v>0.76836932176484662</v>
      </c>
      <c r="AH2" s="294">
        <v>0.79384917535206556</v>
      </c>
      <c r="AI2" s="294">
        <v>0.81480973916221278</v>
      </c>
      <c r="AJ2" s="294">
        <v>0.81294405495694722</v>
      </c>
      <c r="AK2" s="294">
        <v>0.82400687547746376</v>
      </c>
      <c r="AL2" s="294">
        <v>0.82926474509708858</v>
      </c>
      <c r="AM2" s="294">
        <v>0.86990063414390573</v>
      </c>
      <c r="AN2" s="294">
        <v>0.97281282676890901</v>
      </c>
      <c r="AO2" s="294">
        <v>1.0256828035679766</v>
      </c>
      <c r="AP2" s="294">
        <v>1.0334768989819891</v>
      </c>
      <c r="AQ2" s="294">
        <v>1.0300374071799452</v>
      </c>
      <c r="AR2" s="294">
        <v>1.0343921324817724</v>
      </c>
      <c r="AS2" s="294">
        <v>1.0197507840976519</v>
      </c>
      <c r="AT2" s="294">
        <v>1.022297775888936</v>
      </c>
      <c r="AU2" s="294">
        <v>1.013867270411773</v>
      </c>
      <c r="AV2" s="294">
        <v>1.0005060444194547</v>
      </c>
      <c r="AW2" s="294">
        <v>1.0030834781633682</v>
      </c>
      <c r="AX2" s="294">
        <v>1.0693966140934741</v>
      </c>
      <c r="AY2" s="294">
        <v>1.0788040329122726</v>
      </c>
      <c r="AZ2" s="294">
        <v>1.0960301683816651</v>
      </c>
      <c r="BA2" s="294">
        <v>1.0934477513417329</v>
      </c>
      <c r="BB2" s="294">
        <v>1.0730920816911502</v>
      </c>
      <c r="BC2" s="294">
        <v>1.071306795118123</v>
      </c>
      <c r="BD2" s="294">
        <v>1.0742045639330045</v>
      </c>
      <c r="BE2" s="294">
        <v>1.0742045639330045</v>
      </c>
      <c r="BF2" s="294">
        <v>1.1092806600551868</v>
      </c>
      <c r="BG2" s="294">
        <v>1.1435300637295649</v>
      </c>
      <c r="BH2" s="294">
        <v>1.1614101213901669</v>
      </c>
      <c r="BI2" s="294">
        <v>1.2041032798325191</v>
      </c>
      <c r="BJ2" s="294">
        <v>1.2300775542317635</v>
      </c>
      <c r="BK2" s="294">
        <v>1.2303822937625755</v>
      </c>
      <c r="BL2" s="294">
        <v>1.2571915676670364</v>
      </c>
      <c r="BM2" s="294">
        <v>1.3183478354280804</v>
      </c>
      <c r="BN2" s="294">
        <v>1.3551329581521885</v>
      </c>
    </row>
    <row r="3" spans="1:66" ht="15.75" thickBot="1" x14ac:dyDescent="0.3">
      <c r="A3" s="292" t="s">
        <v>44</v>
      </c>
      <c r="B3" s="230">
        <v>1.1267855967349087</v>
      </c>
      <c r="C3" s="230">
        <v>1.0551241247612986</v>
      </c>
      <c r="D3" s="230">
        <v>1.0629996193376474</v>
      </c>
      <c r="E3" s="230">
        <v>1.0099852977211468</v>
      </c>
      <c r="F3" s="230">
        <v>1.0047410649161197</v>
      </c>
      <c r="G3" s="230">
        <v>0.98677344982405046</v>
      </c>
      <c r="H3" s="230">
        <v>0.938364122226095</v>
      </c>
      <c r="I3" s="230">
        <v>0.89346694284274752</v>
      </c>
      <c r="J3" s="230">
        <v>0.85527400648601115</v>
      </c>
      <c r="K3" s="230">
        <v>0.83031427324312523</v>
      </c>
      <c r="L3" s="230">
        <v>0.82644628099173556</v>
      </c>
      <c r="M3" s="230">
        <v>0.82201379310344824</v>
      </c>
      <c r="N3" s="230">
        <v>0.83256700684086571</v>
      </c>
      <c r="O3" s="230">
        <v>0.84215926580402445</v>
      </c>
      <c r="P3" s="230">
        <v>0.85196003972658763</v>
      </c>
      <c r="Q3" s="230">
        <v>0.87198359073359077</v>
      </c>
      <c r="R3" s="230">
        <v>0.83909280811698006</v>
      </c>
      <c r="S3" s="230">
        <v>0.83429368593437259</v>
      </c>
      <c r="T3" s="230">
        <v>0.81203871748336354</v>
      </c>
      <c r="U3" s="230">
        <v>0.80472208558780123</v>
      </c>
      <c r="V3" s="230">
        <v>0.78654119977713122</v>
      </c>
      <c r="W3" s="230">
        <v>0.77036340852130325</v>
      </c>
      <c r="X3" s="230">
        <v>0.78374035989717228</v>
      </c>
      <c r="Y3" s="230">
        <v>0.7765803653568143</v>
      </c>
      <c r="Z3" s="230">
        <v>0.72761589403973514</v>
      </c>
      <c r="AA3" s="230">
        <v>0.71682663265991009</v>
      </c>
      <c r="AB3" s="230">
        <v>0.69100215517241381</v>
      </c>
      <c r="AC3" s="230">
        <v>0.67828617842155137</v>
      </c>
      <c r="AD3" s="230">
        <v>0.67777549201124598</v>
      </c>
      <c r="AE3" s="230">
        <v>0.66818873668188739</v>
      </c>
      <c r="AF3" s="230">
        <v>0.69592431894160323</v>
      </c>
      <c r="AG3" s="230">
        <v>0.69981824790985092</v>
      </c>
      <c r="AH3" s="294">
        <v>0.72368323027639125</v>
      </c>
      <c r="AI3" s="294">
        <v>0.7512224938875306</v>
      </c>
      <c r="AJ3" s="294">
        <v>0.75773317591499412</v>
      </c>
      <c r="AK3" s="294">
        <v>0.78641724278161851</v>
      </c>
      <c r="AL3" s="294">
        <v>0.77482574825748263</v>
      </c>
      <c r="AM3" s="294">
        <v>0.79455068539515994</v>
      </c>
      <c r="AN3" s="294">
        <v>0.87403294802948939</v>
      </c>
      <c r="AO3" s="294">
        <v>0.90805243445692885</v>
      </c>
      <c r="AP3" s="294">
        <v>0.93294346978557507</v>
      </c>
      <c r="AQ3" s="294">
        <v>0.95679073944716098</v>
      </c>
      <c r="AR3" s="294">
        <v>0.97561715904492108</v>
      </c>
      <c r="AS3" s="294">
        <v>1.0065230896665975</v>
      </c>
      <c r="AT3" s="294">
        <v>0.98006950122649228</v>
      </c>
      <c r="AU3" s="294">
        <v>1.0012466237274049</v>
      </c>
      <c r="AV3" s="294">
        <v>0.98507309038501134</v>
      </c>
      <c r="AW3" s="294">
        <v>0.96724979658258747</v>
      </c>
      <c r="AX3" s="294">
        <v>1.0109068245559365</v>
      </c>
      <c r="AY3" s="294">
        <v>1.0285448340055849</v>
      </c>
      <c r="AZ3" s="294">
        <v>1.0650862525134934</v>
      </c>
      <c r="BA3" s="294">
        <v>1.1414270500532482</v>
      </c>
      <c r="BB3" s="294">
        <v>1.1489117983963344</v>
      </c>
      <c r="BC3" s="294">
        <v>1.1858545758462182</v>
      </c>
      <c r="BD3" s="294">
        <v>1.1860659157279934</v>
      </c>
      <c r="BE3" s="294">
        <v>1.1860659157279934</v>
      </c>
      <c r="BF3" s="294">
        <v>1.1991081613605725</v>
      </c>
      <c r="BG3" s="294">
        <v>1.2094434728937351</v>
      </c>
      <c r="BH3" s="294">
        <v>1.2471582021065803</v>
      </c>
      <c r="BI3" s="294">
        <v>1.2722556547001453</v>
      </c>
      <c r="BJ3" s="294">
        <v>1.2782944926324591</v>
      </c>
      <c r="BK3" s="294">
        <v>1.3464773922187172</v>
      </c>
      <c r="BL3" s="294">
        <v>1.3749486230990546</v>
      </c>
      <c r="BM3" s="294">
        <v>1.4138763197586728</v>
      </c>
      <c r="BN3" s="294">
        <v>1.4456478537360891</v>
      </c>
    </row>
    <row r="4" spans="1:66" ht="15.75" thickBot="1" x14ac:dyDescent="0.3">
      <c r="A4" s="292" t="s">
        <v>29</v>
      </c>
      <c r="B4" s="230">
        <v>2.6351351351351351</v>
      </c>
      <c r="C4" s="230">
        <v>2.6097152428810722</v>
      </c>
      <c r="D4" s="230">
        <v>2.608040201005025</v>
      </c>
      <c r="E4" s="230">
        <v>2.3408748114630469</v>
      </c>
      <c r="F4" s="230">
        <v>2.3815201192250375</v>
      </c>
      <c r="G4" s="230">
        <v>2.4077961019490255</v>
      </c>
      <c r="H4" s="230">
        <v>1.2485875706214689</v>
      </c>
      <c r="I4" s="230">
        <v>0.9446227929373997</v>
      </c>
      <c r="J4" s="230">
        <v>0.90375939849624065</v>
      </c>
      <c r="K4" s="230">
        <v>0.95040116703136401</v>
      </c>
      <c r="L4" s="230">
        <v>0.87704918032786883</v>
      </c>
      <c r="M4" s="230">
        <v>0.88235294117647056</v>
      </c>
      <c r="N4" s="230">
        <v>0.86383787207093099</v>
      </c>
      <c r="O4" s="230">
        <v>0.90228426395939088</v>
      </c>
      <c r="P4" s="230">
        <v>0.92692307692307696</v>
      </c>
      <c r="Q4" s="230">
        <v>0.93709884467265725</v>
      </c>
      <c r="R4" s="230">
        <v>1.0038535645472062</v>
      </c>
      <c r="S4" s="230">
        <v>1.0109536082474226</v>
      </c>
      <c r="T4" s="230">
        <v>0.94305381727158943</v>
      </c>
      <c r="U4" s="230">
        <v>0.94707347447073476</v>
      </c>
      <c r="V4" s="230">
        <v>1.1523378582202111</v>
      </c>
      <c r="W4" s="230">
        <v>1.2914188615123194</v>
      </c>
      <c r="X4" s="230">
        <v>1.1730449251247921</v>
      </c>
      <c r="Y4" s="230">
        <v>1.0245587106676899</v>
      </c>
      <c r="Z4" s="230">
        <v>0.93769470404984423</v>
      </c>
      <c r="AA4" s="230">
        <v>0.85842696629213489</v>
      </c>
      <c r="AB4" s="230">
        <v>0.79912023460410553</v>
      </c>
      <c r="AC4" s="230">
        <v>0.7580872011251758</v>
      </c>
      <c r="AD4" s="230">
        <v>0.72821576763485474</v>
      </c>
      <c r="AE4" s="230">
        <v>0.75342465753424659</v>
      </c>
      <c r="AF4" s="230">
        <v>0.67306461932181705</v>
      </c>
      <c r="AG4" s="230">
        <v>0.65710643722116002</v>
      </c>
      <c r="AH4" s="294">
        <v>0.69741207697412078</v>
      </c>
      <c r="AI4" s="294">
        <v>0.70874424720578566</v>
      </c>
      <c r="AJ4" s="294">
        <v>0.67997382198952883</v>
      </c>
      <c r="AK4" s="294">
        <v>0.70986842105263159</v>
      </c>
      <c r="AL4" s="294">
        <v>0.7737588652482269</v>
      </c>
      <c r="AM4" s="294">
        <v>0.86891385767790263</v>
      </c>
      <c r="AN4" s="294">
        <v>1.037375415282392</v>
      </c>
      <c r="AO4" s="294">
        <v>1.0654450261780104</v>
      </c>
      <c r="AP4" s="294">
        <v>1.1119266055045871</v>
      </c>
      <c r="AQ4" s="294">
        <v>1.1419294990723563</v>
      </c>
      <c r="AR4" s="294">
        <v>1.1633428300094968</v>
      </c>
      <c r="AS4" s="294">
        <v>1.0554545454545454</v>
      </c>
      <c r="AT4" s="294">
        <v>1.0941064638783271</v>
      </c>
      <c r="AU4" s="294">
        <v>1.1454898157129001</v>
      </c>
      <c r="AV4" s="294">
        <v>1.1208372978116079</v>
      </c>
      <c r="AW4" s="294">
        <v>1.049165120593692</v>
      </c>
      <c r="AX4" s="294">
        <v>1.1058710298363812</v>
      </c>
      <c r="AY4" s="294">
        <v>1.051899907321594</v>
      </c>
      <c r="AZ4" s="294">
        <v>1.0485792850595783</v>
      </c>
      <c r="BA4" s="294">
        <v>0.93189655172413788</v>
      </c>
      <c r="BB4" s="294">
        <v>0.89271417133706965</v>
      </c>
      <c r="BC4" s="294">
        <v>1.0033003300330032</v>
      </c>
      <c r="BD4" s="294">
        <v>0.98700243704305446</v>
      </c>
      <c r="BE4" s="294">
        <v>0.98700243704305446</v>
      </c>
      <c r="BF4" s="294">
        <v>1.0138775510204081</v>
      </c>
      <c r="BG4" s="294">
        <v>1.0749354005167959</v>
      </c>
      <c r="BH4" s="294">
        <v>1.0721112076455257</v>
      </c>
      <c r="BI4" s="294">
        <v>1.0372565622353938</v>
      </c>
      <c r="BJ4" s="294">
        <v>1.0390492359932089</v>
      </c>
      <c r="BK4" s="294">
        <v>1.0848806366047745</v>
      </c>
      <c r="BL4" s="294">
        <v>1.0652741514360313</v>
      </c>
      <c r="BM4" s="294">
        <v>1.0317180616740087</v>
      </c>
      <c r="BN4" s="294">
        <v>1.0472027972027973</v>
      </c>
    </row>
    <row r="5" spans="1:66" ht="15.75" thickBot="1" x14ac:dyDescent="0.3">
      <c r="A5" s="292" t="s">
        <v>16</v>
      </c>
      <c r="B5" s="230">
        <v>0.99257007767646066</v>
      </c>
      <c r="C5" s="230">
        <v>0.93608046722907201</v>
      </c>
      <c r="D5" s="230">
        <v>0.90112359550561794</v>
      </c>
      <c r="E5" s="230">
        <v>0.88328998699609884</v>
      </c>
      <c r="F5" s="230">
        <v>0.826645264847512</v>
      </c>
      <c r="G5" s="230">
        <v>0.76202531645569616</v>
      </c>
      <c r="H5" s="230">
        <v>0.72572298325722984</v>
      </c>
      <c r="I5" s="230">
        <v>0.70541931577353922</v>
      </c>
      <c r="J5" s="230">
        <v>0.66696402022004164</v>
      </c>
      <c r="K5" s="230">
        <v>0.65935716431360769</v>
      </c>
      <c r="L5" s="230">
        <v>0.66152422091946927</v>
      </c>
      <c r="M5" s="230">
        <v>0.66232114467408587</v>
      </c>
      <c r="N5" s="230">
        <v>0.62258687258687262</v>
      </c>
      <c r="O5" s="230">
        <v>0.63903743315508021</v>
      </c>
      <c r="P5" s="230">
        <v>0.64103436543041847</v>
      </c>
      <c r="Q5" s="230">
        <v>0.64194107452339688</v>
      </c>
      <c r="R5" s="230">
        <v>0.65550409690060563</v>
      </c>
      <c r="S5" s="230">
        <v>0.67132867132867136</v>
      </c>
      <c r="T5" s="230">
        <v>0.70718446601941742</v>
      </c>
      <c r="U5" s="230">
        <v>0.75664451827242529</v>
      </c>
      <c r="V5" s="230">
        <v>0.72944630872483218</v>
      </c>
      <c r="W5" s="230">
        <v>0.72875536480686698</v>
      </c>
      <c r="X5" s="230">
        <v>0.75434685688809633</v>
      </c>
      <c r="Y5" s="230">
        <v>0.75717539863325745</v>
      </c>
      <c r="Z5" s="230">
        <v>0.73320895522388063</v>
      </c>
      <c r="AA5" s="230">
        <v>0.74843975036005761</v>
      </c>
      <c r="AB5" s="230">
        <v>0.78863049095607241</v>
      </c>
      <c r="AC5" s="230">
        <v>0.80125523012552302</v>
      </c>
      <c r="AD5" s="230">
        <v>0.83014861995753719</v>
      </c>
      <c r="AE5" s="230">
        <v>0.83153347732181426</v>
      </c>
      <c r="AF5" s="230">
        <v>0.86956521739130432</v>
      </c>
      <c r="AG5" s="230">
        <v>0.89364035087719296</v>
      </c>
      <c r="AH5" s="294">
        <v>0.9022515101592532</v>
      </c>
      <c r="AI5" s="294">
        <v>0.92151481888035125</v>
      </c>
      <c r="AJ5" s="294">
        <v>0.95629672225416906</v>
      </c>
      <c r="AK5" s="294">
        <v>0.99705535924617195</v>
      </c>
      <c r="AL5" s="294">
        <v>1.0029550827423168</v>
      </c>
      <c r="AM5" s="294">
        <v>1.0276774969915765</v>
      </c>
      <c r="AN5" s="294">
        <v>1.11323155216285</v>
      </c>
      <c r="AO5" s="294">
        <v>1.1674150096215523</v>
      </c>
      <c r="AP5" s="294">
        <v>1.245740498034076</v>
      </c>
      <c r="AQ5" s="294">
        <v>1.2454308093994777</v>
      </c>
      <c r="AR5" s="294">
        <v>1.1854219948849105</v>
      </c>
      <c r="AS5" s="294">
        <v>1.2058441558441559</v>
      </c>
      <c r="AT5" s="294">
        <v>1.1575</v>
      </c>
      <c r="AU5" s="294">
        <v>1.0791411042944785</v>
      </c>
      <c r="AV5" s="294">
        <v>1.0602556299452222</v>
      </c>
      <c r="AW5" s="294">
        <v>1.0172721858248959</v>
      </c>
      <c r="AX5" s="294">
        <v>1.058929645219483</v>
      </c>
      <c r="AY5" s="294">
        <v>1.060838747784997</v>
      </c>
      <c r="AZ5" s="294">
        <v>1.0601060695344726</v>
      </c>
      <c r="BA5" s="294">
        <v>1.0802107728337236</v>
      </c>
      <c r="BB5" s="294">
        <v>1.0605714285714285</v>
      </c>
      <c r="BC5" s="294">
        <v>0.95791688584955281</v>
      </c>
      <c r="BD5" s="294">
        <v>0.95125786163522008</v>
      </c>
      <c r="BE5" s="294">
        <v>0.95125786163522008</v>
      </c>
      <c r="BF5" s="294">
        <v>1.0048543689320388</v>
      </c>
      <c r="BG5" s="294">
        <v>1.0226171243941842</v>
      </c>
      <c r="BH5" s="294">
        <v>1.0140388768898487</v>
      </c>
      <c r="BI5" s="294">
        <v>1.0886867538374077</v>
      </c>
      <c r="BJ5" s="294">
        <v>1.1228473019517795</v>
      </c>
      <c r="BK5" s="294">
        <v>1.1364168618266979</v>
      </c>
      <c r="BL5" s="294">
        <v>1.1039182282793867</v>
      </c>
      <c r="BM5" s="294">
        <v>1.1319599109131404</v>
      </c>
      <c r="BN5" s="294">
        <v>1.1345191773207337</v>
      </c>
    </row>
    <row r="6" spans="1:66" ht="15.75" thickBot="1" x14ac:dyDescent="0.3">
      <c r="A6" s="292" t="s">
        <v>30</v>
      </c>
      <c r="B6" s="230">
        <v>0.93</v>
      </c>
      <c r="C6" s="230">
        <v>0.90751976466262185</v>
      </c>
      <c r="D6" s="230">
        <v>0.86200618969597664</v>
      </c>
      <c r="E6" s="230">
        <v>0.81125888139916191</v>
      </c>
      <c r="F6" s="230">
        <v>0.78846504836649023</v>
      </c>
      <c r="G6" s="230">
        <v>0.73522543560265852</v>
      </c>
      <c r="H6" s="230">
        <v>0.69597132127005801</v>
      </c>
      <c r="I6" s="230">
        <v>0.70762639245929737</v>
      </c>
      <c r="J6" s="230">
        <v>0.70331950207468885</v>
      </c>
      <c r="K6" s="230">
        <v>0.72558386411889597</v>
      </c>
      <c r="L6" s="230">
        <v>0.75286083425618311</v>
      </c>
      <c r="M6" s="230">
        <v>0.76559833112080411</v>
      </c>
      <c r="N6" s="230">
        <v>0.7610379550735864</v>
      </c>
      <c r="O6" s="230">
        <v>0.72695517174461477</v>
      </c>
      <c r="P6" s="230">
        <v>0.73715651135005977</v>
      </c>
      <c r="Q6" s="230">
        <v>0.74068071312803885</v>
      </c>
      <c r="R6" s="230">
        <v>0.7581837381203802</v>
      </c>
      <c r="S6" s="230">
        <v>0.79070289692342244</v>
      </c>
      <c r="T6" s="230">
        <v>0.76157407407407407</v>
      </c>
      <c r="U6" s="230">
        <v>0.78524309797214753</v>
      </c>
      <c r="V6" s="230">
        <v>0.74908020603384839</v>
      </c>
      <c r="W6" s="230">
        <v>0.71034148704286748</v>
      </c>
      <c r="X6" s="230">
        <v>0.71902654867256632</v>
      </c>
      <c r="Y6" s="230">
        <v>0.67544501341136309</v>
      </c>
      <c r="Z6" s="230">
        <v>0.60897278744790395</v>
      </c>
      <c r="AA6" s="230">
        <v>0.58459251919742383</v>
      </c>
      <c r="AB6" s="230">
        <v>0.61068702290076338</v>
      </c>
      <c r="AC6" s="230">
        <v>0.61505605979711697</v>
      </c>
      <c r="AD6" s="230">
        <v>0.59562398703403563</v>
      </c>
      <c r="AE6" s="230">
        <v>0.59600656455142231</v>
      </c>
      <c r="AF6" s="230">
        <v>0.57994428969359335</v>
      </c>
      <c r="AG6" s="230">
        <v>0.56944049985799494</v>
      </c>
      <c r="AH6" s="294">
        <v>0.61610942249240119</v>
      </c>
      <c r="AI6" s="294">
        <v>0.60018668326073432</v>
      </c>
      <c r="AJ6" s="294">
        <v>0.57891290111329408</v>
      </c>
      <c r="AK6" s="294">
        <v>0.59086259802250252</v>
      </c>
      <c r="AL6" s="294">
        <v>0.5675213675213675</v>
      </c>
      <c r="AM6" s="294">
        <v>0.61949458483754516</v>
      </c>
      <c r="AN6" s="294">
        <v>0.72705314009661837</v>
      </c>
      <c r="AO6" s="294">
        <v>0.74661016949152548</v>
      </c>
      <c r="AP6" s="294">
        <v>0.63791666666666669</v>
      </c>
      <c r="AQ6" s="294">
        <v>0.63454861111111116</v>
      </c>
      <c r="AR6" s="294">
        <v>0.65623582766439914</v>
      </c>
      <c r="AS6" s="294">
        <v>0.66681964203763189</v>
      </c>
      <c r="AT6" s="294">
        <v>0.66330451488952935</v>
      </c>
      <c r="AU6" s="294">
        <v>0.65137157107231924</v>
      </c>
      <c r="AV6" s="294">
        <v>0.59940799210656137</v>
      </c>
      <c r="AW6" s="294">
        <v>0.61067910834629346</v>
      </c>
      <c r="AX6" s="294">
        <v>0.68721719457013575</v>
      </c>
      <c r="AY6" s="294">
        <v>0.70571263704558573</v>
      </c>
      <c r="AZ6" s="294">
        <v>0.74518072289156623</v>
      </c>
      <c r="BA6" s="294">
        <v>0.72435897435897434</v>
      </c>
      <c r="BB6" s="294">
        <v>0.67109634551495012</v>
      </c>
      <c r="BC6" s="294">
        <v>0.79359895493141741</v>
      </c>
      <c r="BD6" s="294">
        <v>0.84404924760601918</v>
      </c>
      <c r="BE6" s="294">
        <v>0.84404924760601918</v>
      </c>
      <c r="BF6" s="294">
        <v>0.84865238424326195</v>
      </c>
      <c r="BG6" s="294">
        <v>0.82794218857536128</v>
      </c>
      <c r="BH6" s="294">
        <v>0.90441708906589424</v>
      </c>
      <c r="BI6" s="294">
        <v>1</v>
      </c>
      <c r="BJ6" s="294">
        <v>1.0798353909465022</v>
      </c>
      <c r="BK6" s="294">
        <v>1.134125636672326</v>
      </c>
      <c r="BL6" s="294">
        <v>1.1382716049382715</v>
      </c>
      <c r="BM6" s="294">
        <v>1.1340964840556009</v>
      </c>
      <c r="BN6" s="294">
        <v>1.1592562651576395</v>
      </c>
    </row>
    <row r="7" spans="1:66" ht="15.75" thickBot="1" x14ac:dyDescent="0.3">
      <c r="A7" s="292" t="s">
        <v>31</v>
      </c>
      <c r="B7" s="230">
        <v>2.1220976781425138</v>
      </c>
      <c r="C7" s="230">
        <v>2.2863140218303948</v>
      </c>
      <c r="D7" s="230">
        <v>2.3720439189189189</v>
      </c>
      <c r="E7" s="230">
        <v>0.84586255259467036</v>
      </c>
      <c r="F7" s="230">
        <v>2.361972357116175</v>
      </c>
      <c r="G7" s="230">
        <v>2.1829632084852504</v>
      </c>
      <c r="H7" s="230">
        <v>2.1659402241594021</v>
      </c>
      <c r="I7" s="230">
        <v>2.2334483840602446</v>
      </c>
      <c r="J7" s="230">
        <v>2.2496147919876734</v>
      </c>
      <c r="K7" s="230">
        <v>2.1650253655625185</v>
      </c>
      <c r="L7" s="230">
        <v>1.8626073380171742</v>
      </c>
      <c r="M7" s="230">
        <v>1.6313481071098799</v>
      </c>
      <c r="N7" s="230">
        <v>1.4567176692517292</v>
      </c>
      <c r="O7" s="230">
        <v>1.3683481701285856</v>
      </c>
      <c r="P7" s="230">
        <v>1.2876815695151858</v>
      </c>
      <c r="Q7" s="230">
        <v>1.2462357693720161</v>
      </c>
      <c r="R7" s="230">
        <v>1.1830158447569876</v>
      </c>
      <c r="S7" s="230">
        <v>1.1047919084728901</v>
      </c>
      <c r="T7" s="230">
        <v>1.0651589435394591</v>
      </c>
      <c r="U7" s="230">
        <v>1.0192833282720923</v>
      </c>
      <c r="V7" s="230">
        <v>0.97110823630875376</v>
      </c>
      <c r="W7" s="230">
        <v>0.99339702163529087</v>
      </c>
      <c r="X7" s="230">
        <v>0.95958904109589038</v>
      </c>
      <c r="Y7" s="230">
        <v>0.9416953824948312</v>
      </c>
      <c r="Z7" s="230">
        <v>0.91701592623637884</v>
      </c>
      <c r="AA7" s="230">
        <v>0.90547615678505733</v>
      </c>
      <c r="AB7" s="230">
        <v>0.9661870503597122</v>
      </c>
      <c r="AC7" s="230">
        <v>1.0106982796009831</v>
      </c>
      <c r="AD7" s="230">
        <v>1.0443891004980954</v>
      </c>
      <c r="AE7" s="230">
        <v>1.076027700014734</v>
      </c>
      <c r="AF7" s="230">
        <v>1.1297215951843491</v>
      </c>
      <c r="AG7" s="230">
        <v>1.1487318024913702</v>
      </c>
      <c r="AH7" s="294">
        <v>1.1300668151447661</v>
      </c>
      <c r="AI7" s="294">
        <v>1.1963354684939669</v>
      </c>
      <c r="AJ7" s="294">
        <v>1.1542332741267023</v>
      </c>
      <c r="AK7" s="294">
        <v>1.0998444350162637</v>
      </c>
      <c r="AL7" s="294">
        <v>1.1182012847965739</v>
      </c>
      <c r="AM7" s="294">
        <v>1.1857435597189696</v>
      </c>
      <c r="AN7" s="294">
        <v>1.3065204143814748</v>
      </c>
      <c r="AO7" s="294">
        <v>1.3809970307860604</v>
      </c>
      <c r="AP7" s="294">
        <v>1.2933730454207</v>
      </c>
      <c r="AQ7" s="294">
        <v>1.2284365612930912</v>
      </c>
      <c r="AR7" s="294">
        <v>1.1795483237480713</v>
      </c>
      <c r="AS7" s="294">
        <v>0.99685675797036377</v>
      </c>
      <c r="AT7" s="294">
        <v>0.99519020550940096</v>
      </c>
      <c r="AU7" s="294">
        <v>1.1069324875396467</v>
      </c>
      <c r="AV7" s="294">
        <v>1.1910112359550562</v>
      </c>
      <c r="AW7" s="294">
        <v>1.1665926254997778</v>
      </c>
      <c r="AX7" s="294">
        <v>1.2055417700578992</v>
      </c>
      <c r="AY7" s="294">
        <v>1.198659834450138</v>
      </c>
      <c r="AZ7" s="294">
        <v>1.2381332269644993</v>
      </c>
      <c r="BA7" s="294">
        <v>1.337386018237082</v>
      </c>
      <c r="BB7" s="294">
        <v>1.6270746887966805</v>
      </c>
      <c r="BC7" s="294">
        <v>1.4339093881363849</v>
      </c>
      <c r="BD7" s="294">
        <v>1.504367816091954</v>
      </c>
      <c r="BE7" s="294">
        <v>1.504367816091954</v>
      </c>
      <c r="BF7" s="294">
        <v>1.4952851369555455</v>
      </c>
      <c r="BG7" s="294">
        <v>1.4806306306306307</v>
      </c>
      <c r="BH7" s="294">
        <v>1.4358523725834798</v>
      </c>
      <c r="BI7" s="294">
        <v>1.2795742939009416</v>
      </c>
      <c r="BJ7" s="294">
        <v>1.1833962264150943</v>
      </c>
      <c r="BK7" s="294">
        <v>1.1778370144706778</v>
      </c>
      <c r="BL7" s="294">
        <v>1.1499142367066895</v>
      </c>
      <c r="BM7" s="294">
        <v>1.0101940151266031</v>
      </c>
      <c r="BN7" s="294">
        <v>1.1040592783505154</v>
      </c>
    </row>
    <row r="8" spans="1:66" ht="15.75" thickBot="1" x14ac:dyDescent="0.3">
      <c r="A8" s="292" t="s">
        <v>21</v>
      </c>
      <c r="B8" s="230">
        <v>0.66171456405260598</v>
      </c>
      <c r="C8" s="230">
        <v>0.5954324931960715</v>
      </c>
      <c r="D8" s="230">
        <v>0.57846844717560864</v>
      </c>
      <c r="E8" s="230">
        <v>1.1401120896717374</v>
      </c>
      <c r="F8" s="230">
        <v>0.4310829817158931</v>
      </c>
      <c r="G8" s="230">
        <v>0.35390753344285381</v>
      </c>
      <c r="H8" s="230">
        <v>0.28509017587095331</v>
      </c>
      <c r="I8" s="230">
        <v>0.23464818763326226</v>
      </c>
      <c r="J8" s="230">
        <v>0.20363247863247863</v>
      </c>
      <c r="K8" s="230">
        <v>0.21875</v>
      </c>
      <c r="L8" s="230">
        <v>0.2503899220155969</v>
      </c>
      <c r="M8" s="230">
        <v>0.29109225874867445</v>
      </c>
      <c r="N8" s="230">
        <v>0.33571322326342407</v>
      </c>
      <c r="O8" s="230">
        <v>0.39745762711864407</v>
      </c>
      <c r="P8" s="230">
        <v>0.45638571954361429</v>
      </c>
      <c r="Q8" s="230">
        <v>0.48290937996820349</v>
      </c>
      <c r="R8" s="230">
        <v>0.48049029622063327</v>
      </c>
      <c r="S8" s="230">
        <v>0.54868913857677903</v>
      </c>
      <c r="T8" s="230">
        <v>0.60603588907014683</v>
      </c>
      <c r="U8" s="230">
        <v>0.72612732095490717</v>
      </c>
      <c r="V8" s="230">
        <v>0.81257367387033397</v>
      </c>
      <c r="W8" s="230">
        <v>0.8764198091776465</v>
      </c>
      <c r="X8" s="230">
        <v>1.036726128016789</v>
      </c>
      <c r="Y8" s="230">
        <v>1.0404595404595405</v>
      </c>
      <c r="Z8" s="230">
        <v>1.1471011020603736</v>
      </c>
      <c r="AA8" s="230">
        <v>1.1161202185792349</v>
      </c>
      <c r="AB8" s="230">
        <v>1.0642445724412937</v>
      </c>
      <c r="AC8" s="230">
        <v>0.96673773987206824</v>
      </c>
      <c r="AD8" s="230">
        <v>0.844758064516129</v>
      </c>
      <c r="AE8" s="230">
        <v>0.91646090534979419</v>
      </c>
      <c r="AF8" s="230">
        <v>0.97236394557823125</v>
      </c>
      <c r="AG8" s="230">
        <v>0.94155290102389078</v>
      </c>
      <c r="AH8" s="294">
        <v>0.9982054733064154</v>
      </c>
      <c r="AI8" s="294">
        <v>1.0278538812785387</v>
      </c>
      <c r="AJ8" s="294">
        <v>1.1692456479690523</v>
      </c>
      <c r="AK8" s="294">
        <v>1.3151892172109902</v>
      </c>
      <c r="AL8" s="294">
        <v>1.2687246963562753</v>
      </c>
      <c r="AM8" s="294">
        <v>1.1056168987037926</v>
      </c>
      <c r="AN8" s="294">
        <v>0.80534670008354214</v>
      </c>
      <c r="AO8" s="294">
        <v>0.77192982456140347</v>
      </c>
      <c r="AP8" s="294">
        <v>0.89134054954204833</v>
      </c>
      <c r="AQ8" s="294">
        <v>0.95941773268636965</v>
      </c>
      <c r="AR8" s="294">
        <v>1.0630071599045345</v>
      </c>
      <c r="AS8" s="294">
        <v>1.1318636176913597</v>
      </c>
      <c r="AT8" s="294">
        <v>1.1130944451844944</v>
      </c>
      <c r="AU8" s="294">
        <v>1.0749934674679906</v>
      </c>
      <c r="AV8" s="294">
        <v>1.0722638286690316</v>
      </c>
      <c r="AW8" s="294">
        <v>0.96911966131241445</v>
      </c>
      <c r="AX8" s="294">
        <v>1.0251346499102334</v>
      </c>
      <c r="AY8" s="294">
        <v>1.0356178474990356</v>
      </c>
      <c r="AZ8" s="294">
        <v>1.0214477211796247</v>
      </c>
      <c r="BA8" s="294">
        <v>0.98642142945315392</v>
      </c>
      <c r="BB8" s="294">
        <v>0.93540111940298509</v>
      </c>
      <c r="BC8" s="294">
        <v>0.93459988485895218</v>
      </c>
      <c r="BD8" s="294">
        <v>0.93991616208663253</v>
      </c>
      <c r="BE8" s="294">
        <v>0.93991616208663253</v>
      </c>
      <c r="BF8" s="294">
        <v>0.97633487929599239</v>
      </c>
      <c r="BG8" s="294">
        <v>1.0112509073312363</v>
      </c>
      <c r="BH8" s="294">
        <v>1.0147199617041647</v>
      </c>
      <c r="BI8" s="294">
        <v>1.0448468643655811</v>
      </c>
      <c r="BJ8" s="294">
        <v>1.0681289057713514</v>
      </c>
      <c r="BK8" s="294">
        <v>1.1232172684054991</v>
      </c>
      <c r="BL8" s="294">
        <v>1.1533650237678259</v>
      </c>
      <c r="BM8" s="294">
        <v>1.1708467842066055</v>
      </c>
      <c r="BN8" s="294">
        <v>1.1988501437320336</v>
      </c>
    </row>
    <row r="9" spans="1:66" ht="15.75" thickBot="1" x14ac:dyDescent="0.3">
      <c r="A9" s="292" t="s">
        <v>32</v>
      </c>
      <c r="B9" s="230">
        <v>1.0749810174639332</v>
      </c>
      <c r="C9" s="230">
        <v>1.0126304228445908</v>
      </c>
      <c r="D9" s="230">
        <v>1.0349560761346999</v>
      </c>
      <c r="E9" s="230">
        <v>0.97865528281750269</v>
      </c>
      <c r="F9" s="230">
        <v>0.90145228215767637</v>
      </c>
      <c r="G9" s="230">
        <v>0.85579561042524011</v>
      </c>
      <c r="H9" s="230">
        <v>0.77905073649754497</v>
      </c>
      <c r="I9" s="230">
        <v>0.74605954465849389</v>
      </c>
      <c r="J9" s="230">
        <v>0.7103600758054327</v>
      </c>
      <c r="K9" s="230">
        <v>0.7024544734758511</v>
      </c>
      <c r="L9" s="230">
        <v>0.68840579710144922</v>
      </c>
      <c r="M9" s="230">
        <v>0.6413881748071979</v>
      </c>
      <c r="N9" s="230">
        <v>0.6190397895429135</v>
      </c>
      <c r="O9" s="230">
        <v>0.61885315637229876</v>
      </c>
      <c r="P9" s="230">
        <v>0.62917181705809644</v>
      </c>
      <c r="Q9" s="230">
        <v>0.62346348517715111</v>
      </c>
      <c r="R9" s="230">
        <v>0.56887709991158264</v>
      </c>
      <c r="S9" s="230">
        <v>0.56070519810977826</v>
      </c>
      <c r="T9" s="230">
        <v>0.57288070579209815</v>
      </c>
      <c r="U9" s="230">
        <v>0.56822280104187539</v>
      </c>
      <c r="V9" s="230">
        <v>0.56701680672268906</v>
      </c>
      <c r="W9" s="230">
        <v>0.54822876653862573</v>
      </c>
      <c r="X9" s="230">
        <v>0.56847487772343264</v>
      </c>
      <c r="Y9" s="230">
        <v>0.54350766456266908</v>
      </c>
      <c r="Z9" s="230">
        <v>0.52163742690058479</v>
      </c>
      <c r="AA9" s="230">
        <v>0.51352705410821642</v>
      </c>
      <c r="AB9" s="230">
        <v>0.53784860557768921</v>
      </c>
      <c r="AC9" s="230">
        <v>0.52955732746769313</v>
      </c>
      <c r="AD9" s="230">
        <v>0.50912152680325573</v>
      </c>
      <c r="AE9" s="230">
        <v>0.52073064656422152</v>
      </c>
      <c r="AF9" s="230">
        <v>0.57071806030463168</v>
      </c>
      <c r="AG9" s="230">
        <v>0.57698541329011344</v>
      </c>
      <c r="AH9" s="294">
        <v>0.59055908938734514</v>
      </c>
      <c r="AI9" s="294">
        <v>0.62023977433004229</v>
      </c>
      <c r="AJ9" s="294">
        <v>0.62319377547239718</v>
      </c>
      <c r="AK9" s="294">
        <v>0.65550797975866093</v>
      </c>
      <c r="AL9" s="294">
        <v>0.63394603050449749</v>
      </c>
      <c r="AM9" s="294">
        <v>0.69680630443799252</v>
      </c>
      <c r="AN9" s="294">
        <v>0.75156950672645739</v>
      </c>
      <c r="AO9" s="294">
        <v>0.8546341463414634</v>
      </c>
      <c r="AP9" s="294">
        <v>0.86716049382716054</v>
      </c>
      <c r="AQ9" s="294">
        <v>0.89356178608515058</v>
      </c>
      <c r="AR9" s="294">
        <v>0.94046306504961408</v>
      </c>
      <c r="AS9" s="294">
        <v>0.93262806236080176</v>
      </c>
      <c r="AT9" s="294">
        <v>0.89869281045751637</v>
      </c>
      <c r="AU9" s="294">
        <v>0.9353932584269663</v>
      </c>
      <c r="AV9" s="294">
        <v>0.94047619047619047</v>
      </c>
      <c r="AW9" s="294">
        <v>0.93234792495736218</v>
      </c>
      <c r="AX9" s="294">
        <v>1.0101070154577882</v>
      </c>
      <c r="AY9" s="294">
        <v>1.0065320665083135</v>
      </c>
      <c r="AZ9" s="294">
        <v>1.0518198642813079</v>
      </c>
      <c r="BA9" s="294">
        <v>1.0321428571428573</v>
      </c>
      <c r="BB9" s="294">
        <v>1.0948687350835322</v>
      </c>
      <c r="BC9" s="294">
        <v>1.076879271070615</v>
      </c>
      <c r="BD9" s="294">
        <v>1.1690877396862289</v>
      </c>
      <c r="BE9" s="294">
        <v>1.1690877396862289</v>
      </c>
      <c r="BF9" s="294">
        <v>1.2080890973036342</v>
      </c>
      <c r="BG9" s="294">
        <v>1.2728358208955224</v>
      </c>
      <c r="BH9" s="294">
        <v>1.3454545454545455</v>
      </c>
      <c r="BI9" s="294">
        <v>1.3453453453453454</v>
      </c>
      <c r="BJ9" s="294">
        <v>1.3224834237492464</v>
      </c>
      <c r="BK9" s="294">
        <v>1.3347560975609756</v>
      </c>
      <c r="BL9" s="294">
        <v>1.3337257210123603</v>
      </c>
      <c r="BM9" s="294">
        <v>1.3728613569321535</v>
      </c>
      <c r="BN9" s="294">
        <v>1.3771260997067449</v>
      </c>
    </row>
    <row r="10" spans="1:66" ht="15.75" thickBot="1" x14ac:dyDescent="0.3">
      <c r="A10" s="292" t="s">
        <v>42</v>
      </c>
      <c r="B10" s="230">
        <v>11.760869565217391</v>
      </c>
      <c r="C10" s="230">
        <v>6.6883116883116882</v>
      </c>
      <c r="D10" s="230">
        <v>5.4395604395604398</v>
      </c>
      <c r="E10" s="230">
        <v>2.7861635220125787</v>
      </c>
      <c r="F10" s="230">
        <v>1.892018779342723</v>
      </c>
      <c r="G10" s="230">
        <v>1.1808510638297873</v>
      </c>
      <c r="H10" s="230">
        <v>0.83480825958702065</v>
      </c>
      <c r="I10" s="230">
        <v>0.6975476839237057</v>
      </c>
      <c r="J10" s="230">
        <v>0.40723981900452488</v>
      </c>
      <c r="K10" s="230">
        <v>0.37582417582417582</v>
      </c>
      <c r="L10" s="230">
        <v>0.36462882096069871</v>
      </c>
      <c r="M10" s="230">
        <v>0.33190578158458245</v>
      </c>
      <c r="N10" s="230">
        <v>0.19001919385796545</v>
      </c>
      <c r="O10" s="230">
        <v>0.12589928057553956</v>
      </c>
      <c r="P10" s="230">
        <v>0.1256931608133087</v>
      </c>
      <c r="Q10" s="230">
        <v>0.13980582524271845</v>
      </c>
      <c r="R10" s="230">
        <v>0.15757575757575756</v>
      </c>
      <c r="S10" s="230">
        <v>0.1670428893905192</v>
      </c>
      <c r="T10" s="230">
        <v>0.16129032258064516</v>
      </c>
      <c r="U10" s="230">
        <v>0.23723723723723725</v>
      </c>
      <c r="V10" s="230">
        <v>0.33922261484098942</v>
      </c>
      <c r="W10" s="230">
        <v>0.44921875</v>
      </c>
      <c r="X10" s="230">
        <v>0.69444444444444442</v>
      </c>
      <c r="Y10" s="230">
        <v>0.74269005847953218</v>
      </c>
      <c r="Z10" s="230">
        <v>0.76047904191616766</v>
      </c>
      <c r="AA10" s="230">
        <v>0.85806451612903223</v>
      </c>
      <c r="AB10" s="230">
        <v>1.8383838383838385</v>
      </c>
      <c r="AC10" s="230">
        <v>2.7142857142857144</v>
      </c>
      <c r="AD10" s="230">
        <v>2.9705882352941178</v>
      </c>
      <c r="AE10" s="230">
        <v>2.7916666666666665</v>
      </c>
      <c r="AF10" s="230">
        <v>3.2179487179487181</v>
      </c>
      <c r="AG10" s="230">
        <v>3.7837837837837838</v>
      </c>
      <c r="AH10" s="294">
        <v>4.3384615384615381</v>
      </c>
      <c r="AI10" s="294">
        <v>3.4556962025316458</v>
      </c>
      <c r="AJ10" s="294">
        <v>2.8229166666666665</v>
      </c>
      <c r="AK10" s="294">
        <v>2.2782608695652176</v>
      </c>
      <c r="AL10" s="294">
        <v>2.024</v>
      </c>
      <c r="AM10" s="294">
        <v>2.1181102362204722</v>
      </c>
      <c r="AN10" s="294">
        <v>2.1968503937007875</v>
      </c>
      <c r="AO10" s="294">
        <v>2.2406015037593985</v>
      </c>
      <c r="AP10" s="294">
        <v>1.4780219780219781</v>
      </c>
      <c r="AQ10" s="294">
        <v>1.4736842105263157</v>
      </c>
      <c r="AR10" s="294">
        <v>1.3366336633663367</v>
      </c>
      <c r="AS10" s="294">
        <v>1.4378109452736318</v>
      </c>
      <c r="AT10" s="294">
        <v>1.0199203187250996</v>
      </c>
      <c r="AU10" s="294">
        <v>0.9</v>
      </c>
      <c r="AV10" s="294">
        <v>0.8971631205673759</v>
      </c>
      <c r="AW10" s="294">
        <v>1.0695970695970696</v>
      </c>
      <c r="AX10" s="294">
        <v>1.088560885608856</v>
      </c>
      <c r="AY10" s="294">
        <v>1.1526717557251909</v>
      </c>
      <c r="AZ10" s="294">
        <v>1.3675889328063242</v>
      </c>
      <c r="BA10" s="294">
        <v>1.3234200743494424</v>
      </c>
      <c r="BB10" s="294">
        <v>1.3225806451612903</v>
      </c>
      <c r="BC10" s="294">
        <v>1.3048327137546469</v>
      </c>
      <c r="BD10" s="294">
        <v>1.2428571428571429</v>
      </c>
      <c r="BE10" s="294">
        <v>1.2428571428571429</v>
      </c>
      <c r="BF10" s="294">
        <v>1.2925925925925925</v>
      </c>
      <c r="BG10" s="294">
        <v>1.1314878892733564</v>
      </c>
      <c r="BH10" s="294">
        <v>1.26953125</v>
      </c>
      <c r="BI10" s="294">
        <v>1.3055555555555556</v>
      </c>
      <c r="BJ10" s="294">
        <v>1.3478260869565217</v>
      </c>
      <c r="BK10" s="294">
        <v>1.1952054794520548</v>
      </c>
      <c r="BL10" s="294">
        <v>1.3966101694915254</v>
      </c>
      <c r="BM10" s="294">
        <v>1.4072847682119205</v>
      </c>
      <c r="BN10" s="294">
        <v>1.1907514450867052</v>
      </c>
    </row>
    <row r="11" spans="1:66" ht="15.75" thickBot="1" x14ac:dyDescent="0.3">
      <c r="A11" s="292" t="s">
        <v>33</v>
      </c>
      <c r="B11" s="230">
        <v>2.3975903614457832</v>
      </c>
      <c r="C11" s="230">
        <v>2.2611111111111111</v>
      </c>
      <c r="D11" s="230">
        <v>2.0463917525773194</v>
      </c>
      <c r="E11" s="230">
        <v>2.2346938775510203</v>
      </c>
      <c r="F11" s="230">
        <v>2.4607329842931938</v>
      </c>
      <c r="G11" s="230">
        <v>2.3413461538461537</v>
      </c>
      <c r="H11" s="230">
        <v>2.2811059907834101</v>
      </c>
      <c r="I11" s="230">
        <v>2.0543933054393304</v>
      </c>
      <c r="J11" s="230">
        <v>1.5238095238095237</v>
      </c>
      <c r="K11" s="230">
        <v>1.2413793103448276</v>
      </c>
      <c r="L11" s="230">
        <v>1.2118644067796611</v>
      </c>
      <c r="M11" s="230">
        <v>1.1187335092348285</v>
      </c>
      <c r="N11" s="230">
        <v>0.99511002444987773</v>
      </c>
      <c r="O11" s="230">
        <v>1.0552763819095476</v>
      </c>
      <c r="P11" s="230">
        <v>1.1030150753768844</v>
      </c>
      <c r="Q11" s="230">
        <v>1.0491400491400491</v>
      </c>
      <c r="R11" s="230">
        <v>1.1259445843828715</v>
      </c>
      <c r="S11" s="230">
        <v>0.99315068493150682</v>
      </c>
      <c r="T11" s="230">
        <v>0.90851063829787237</v>
      </c>
      <c r="U11" s="230">
        <v>0.85010266940451751</v>
      </c>
      <c r="V11" s="230">
        <v>0.84848484848484851</v>
      </c>
      <c r="W11" s="230">
        <v>0.8716904276985743</v>
      </c>
      <c r="X11" s="230">
        <v>1.0267857142857142</v>
      </c>
      <c r="Y11" s="230">
        <v>1.0393518518518519</v>
      </c>
      <c r="Z11" s="230">
        <v>1.0629370629370629</v>
      </c>
      <c r="AA11" s="230">
        <v>1.1155660377358489</v>
      </c>
      <c r="AB11" s="230">
        <v>1.203931203931204</v>
      </c>
      <c r="AC11" s="230">
        <v>1.1857142857142857</v>
      </c>
      <c r="AD11" s="230">
        <v>1.2277904328018223</v>
      </c>
      <c r="AE11" s="230">
        <v>1.3934426229508197</v>
      </c>
      <c r="AF11" s="230">
        <v>1.378076062639821</v>
      </c>
      <c r="AG11" s="230">
        <v>1.5862068965517242</v>
      </c>
      <c r="AH11" s="294">
        <v>1.7611241217798594</v>
      </c>
      <c r="AI11" s="294">
        <v>2.0072463768115942</v>
      </c>
      <c r="AJ11" s="294">
        <v>2.092857142857143</v>
      </c>
      <c r="AK11" s="294">
        <v>2.2126168224299065</v>
      </c>
      <c r="AL11" s="294">
        <v>2.1369565217391306</v>
      </c>
      <c r="AM11" s="294">
        <v>2.22271714922049</v>
      </c>
      <c r="AN11" s="294">
        <v>2.3267543859649122</v>
      </c>
      <c r="AO11" s="294">
        <v>2.3340380549682873</v>
      </c>
      <c r="AP11" s="294">
        <v>2.3387755102040817</v>
      </c>
      <c r="AQ11" s="294">
        <v>2.3594377510040161</v>
      </c>
      <c r="AR11" s="294">
        <v>2.1576994434137293</v>
      </c>
      <c r="AS11" s="294">
        <v>1.9260504201680673</v>
      </c>
      <c r="AT11" s="294">
        <v>1.8392857142857142</v>
      </c>
      <c r="AU11" s="294">
        <v>1.5681159420289854</v>
      </c>
      <c r="AV11" s="294">
        <v>1.4095744680851063</v>
      </c>
      <c r="AW11" s="294">
        <v>1.2286401925391095</v>
      </c>
      <c r="AX11" s="294">
        <v>1.1501706484641638</v>
      </c>
      <c r="AY11" s="294">
        <v>0.99788806758183735</v>
      </c>
      <c r="AZ11" s="294">
        <v>0.94506612410986779</v>
      </c>
      <c r="BA11" s="294">
        <v>0.91482965931863724</v>
      </c>
      <c r="BB11" s="294">
        <v>0.82469368520263897</v>
      </c>
      <c r="BC11" s="294">
        <v>0.71640488656195467</v>
      </c>
      <c r="BD11" s="294">
        <v>0.67404255319148931</v>
      </c>
      <c r="BE11" s="294">
        <v>0.67404255319148931</v>
      </c>
      <c r="BF11" s="294">
        <v>0.66036113499570082</v>
      </c>
      <c r="BG11" s="294">
        <v>0.6657940663176265</v>
      </c>
      <c r="BH11" s="294">
        <v>0.6575463371579876</v>
      </c>
      <c r="BI11" s="294">
        <v>0.67190388170055448</v>
      </c>
      <c r="BJ11" s="294">
        <v>0.63113207547169814</v>
      </c>
      <c r="BK11" s="294">
        <v>0.62683643486777674</v>
      </c>
      <c r="BL11" s="294">
        <v>0.6162215628090999</v>
      </c>
      <c r="BM11" s="294">
        <v>0.67407407407407405</v>
      </c>
      <c r="BN11" s="294">
        <v>0.66200215285252961</v>
      </c>
    </row>
    <row r="12" spans="1:66" ht="15.75" thickBot="1" x14ac:dyDescent="0.3">
      <c r="A12" s="292" t="s">
        <v>34</v>
      </c>
      <c r="B12" s="230">
        <v>0.60602937387271327</v>
      </c>
      <c r="C12" s="230">
        <v>0.60437532946758044</v>
      </c>
      <c r="D12" s="230">
        <v>0.57825283716020059</v>
      </c>
      <c r="E12" s="230">
        <v>0.5056179775280899</v>
      </c>
      <c r="F12" s="230">
        <v>0.49156626506024098</v>
      </c>
      <c r="G12" s="230">
        <v>0.46068329718004336</v>
      </c>
      <c r="H12" s="230">
        <v>0.43368881596937381</v>
      </c>
      <c r="I12" s="230">
        <v>0.43305322128851542</v>
      </c>
      <c r="J12" s="230">
        <v>0.40941309895094979</v>
      </c>
      <c r="K12" s="230">
        <v>0.39696188019489825</v>
      </c>
      <c r="L12" s="230">
        <v>0.39330543933054396</v>
      </c>
      <c r="M12" s="230">
        <v>0.42251223491027734</v>
      </c>
      <c r="N12" s="230">
        <v>0.47636103151862463</v>
      </c>
      <c r="O12" s="230">
        <v>0.51581413510347518</v>
      </c>
      <c r="P12" s="230">
        <v>0.54421768707482998</v>
      </c>
      <c r="Q12" s="230">
        <v>0.56476232010466643</v>
      </c>
      <c r="R12" s="230">
        <v>0.59196713829301684</v>
      </c>
      <c r="S12" s="230">
        <v>0.67183462532299743</v>
      </c>
      <c r="T12" s="230">
        <v>0.67156862745098034</v>
      </c>
      <c r="U12" s="230">
        <v>0.72807533843437311</v>
      </c>
      <c r="V12" s="230">
        <v>0.77301387137452715</v>
      </c>
      <c r="W12" s="230">
        <v>0.82664941785252266</v>
      </c>
      <c r="X12" s="230">
        <v>0.88296398891966754</v>
      </c>
      <c r="Y12" s="230">
        <v>0.8895306859205776</v>
      </c>
      <c r="Z12" s="230">
        <v>0.90957446808510634</v>
      </c>
      <c r="AA12" s="230">
        <v>0.88030888030888033</v>
      </c>
      <c r="AB12" s="230">
        <v>0.80150375939849627</v>
      </c>
      <c r="AC12" s="230">
        <v>0.79182437547312645</v>
      </c>
      <c r="AD12" s="230">
        <v>0.81328124999999996</v>
      </c>
      <c r="AE12" s="230">
        <v>0.77374517374517371</v>
      </c>
      <c r="AF12" s="230">
        <v>0.74787972243639167</v>
      </c>
      <c r="AG12" s="230">
        <v>0.71846153846153848</v>
      </c>
      <c r="AH12" s="294">
        <v>0.78021086780210869</v>
      </c>
      <c r="AI12" s="294">
        <v>0.85852869846402591</v>
      </c>
      <c r="AJ12" s="294">
        <v>0.85154975530179444</v>
      </c>
      <c r="AK12" s="294">
        <v>0.76291079812206575</v>
      </c>
      <c r="AL12" s="294">
        <v>0.76549019607843138</v>
      </c>
      <c r="AM12" s="294">
        <v>0.82792207792207795</v>
      </c>
      <c r="AN12" s="294">
        <v>0.87802840434419382</v>
      </c>
      <c r="AO12" s="294">
        <v>0.9754385964912281</v>
      </c>
      <c r="AP12" s="294">
        <v>1.0440900562851783</v>
      </c>
      <c r="AQ12" s="294">
        <v>1.1022944550669216</v>
      </c>
      <c r="AR12" s="294">
        <v>1.0826128722382324</v>
      </c>
      <c r="AS12" s="294">
        <v>1.1487025948103793</v>
      </c>
      <c r="AT12" s="294">
        <v>1.1845360824742268</v>
      </c>
      <c r="AU12" s="294">
        <v>1.2805139186295502</v>
      </c>
      <c r="AV12" s="294">
        <v>1.2390852390852392</v>
      </c>
      <c r="AW12" s="294">
        <v>1.0084745762711864</v>
      </c>
      <c r="AX12" s="294">
        <v>1.0804597701149425</v>
      </c>
      <c r="AY12" s="294">
        <v>1.2</v>
      </c>
      <c r="AZ12" s="294">
        <v>1.1782786885245902</v>
      </c>
      <c r="BA12" s="294">
        <v>1.165686274509804</v>
      </c>
      <c r="BB12" s="294">
        <v>1.159847764034253</v>
      </c>
      <c r="BC12" s="294">
        <v>1.1293800539083558</v>
      </c>
      <c r="BD12" s="294">
        <v>1.0537727666955767</v>
      </c>
      <c r="BE12" s="294">
        <v>1.0537727666955767</v>
      </c>
      <c r="BF12" s="294">
        <v>1.1047027506654836</v>
      </c>
      <c r="BG12" s="294">
        <v>1.0842745438748913</v>
      </c>
      <c r="BH12" s="294">
        <v>1.0844212358572671</v>
      </c>
      <c r="BI12" s="294">
        <v>1.028428093645485</v>
      </c>
      <c r="BJ12" s="294">
        <v>1.0151006711409396</v>
      </c>
      <c r="BK12" s="294">
        <v>1.1167133520074697</v>
      </c>
      <c r="BL12" s="294">
        <v>1.051418439716312</v>
      </c>
      <c r="BM12" s="294">
        <v>1.023076923076923</v>
      </c>
      <c r="BN12" s="294">
        <v>1.057391304347826</v>
      </c>
    </row>
    <row r="13" spans="1:66" ht="15.75" thickBot="1" x14ac:dyDescent="0.3">
      <c r="A13" s="292" t="s">
        <v>22</v>
      </c>
      <c r="B13" s="230">
        <v>1.4710144927536233</v>
      </c>
      <c r="C13" s="230">
        <v>1.5342465753424657</v>
      </c>
      <c r="D13" s="230">
        <v>1.3806451612903226</v>
      </c>
      <c r="E13" s="230">
        <v>1.3416149068322982</v>
      </c>
      <c r="F13" s="230">
        <v>1.4876543209876543</v>
      </c>
      <c r="G13" s="230">
        <v>1.4484848484848485</v>
      </c>
      <c r="H13" s="230">
        <v>1.51875</v>
      </c>
      <c r="I13" s="230">
        <v>1.5214723926380369</v>
      </c>
      <c r="J13" s="230">
        <v>1.3043478260869565</v>
      </c>
      <c r="K13" s="230">
        <v>1.2383419689119171</v>
      </c>
      <c r="L13" s="230">
        <v>1.2291666666666667</v>
      </c>
      <c r="M13" s="230">
        <v>1.0610328638497653</v>
      </c>
      <c r="N13" s="230">
        <v>1.0426540284360191</v>
      </c>
      <c r="O13" s="230">
        <v>1.1365853658536584</v>
      </c>
      <c r="P13" s="230">
        <v>1.2364532019704433</v>
      </c>
      <c r="Q13" s="230">
        <v>1.1026785714285714</v>
      </c>
      <c r="R13" s="230">
        <v>1.1869158878504673</v>
      </c>
      <c r="S13" s="230">
        <v>1.1666666666666667</v>
      </c>
      <c r="T13" s="230">
        <v>1.0124481327800829</v>
      </c>
      <c r="U13" s="230">
        <v>1.0753138075313808</v>
      </c>
      <c r="V13" s="230">
        <v>1.1069958847736625</v>
      </c>
      <c r="W13" s="230">
        <v>1.1451612903225807</v>
      </c>
      <c r="X13" s="230">
        <v>1.2458333333333333</v>
      </c>
      <c r="Y13" s="230">
        <v>1.2635983263598327</v>
      </c>
      <c r="Z13" s="230">
        <v>1.3389830508474576</v>
      </c>
      <c r="AA13" s="230">
        <v>1.4646017699115044</v>
      </c>
      <c r="AB13" s="230">
        <v>1.5772727272727274</v>
      </c>
      <c r="AC13" s="230">
        <v>1.5278969957081545</v>
      </c>
      <c r="AD13" s="230">
        <v>1.3585657370517927</v>
      </c>
      <c r="AE13" s="230">
        <v>1.3522267206477734</v>
      </c>
      <c r="AF13" s="230">
        <v>1.3858267716535433</v>
      </c>
      <c r="AG13" s="230">
        <v>1.4523809523809523</v>
      </c>
      <c r="AH13" s="294">
        <v>1.610655737704918</v>
      </c>
      <c r="AI13" s="294">
        <v>1.5291828793774318</v>
      </c>
      <c r="AJ13" s="294">
        <v>1.4312267657992566</v>
      </c>
      <c r="AK13" s="294">
        <v>1.2605633802816902</v>
      </c>
      <c r="AL13" s="294">
        <v>1.2608695652173914</v>
      </c>
      <c r="AM13" s="294">
        <v>1.2582781456953642</v>
      </c>
      <c r="AN13" s="294">
        <v>1.2120253164556962</v>
      </c>
      <c r="AO13" s="294">
        <v>1.1208459214501512</v>
      </c>
      <c r="AP13" s="294">
        <v>1.0403458213256485</v>
      </c>
      <c r="AQ13" s="294">
        <v>0.9859550561797753</v>
      </c>
      <c r="AR13" s="294">
        <v>1.0469208211143695</v>
      </c>
      <c r="AS13" s="294">
        <v>1.0299401197604789</v>
      </c>
      <c r="AT13" s="294">
        <v>0.94602272727272729</v>
      </c>
      <c r="AU13" s="294">
        <v>0.88524590163934425</v>
      </c>
      <c r="AV13" s="294">
        <v>0.7531806615776081</v>
      </c>
      <c r="AW13" s="294">
        <v>0.77353689567430028</v>
      </c>
      <c r="AX13" s="294">
        <v>0.82337662337662343</v>
      </c>
      <c r="AY13" s="294">
        <v>0.92458100558659218</v>
      </c>
      <c r="AZ13" s="294">
        <v>0.82493368700265257</v>
      </c>
      <c r="BA13" s="294">
        <v>0.81052631578947365</v>
      </c>
      <c r="BB13" s="294">
        <v>0.78851174934725854</v>
      </c>
      <c r="BC13" s="294">
        <v>0.86980609418282551</v>
      </c>
      <c r="BD13" s="294">
        <v>0.90313390313390318</v>
      </c>
      <c r="BE13" s="294">
        <v>0.90313390313390318</v>
      </c>
      <c r="BF13" s="294">
        <v>0.90196078431372551</v>
      </c>
      <c r="BG13" s="294">
        <v>0.96220930232558144</v>
      </c>
      <c r="BH13" s="294">
        <v>0.99099099099099097</v>
      </c>
      <c r="BI13" s="294">
        <v>1.0524691358024691</v>
      </c>
      <c r="BJ13" s="294">
        <v>1.1452702702702702</v>
      </c>
      <c r="BK13" s="294">
        <v>1.138157894736842</v>
      </c>
      <c r="BL13" s="294">
        <v>1.0694006309148265</v>
      </c>
      <c r="BM13" s="294">
        <v>1.0574018126888218</v>
      </c>
      <c r="BN13" s="294">
        <v>1.180064308681672</v>
      </c>
    </row>
    <row r="14" spans="1:66" ht="15.75" thickBot="1" x14ac:dyDescent="0.3">
      <c r="A14" s="292" t="s">
        <v>18</v>
      </c>
      <c r="B14" s="230">
        <v>1.1340579710144927</v>
      </c>
      <c r="C14" s="230">
        <v>1.1094586555621653</v>
      </c>
      <c r="D14" s="230">
        <v>1.0620245757753073</v>
      </c>
      <c r="E14" s="230">
        <v>0.99254587155963303</v>
      </c>
      <c r="F14" s="230">
        <v>1.0028985507246377</v>
      </c>
      <c r="G14" s="230">
        <v>0.95045558086560367</v>
      </c>
      <c r="H14" s="230">
        <v>0.89297297297297296</v>
      </c>
      <c r="I14" s="230">
        <v>0.83072916666666663</v>
      </c>
      <c r="J14" s="230">
        <v>0.84285714285714286</v>
      </c>
      <c r="K14" s="230">
        <v>0.84778012684989434</v>
      </c>
      <c r="L14" s="230">
        <v>0.84986737400530499</v>
      </c>
      <c r="M14" s="230">
        <v>0.81100726895119424</v>
      </c>
      <c r="N14" s="230">
        <v>0.82291666666666663</v>
      </c>
      <c r="O14" s="230">
        <v>0.82101977107180024</v>
      </c>
      <c r="P14" s="230">
        <v>0.85090521831735888</v>
      </c>
      <c r="Q14" s="230">
        <v>0.84343163538874</v>
      </c>
      <c r="R14" s="230">
        <v>0.90137741046831954</v>
      </c>
      <c r="S14" s="230">
        <v>0.9924898902368573</v>
      </c>
      <c r="T14" s="230">
        <v>1.0150289017341041</v>
      </c>
      <c r="U14" s="230">
        <v>1.0802875973636907</v>
      </c>
      <c r="V14" s="230">
        <v>1.1071428571428572</v>
      </c>
      <c r="W14" s="230">
        <v>1.161128526645768</v>
      </c>
      <c r="X14" s="230">
        <v>1.1613308223477714</v>
      </c>
      <c r="Y14" s="230">
        <v>1.1153366583541147</v>
      </c>
      <c r="Z14" s="230">
        <v>1.0543071161048689</v>
      </c>
      <c r="AA14" s="230">
        <v>1.0659411011523687</v>
      </c>
      <c r="AB14" s="230">
        <v>1.0373417721518987</v>
      </c>
      <c r="AC14" s="230">
        <v>1.0126742712294043</v>
      </c>
      <c r="AD14" s="230">
        <v>1.0037546933667083</v>
      </c>
      <c r="AE14" s="230">
        <v>1.0203432930705658</v>
      </c>
      <c r="AF14" s="230">
        <v>0.95660146699266502</v>
      </c>
      <c r="AG14" s="230">
        <v>0.8742724097788126</v>
      </c>
      <c r="AH14" s="294">
        <v>0.84282460136674264</v>
      </c>
      <c r="AI14" s="294">
        <v>0.86078757626178592</v>
      </c>
      <c r="AJ14" s="294">
        <v>0.84472389283761617</v>
      </c>
      <c r="AK14" s="294">
        <v>0.84503239740820735</v>
      </c>
      <c r="AL14" s="294">
        <v>0.85027027027027025</v>
      </c>
      <c r="AM14" s="294">
        <v>0.92230296254890998</v>
      </c>
      <c r="AN14" s="294">
        <v>1.0361160449970397</v>
      </c>
      <c r="AO14" s="294">
        <v>1.0948948948948949</v>
      </c>
      <c r="AP14" s="294">
        <v>1.1336180597925565</v>
      </c>
      <c r="AQ14" s="294">
        <v>1.1764705882352942</v>
      </c>
      <c r="AR14" s="294">
        <v>1.1701995012468829</v>
      </c>
      <c r="AS14" s="294">
        <v>1.1800623052959502</v>
      </c>
      <c r="AT14" s="294">
        <v>1.2421725239616614</v>
      </c>
      <c r="AU14" s="294">
        <v>1.3428761651131824</v>
      </c>
      <c r="AV14" s="294">
        <v>1.4189189189189189</v>
      </c>
      <c r="AW14" s="294">
        <v>1.3389175257731958</v>
      </c>
      <c r="AX14" s="294">
        <v>1.3650485436893205</v>
      </c>
      <c r="AY14" s="294">
        <v>1.3565495207667733</v>
      </c>
      <c r="AZ14" s="294">
        <v>1.3553719008264462</v>
      </c>
      <c r="BA14" s="294">
        <v>1.3084848484848486</v>
      </c>
      <c r="BB14" s="294">
        <v>1.2445714285714287</v>
      </c>
      <c r="BC14" s="294">
        <v>1.1512378902045211</v>
      </c>
      <c r="BD14" s="294">
        <v>1.1654255319148936</v>
      </c>
      <c r="BE14" s="294">
        <v>1.1654255319148936</v>
      </c>
      <c r="BF14" s="294">
        <v>1.1758124667021843</v>
      </c>
      <c r="BG14" s="294">
        <v>1.174234424498416</v>
      </c>
      <c r="BH14" s="294">
        <v>1.1414609053497942</v>
      </c>
      <c r="BI14" s="294">
        <v>1.1239464551313831</v>
      </c>
      <c r="BJ14" s="294">
        <v>1.0419047619047619</v>
      </c>
      <c r="BK14" s="294">
        <v>1.0476419634263716</v>
      </c>
      <c r="BL14" s="294">
        <v>1.1119013750592699</v>
      </c>
      <c r="BM14" s="294">
        <v>1.138954309938766</v>
      </c>
      <c r="BN14" s="294">
        <v>1.1604127579737336</v>
      </c>
    </row>
    <row r="15" spans="1:66" ht="15.75" thickBot="1" x14ac:dyDescent="0.3">
      <c r="A15" s="292" t="s">
        <v>24</v>
      </c>
      <c r="B15" s="230">
        <v>5.6858789625360231</v>
      </c>
      <c r="C15" s="230">
        <v>4.6589861751152073</v>
      </c>
      <c r="D15" s="230">
        <v>4.6973684210526319</v>
      </c>
      <c r="E15" s="230">
        <v>4.75</v>
      </c>
      <c r="F15" s="230">
        <v>5.2547770700636942</v>
      </c>
      <c r="G15" s="230">
        <v>3.5147058823529411</v>
      </c>
      <c r="H15" s="230">
        <v>3.1926020408163267</v>
      </c>
      <c r="I15" s="230">
        <v>2.7721382289416847</v>
      </c>
      <c r="J15" s="230">
        <v>2.3948863636363638</v>
      </c>
      <c r="K15" s="230">
        <v>2.161400512382579</v>
      </c>
      <c r="L15" s="230">
        <v>1.8354700854700854</v>
      </c>
      <c r="M15" s="230">
        <v>1.615819209039548</v>
      </c>
      <c r="N15" s="230">
        <v>1.4775440591245026</v>
      </c>
      <c r="O15" s="230">
        <v>1.3770234986945169</v>
      </c>
      <c r="P15" s="230">
        <v>1.2924480486568677</v>
      </c>
      <c r="Q15" s="230">
        <v>1.2833827893175074</v>
      </c>
      <c r="R15" s="230">
        <v>1.1699346405228759</v>
      </c>
      <c r="S15" s="230">
        <v>1.076514816452897</v>
      </c>
      <c r="T15" s="230">
        <v>0.9175757575757576</v>
      </c>
      <c r="U15" s="230">
        <v>0.94686192468619246</v>
      </c>
      <c r="V15" s="230">
        <v>0.85936875749101083</v>
      </c>
      <c r="W15" s="230">
        <v>0.79548110634982472</v>
      </c>
      <c r="X15" s="230">
        <v>0.80150257018584425</v>
      </c>
      <c r="Y15" s="230">
        <v>0.78625049387593837</v>
      </c>
      <c r="Z15" s="230">
        <v>0.70663562281722936</v>
      </c>
      <c r="AA15" s="230">
        <v>0.67055167055167053</v>
      </c>
      <c r="AB15" s="230">
        <v>0.62639476721816079</v>
      </c>
      <c r="AC15" s="230">
        <v>0.58172165339400839</v>
      </c>
      <c r="AD15" s="230">
        <v>0.59098039215686271</v>
      </c>
      <c r="AE15" s="230">
        <v>0.54720616570327552</v>
      </c>
      <c r="AF15" s="230">
        <v>0.5949720670391061</v>
      </c>
      <c r="AG15" s="230">
        <v>0.61791290057518489</v>
      </c>
      <c r="AH15" s="294">
        <v>0.67811536767943636</v>
      </c>
      <c r="AI15" s="294">
        <v>0.68272205037560763</v>
      </c>
      <c r="AJ15" s="294">
        <v>0.72338447233844727</v>
      </c>
      <c r="AK15" s="294">
        <v>0.77473065621939274</v>
      </c>
      <c r="AL15" s="294">
        <v>0.75875678342377895</v>
      </c>
      <c r="AM15" s="294">
        <v>0.76934673366834172</v>
      </c>
      <c r="AN15" s="294">
        <v>0.86216364634816034</v>
      </c>
      <c r="AO15" s="294">
        <v>0.921784472769409</v>
      </c>
      <c r="AP15" s="294">
        <v>1.0036855036855037</v>
      </c>
      <c r="AQ15" s="294">
        <v>1.0691003911342893</v>
      </c>
      <c r="AR15" s="294">
        <v>1.0935633709356336</v>
      </c>
      <c r="AS15" s="294">
        <v>1.1549295774647887</v>
      </c>
      <c r="AT15" s="294">
        <v>1.0878604963112006</v>
      </c>
      <c r="AU15" s="294">
        <v>1.0871010638297873</v>
      </c>
      <c r="AV15" s="294">
        <v>1.061038961038961</v>
      </c>
      <c r="AW15" s="294">
        <v>1.0576051779935276</v>
      </c>
      <c r="AX15" s="294">
        <v>1.0623393316195373</v>
      </c>
      <c r="AY15" s="294">
        <v>1.041087231352718</v>
      </c>
      <c r="AZ15" s="294">
        <v>1.1027308192457737</v>
      </c>
      <c r="BA15" s="294">
        <v>1.1156107119529719</v>
      </c>
      <c r="BB15" s="294">
        <v>1.0541401273885351</v>
      </c>
      <c r="BC15" s="294">
        <v>1.0201958384332925</v>
      </c>
      <c r="BD15" s="294">
        <v>1.0219512195121951</v>
      </c>
      <c r="BE15" s="294">
        <v>1.0219512195121951</v>
      </c>
      <c r="BF15" s="294">
        <v>1.0078883495145632</v>
      </c>
      <c r="BG15" s="294">
        <v>1.0201219512195121</v>
      </c>
      <c r="BH15" s="294">
        <v>1.0302096177558571</v>
      </c>
      <c r="BI15" s="294">
        <v>1.0226299694189602</v>
      </c>
      <c r="BJ15" s="294">
        <v>1.0385556915544676</v>
      </c>
      <c r="BK15" s="294">
        <v>1.0361077111383108</v>
      </c>
      <c r="BL15" s="294">
        <v>1.0332728372655777</v>
      </c>
      <c r="BM15" s="294">
        <v>1.037037037037037</v>
      </c>
      <c r="BN15" s="294">
        <v>1.0188679245283019</v>
      </c>
    </row>
    <row r="16" spans="1:66" ht="15.75" thickBot="1" x14ac:dyDescent="0.3">
      <c r="A16" s="292" t="s">
        <v>20</v>
      </c>
      <c r="B16" s="230">
        <v>1.0491308974813764</v>
      </c>
      <c r="C16" s="230">
        <v>1.0086430423509076</v>
      </c>
      <c r="D16" s="230">
        <v>0.99966577540106949</v>
      </c>
      <c r="E16" s="230">
        <v>0.96179812283879462</v>
      </c>
      <c r="F16" s="230">
        <v>0.98305084745762716</v>
      </c>
      <c r="G16" s="230">
        <v>0.95119570522205954</v>
      </c>
      <c r="H16" s="230">
        <v>0.90004641807210273</v>
      </c>
      <c r="I16" s="230">
        <v>0.9027648337993166</v>
      </c>
      <c r="J16" s="230">
        <v>0.93045830681094843</v>
      </c>
      <c r="K16" s="230">
        <v>0.89190446650124067</v>
      </c>
      <c r="L16" s="230">
        <v>0.94202196382428938</v>
      </c>
      <c r="M16" s="230">
        <v>0.93487087867467922</v>
      </c>
      <c r="N16" s="230">
        <v>0.93956314665790774</v>
      </c>
      <c r="O16" s="230">
        <v>0.9291286307053942</v>
      </c>
      <c r="P16" s="230">
        <v>0.95638207945900255</v>
      </c>
      <c r="Q16" s="230">
        <v>0.97172236503856046</v>
      </c>
      <c r="R16" s="230">
        <v>0.90103644266131733</v>
      </c>
      <c r="S16" s="230">
        <v>0.88906009244992301</v>
      </c>
      <c r="T16" s="230">
        <v>0.85209601081812036</v>
      </c>
      <c r="U16" s="230">
        <v>0.83701043270053022</v>
      </c>
      <c r="V16" s="230">
        <v>0.81124290871583293</v>
      </c>
      <c r="W16" s="230">
        <v>0.79611149346180321</v>
      </c>
      <c r="X16" s="230">
        <v>0.78775440396784679</v>
      </c>
      <c r="Y16" s="230">
        <v>0.76178055990262561</v>
      </c>
      <c r="Z16" s="230">
        <v>0.68472484141950973</v>
      </c>
      <c r="AA16" s="230">
        <v>0.65375260597637253</v>
      </c>
      <c r="AB16" s="230">
        <v>0.6236671910505156</v>
      </c>
      <c r="AC16" s="230">
        <v>0.62718828152911754</v>
      </c>
      <c r="AD16" s="230">
        <v>0.59625243061693478</v>
      </c>
      <c r="AE16" s="230">
        <v>0.58677248677248672</v>
      </c>
      <c r="AF16" s="230">
        <v>0.60575139146567714</v>
      </c>
      <c r="AG16" s="230">
        <v>0.60523782014249949</v>
      </c>
      <c r="AH16" s="294">
        <v>0.59869073596508626</v>
      </c>
      <c r="AI16" s="294">
        <v>0.59317531671434409</v>
      </c>
      <c r="AJ16" s="294">
        <v>0.58614113159567705</v>
      </c>
      <c r="AK16" s="294">
        <v>0.57618327209855202</v>
      </c>
      <c r="AL16" s="294">
        <v>0.54559270516717329</v>
      </c>
      <c r="AM16" s="294">
        <v>0.57338507190139243</v>
      </c>
      <c r="AN16" s="294">
        <v>0.64496745117676513</v>
      </c>
      <c r="AO16" s="294">
        <v>0.67153866595801226</v>
      </c>
      <c r="AP16" s="294">
        <v>0.68581838565022424</v>
      </c>
      <c r="AQ16" s="294">
        <v>0.67416690401594992</v>
      </c>
      <c r="AR16" s="294">
        <v>0.68069967388081831</v>
      </c>
      <c r="AS16" s="294">
        <v>0.69522091974752032</v>
      </c>
      <c r="AT16" s="294">
        <v>0.68330781010719754</v>
      </c>
      <c r="AU16" s="294">
        <v>0.69996818326439703</v>
      </c>
      <c r="AV16" s="294">
        <v>0.69449966865473822</v>
      </c>
      <c r="AW16" s="294">
        <v>0.70995521873923528</v>
      </c>
      <c r="AX16" s="294">
        <v>0.73861171366594358</v>
      </c>
      <c r="AY16" s="294">
        <v>0.76631657914478624</v>
      </c>
      <c r="AZ16" s="294">
        <v>0.81018702745722249</v>
      </c>
      <c r="BA16" s="294">
        <v>0.80095541401273884</v>
      </c>
      <c r="BB16" s="294">
        <v>0.76203416149068326</v>
      </c>
      <c r="BC16" s="294">
        <v>0.76052308949734371</v>
      </c>
      <c r="BD16" s="294">
        <v>0.77651035065483731</v>
      </c>
      <c r="BE16" s="294">
        <v>0.77651035065483731</v>
      </c>
      <c r="BF16" s="294">
        <v>0.79921602787456447</v>
      </c>
      <c r="BG16" s="294">
        <v>0.76178123648940765</v>
      </c>
      <c r="BH16" s="294">
        <v>0.79426266248319144</v>
      </c>
      <c r="BI16" s="294">
        <v>0.79954545454545456</v>
      </c>
      <c r="BJ16" s="294">
        <v>0.82729007633587781</v>
      </c>
      <c r="BK16" s="294">
        <v>0.79961183891314891</v>
      </c>
      <c r="BL16" s="294">
        <v>0.80323054331864907</v>
      </c>
      <c r="BM16" s="294">
        <v>0.8120411160058737</v>
      </c>
      <c r="BN16" s="294">
        <v>0.81483300589390961</v>
      </c>
    </row>
    <row r="17" spans="1:66" ht="15.75" thickBot="1" x14ac:dyDescent="0.3">
      <c r="A17" s="292" t="s">
        <v>19</v>
      </c>
      <c r="B17" s="230">
        <v>1.1002638522427441</v>
      </c>
      <c r="C17" s="230">
        <v>1.0682196339434276</v>
      </c>
      <c r="D17" s="230">
        <v>1.0244527247321844</v>
      </c>
      <c r="E17" s="230">
        <v>1.0136574074074074</v>
      </c>
      <c r="F17" s="230">
        <v>1.0057790106333795</v>
      </c>
      <c r="G17" s="230">
        <v>0.94077042974838565</v>
      </c>
      <c r="H17" s="230">
        <v>0.89598811292719172</v>
      </c>
      <c r="I17" s="230">
        <v>0.84732824427480913</v>
      </c>
      <c r="J17" s="230">
        <v>0.83208645054031583</v>
      </c>
      <c r="K17" s="230">
        <v>0.83909962484368483</v>
      </c>
      <c r="L17" s="230">
        <v>0.81207218419415061</v>
      </c>
      <c r="M17" s="230">
        <v>0.76874231872183529</v>
      </c>
      <c r="N17" s="230">
        <v>0.78400852878464822</v>
      </c>
      <c r="O17" s="230">
        <v>0.79286029087703835</v>
      </c>
      <c r="P17" s="230">
        <v>0.75168955744495314</v>
      </c>
      <c r="Q17" s="230">
        <v>0.75634178905206939</v>
      </c>
      <c r="R17" s="230">
        <v>0.76312798363264378</v>
      </c>
      <c r="S17" s="230">
        <v>0.72390956839461063</v>
      </c>
      <c r="T17" s="230">
        <v>0.6954723052171915</v>
      </c>
      <c r="U17" s="230">
        <v>0.69538461538461538</v>
      </c>
      <c r="V17" s="230">
        <v>0.65458422174840081</v>
      </c>
      <c r="W17" s="230">
        <v>0.65644022400779156</v>
      </c>
      <c r="X17" s="230">
        <v>0.67657342657342656</v>
      </c>
      <c r="Y17" s="230">
        <v>0.62046696472925977</v>
      </c>
      <c r="Z17" s="230">
        <v>0.59182630906768841</v>
      </c>
      <c r="AA17" s="230">
        <v>0.58300026645350389</v>
      </c>
      <c r="AB17" s="230">
        <v>0.60375305955942349</v>
      </c>
      <c r="AC17" s="230">
        <v>0.59032795997776544</v>
      </c>
      <c r="AD17" s="230">
        <v>0.59947795823665895</v>
      </c>
      <c r="AE17" s="230">
        <v>0.61106207708149451</v>
      </c>
      <c r="AF17" s="230">
        <v>0.5907059874888293</v>
      </c>
      <c r="AG17" s="230">
        <v>0.61419558359621451</v>
      </c>
      <c r="AH17" s="294">
        <v>0.62524785194976862</v>
      </c>
      <c r="AI17" s="294">
        <v>0.6123213070115725</v>
      </c>
      <c r="AJ17" s="294">
        <v>0.64784654361201588</v>
      </c>
      <c r="AK17" s="294">
        <v>0.65281899109792285</v>
      </c>
      <c r="AL17" s="294">
        <v>0.63824289405684753</v>
      </c>
      <c r="AM17" s="294">
        <v>0.70176140912730189</v>
      </c>
      <c r="AN17" s="294">
        <v>0.7596029348295209</v>
      </c>
      <c r="AO17" s="294">
        <v>0.81992687385740404</v>
      </c>
      <c r="AP17" s="294">
        <v>0.76801801801801806</v>
      </c>
      <c r="AQ17" s="294">
        <v>0.81214689265536721</v>
      </c>
      <c r="AR17" s="294">
        <v>0.8306724721819061</v>
      </c>
      <c r="AS17" s="294">
        <v>0.80019258545979777</v>
      </c>
      <c r="AT17" s="294">
        <v>0.83408976298537574</v>
      </c>
      <c r="AU17" s="294">
        <v>0.8341037493579867</v>
      </c>
      <c r="AV17" s="294">
        <v>0.84778012684989434</v>
      </c>
      <c r="AW17" s="294">
        <v>0.86881600889382993</v>
      </c>
      <c r="AX17" s="294">
        <v>0.85418994413407823</v>
      </c>
      <c r="AY17" s="294">
        <v>0.84090909090909094</v>
      </c>
      <c r="AZ17" s="294">
        <v>0.84499710815500284</v>
      </c>
      <c r="BA17" s="294">
        <v>0.82373074729035933</v>
      </c>
      <c r="BB17" s="294">
        <v>0.81761363636363638</v>
      </c>
      <c r="BC17" s="294">
        <v>0.79237536656891494</v>
      </c>
      <c r="BD17" s="294">
        <v>0.73275362318840576</v>
      </c>
      <c r="BE17" s="294">
        <v>0.73275362318840576</v>
      </c>
      <c r="BF17" s="294">
        <v>0.74315666860803731</v>
      </c>
      <c r="BG17" s="294">
        <v>0.77316486161251508</v>
      </c>
      <c r="BH17" s="294">
        <v>0.77025392986698915</v>
      </c>
      <c r="BI17" s="294">
        <v>0.76970443349753692</v>
      </c>
      <c r="BJ17" s="294">
        <v>0.74127182044887785</v>
      </c>
      <c r="BK17" s="294">
        <v>0.75751759436980171</v>
      </c>
      <c r="BL17" s="294">
        <v>0.78155657292347935</v>
      </c>
      <c r="BM17" s="294">
        <v>0.83445945945945943</v>
      </c>
      <c r="BN17" s="294">
        <v>0.85078713210130053</v>
      </c>
    </row>
    <row r="18" spans="1:66" ht="15.75" thickBot="1" x14ac:dyDescent="0.3">
      <c r="A18" s="292" t="s">
        <v>35</v>
      </c>
      <c r="B18" s="230">
        <v>1.4034749034749034</v>
      </c>
      <c r="C18" s="230">
        <v>1.4581673306772909</v>
      </c>
      <c r="D18" s="230">
        <v>1.298342541436464</v>
      </c>
      <c r="E18" s="230">
        <v>1.3592592592592592</v>
      </c>
      <c r="F18" s="230">
        <v>1.318918918918919</v>
      </c>
      <c r="G18" s="230">
        <v>1.4048059149722736</v>
      </c>
      <c r="H18" s="230">
        <v>1.2713310580204777</v>
      </c>
      <c r="I18" s="230">
        <v>1.152037617554859</v>
      </c>
      <c r="J18" s="230">
        <v>1.0729166666666667</v>
      </c>
      <c r="K18" s="230">
        <v>1.0683506686478454</v>
      </c>
      <c r="L18" s="230">
        <v>1.0548340548340549</v>
      </c>
      <c r="M18" s="230">
        <v>1.0333333333333334</v>
      </c>
      <c r="N18" s="230">
        <v>1.0509641873278237</v>
      </c>
      <c r="O18" s="230">
        <v>1.0796221322537112</v>
      </c>
      <c r="P18" s="230">
        <v>1.1458046767537826</v>
      </c>
      <c r="Q18" s="230">
        <v>1.1612021857923498</v>
      </c>
      <c r="R18" s="230">
        <v>1.2113475177304964</v>
      </c>
      <c r="S18" s="230">
        <v>1.2029972752043596</v>
      </c>
      <c r="T18" s="230">
        <v>1.2540983606557377</v>
      </c>
      <c r="U18" s="230">
        <v>1.2223684210526315</v>
      </c>
      <c r="V18" s="230">
        <v>1.3100671140939597</v>
      </c>
      <c r="W18" s="230">
        <v>1.3945578231292517</v>
      </c>
      <c r="X18" s="230">
        <v>1.4299583911234397</v>
      </c>
      <c r="Y18" s="230">
        <v>1.4311543810848402</v>
      </c>
      <c r="Z18" s="230">
        <v>1.3926128590971272</v>
      </c>
      <c r="AA18" s="230">
        <v>1.293010752688172</v>
      </c>
      <c r="AB18" s="230">
        <v>1.254259501965924</v>
      </c>
      <c r="AC18" s="230">
        <v>1.2737499999999999</v>
      </c>
      <c r="AD18" s="230">
        <v>1.2881152460984393</v>
      </c>
      <c r="AE18" s="230">
        <v>1.3094117647058823</v>
      </c>
      <c r="AF18" s="230">
        <v>1.3594847775175645</v>
      </c>
      <c r="AG18" s="230">
        <v>1.318233295583239</v>
      </c>
      <c r="AH18" s="294">
        <v>1.3366013071895424</v>
      </c>
      <c r="AI18" s="294">
        <v>1.3670613562970937</v>
      </c>
      <c r="AJ18" s="294">
        <v>1.2776639344262295</v>
      </c>
      <c r="AK18" s="294">
        <v>1.2253658536585366</v>
      </c>
      <c r="AL18" s="294">
        <v>1.2647914645974783</v>
      </c>
      <c r="AM18" s="294">
        <v>1.3041788143828961</v>
      </c>
      <c r="AN18" s="294">
        <v>1.3742632612966601</v>
      </c>
      <c r="AO18" s="294">
        <v>1.5644490644490645</v>
      </c>
      <c r="AP18" s="294">
        <v>1.6562173458725182</v>
      </c>
      <c r="AQ18" s="294">
        <v>1.576054955839058</v>
      </c>
      <c r="AR18" s="294">
        <v>1.418452935694315</v>
      </c>
      <c r="AS18" s="294">
        <v>1.3081761006289307</v>
      </c>
      <c r="AT18" s="294">
        <v>1.227390180878553</v>
      </c>
      <c r="AU18" s="294">
        <v>1.2525773195876289</v>
      </c>
      <c r="AV18" s="294">
        <v>1.1988590057049715</v>
      </c>
      <c r="AW18" s="294">
        <v>1.1598425196850393</v>
      </c>
      <c r="AX18" s="294">
        <v>1.2068965517241379</v>
      </c>
      <c r="AY18" s="294">
        <v>1.2205414012738853</v>
      </c>
      <c r="AZ18" s="294">
        <v>1.1395705521472392</v>
      </c>
      <c r="BA18" s="294">
        <v>1.1125186289120714</v>
      </c>
      <c r="BB18" s="294">
        <v>1.087205146533238</v>
      </c>
      <c r="BC18" s="294">
        <v>0.93375394321766558</v>
      </c>
      <c r="BD18" s="294">
        <v>0.8511830635118306</v>
      </c>
      <c r="BE18" s="294">
        <v>0.8511830635118306</v>
      </c>
      <c r="BF18" s="294">
        <v>0.9329829172141918</v>
      </c>
      <c r="BG18" s="294">
        <v>0.99244505494505497</v>
      </c>
      <c r="BH18" s="294">
        <v>1.0463157894736843</v>
      </c>
      <c r="BI18" s="294">
        <v>1.0233196159122084</v>
      </c>
      <c r="BJ18" s="294">
        <v>0.9551325628823929</v>
      </c>
      <c r="BK18" s="294">
        <v>0.90563475899524781</v>
      </c>
      <c r="BL18" s="294">
        <v>0.9102990033222591</v>
      </c>
      <c r="BM18" s="294">
        <v>0.86888454011741678</v>
      </c>
      <c r="BN18" s="294">
        <v>0.90915208613728127</v>
      </c>
    </row>
    <row r="19" spans="1:66" ht="15.75" thickBot="1" x14ac:dyDescent="0.3">
      <c r="A19" s="292" t="s">
        <v>36</v>
      </c>
      <c r="B19" s="230">
        <v>0.80122532334921714</v>
      </c>
      <c r="C19" s="230">
        <v>0.78475033738191635</v>
      </c>
      <c r="D19" s="230">
        <v>0.81593794076163606</v>
      </c>
      <c r="E19" s="230">
        <v>0.77744133232399693</v>
      </c>
      <c r="F19" s="230">
        <v>0.69011976047904189</v>
      </c>
      <c r="G19" s="230">
        <v>0.67056245434623818</v>
      </c>
      <c r="H19" s="230">
        <v>0.59850034083162917</v>
      </c>
      <c r="I19" s="230">
        <v>0.5587655942219304</v>
      </c>
      <c r="J19" s="230">
        <v>0.57535164099129266</v>
      </c>
      <c r="K19" s="230">
        <v>0.55495978552278824</v>
      </c>
      <c r="L19" s="230">
        <v>0.60189919649379109</v>
      </c>
      <c r="M19" s="230">
        <v>0.58210059171597628</v>
      </c>
      <c r="N19" s="230">
        <v>0.61192873741285825</v>
      </c>
      <c r="O19" s="230">
        <v>0.62418300653594772</v>
      </c>
      <c r="P19" s="230">
        <v>0.63211554800339842</v>
      </c>
      <c r="Q19" s="230">
        <v>0.63972484952708508</v>
      </c>
      <c r="R19" s="230">
        <v>0.61538461538461542</v>
      </c>
      <c r="S19" s="230">
        <v>0.68354430379746833</v>
      </c>
      <c r="T19" s="230">
        <v>0.75488069414316705</v>
      </c>
      <c r="U19" s="230">
        <v>0.76470588235294112</v>
      </c>
      <c r="V19" s="230">
        <v>0.78815489749430523</v>
      </c>
      <c r="W19" s="230">
        <v>0.78143360752056401</v>
      </c>
      <c r="X19" s="230">
        <v>0.76949941792782306</v>
      </c>
      <c r="Y19" s="230">
        <v>0.74758454106280192</v>
      </c>
      <c r="Z19" s="230">
        <v>0.70388349514563109</v>
      </c>
      <c r="AA19" s="230">
        <v>0.76620076238881829</v>
      </c>
      <c r="AB19" s="230">
        <v>0.75696202531645573</v>
      </c>
      <c r="AC19" s="230">
        <v>0.81413612565445026</v>
      </c>
      <c r="AD19" s="230">
        <v>0.85483870967741937</v>
      </c>
      <c r="AE19" s="230">
        <v>0.84677419354838712</v>
      </c>
      <c r="AF19" s="230">
        <v>0.9171348314606742</v>
      </c>
      <c r="AG19" s="230">
        <v>0.93447293447293445</v>
      </c>
      <c r="AH19" s="294">
        <v>0.98275862068965514</v>
      </c>
      <c r="AI19" s="294">
        <v>0.9330484330484331</v>
      </c>
      <c r="AJ19" s="294">
        <v>0.90895953757225434</v>
      </c>
      <c r="AK19" s="294">
        <v>0.95488721804511278</v>
      </c>
      <c r="AL19" s="294">
        <v>0.95763993948562787</v>
      </c>
      <c r="AM19" s="294">
        <v>1.0920840064620356</v>
      </c>
      <c r="AN19" s="294">
        <v>1.1775862068965517</v>
      </c>
      <c r="AO19" s="294">
        <v>1.097844112769486</v>
      </c>
      <c r="AP19" s="294">
        <v>1.0635451505016722</v>
      </c>
      <c r="AQ19" s="294">
        <v>1.0112540192926045</v>
      </c>
      <c r="AR19" s="294">
        <v>0.95597484276729561</v>
      </c>
      <c r="AS19" s="294">
        <v>0.97619047619047616</v>
      </c>
      <c r="AT19" s="294">
        <v>0.95252679938744256</v>
      </c>
      <c r="AU19" s="294">
        <v>0.9375</v>
      </c>
      <c r="AV19" s="294">
        <v>0.88742690058479534</v>
      </c>
      <c r="AW19" s="294">
        <v>0.94045801526717554</v>
      </c>
      <c r="AX19" s="294">
        <v>1.0047694753577106</v>
      </c>
      <c r="AY19" s="294">
        <v>0.99370078740157475</v>
      </c>
      <c r="AZ19" s="294">
        <v>0.99526066350710896</v>
      </c>
      <c r="BA19" s="294">
        <v>0.96301775147928992</v>
      </c>
      <c r="BB19" s="294">
        <v>0.98682284040995605</v>
      </c>
      <c r="BC19" s="294">
        <v>1.1336477987421383</v>
      </c>
      <c r="BD19" s="294">
        <v>1.1939586645468998</v>
      </c>
      <c r="BE19" s="294">
        <v>1.1939586645468998</v>
      </c>
      <c r="BF19" s="294">
        <v>1.294407894736842</v>
      </c>
      <c r="BG19" s="294">
        <v>1.269918699186992</v>
      </c>
      <c r="BH19" s="294">
        <v>1.252411575562701</v>
      </c>
      <c r="BI19" s="294">
        <v>1.3121951219512196</v>
      </c>
      <c r="BJ19" s="294">
        <v>1.2751235584843492</v>
      </c>
      <c r="BK19" s="294">
        <v>1.3084415584415585</v>
      </c>
      <c r="BL19" s="294">
        <v>1.4446202531645569</v>
      </c>
      <c r="BM19" s="294">
        <v>1.4801901743264658</v>
      </c>
      <c r="BN19" s="294">
        <v>1.5111111111111111</v>
      </c>
    </row>
    <row r="20" spans="1:66" ht="15.75" thickBot="1" x14ac:dyDescent="0.3">
      <c r="A20" s="292" t="s">
        <v>37</v>
      </c>
      <c r="B20" s="230">
        <v>3.4409594095940959</v>
      </c>
      <c r="C20" s="230">
        <v>3.728515625</v>
      </c>
      <c r="D20" s="230">
        <v>3.9122486288848264</v>
      </c>
      <c r="E20" s="230">
        <v>3.9300184162062615</v>
      </c>
      <c r="F20" s="230">
        <v>4.0092081031307547</v>
      </c>
      <c r="G20" s="230">
        <v>3.8435852372583481</v>
      </c>
      <c r="H20" s="230">
        <v>3.6498316498316496</v>
      </c>
      <c r="I20" s="230">
        <v>3.5243506493506493</v>
      </c>
      <c r="J20" s="230">
        <v>3.2846153846153845</v>
      </c>
      <c r="K20" s="230">
        <v>2.9696092619392185</v>
      </c>
      <c r="L20" s="230">
        <v>2.7952973720608574</v>
      </c>
      <c r="M20" s="230">
        <v>2.5176470588235293</v>
      </c>
      <c r="N20" s="230">
        <v>1.8823529411764706</v>
      </c>
      <c r="O20" s="230">
        <v>0.83641536273115225</v>
      </c>
      <c r="P20" s="230">
        <v>0.3774798927613941</v>
      </c>
      <c r="Q20" s="230">
        <v>0.34206390780513357</v>
      </c>
      <c r="R20" s="230">
        <v>0.16775700934579441</v>
      </c>
      <c r="S20" s="230">
        <v>0.15042174320524837</v>
      </c>
      <c r="T20" s="230">
        <v>0.11254019292604502</v>
      </c>
      <c r="U20" s="230">
        <v>9.0534979423868317E-2</v>
      </c>
      <c r="V20" s="230">
        <v>8.9483394833948335E-2</v>
      </c>
      <c r="W20" s="230">
        <v>0.3657300783049286</v>
      </c>
      <c r="X20" s="230">
        <v>0.49882903981264637</v>
      </c>
      <c r="Y20" s="230">
        <v>0.5199805068226121</v>
      </c>
      <c r="Z20" s="230">
        <v>0.56506679861454723</v>
      </c>
      <c r="AA20" s="230">
        <v>0.59138110072689509</v>
      </c>
      <c r="AB20" s="230">
        <v>0.66666666666666663</v>
      </c>
      <c r="AC20" s="230">
        <v>0.9787414965986394</v>
      </c>
      <c r="AD20" s="230">
        <v>2.0056818181818183</v>
      </c>
      <c r="AE20" s="230">
        <v>2.1638591117917305</v>
      </c>
      <c r="AF20" s="230">
        <v>3.9832869080779942</v>
      </c>
      <c r="AG20" s="230">
        <v>4.4672897196261685</v>
      </c>
      <c r="AH20" s="294">
        <v>5.963265306122449</v>
      </c>
      <c r="AI20" s="294">
        <v>8.1212121212121211</v>
      </c>
      <c r="AJ20" s="294">
        <v>8.2525773195876297</v>
      </c>
      <c r="AK20" s="294">
        <v>1.2468513853904282</v>
      </c>
      <c r="AL20" s="294">
        <v>0.65539906103286383</v>
      </c>
      <c r="AM20" s="294">
        <v>0.64948453608247425</v>
      </c>
      <c r="AN20" s="294">
        <v>0.49124343257443082</v>
      </c>
      <c r="AO20" s="294">
        <v>0.4925373134328358</v>
      </c>
      <c r="AP20" s="294">
        <v>0.47916666666666669</v>
      </c>
      <c r="AQ20" s="294">
        <v>0.47610773240660298</v>
      </c>
      <c r="AR20" s="294">
        <v>0.20184135977337112</v>
      </c>
      <c r="AS20" s="294">
        <v>0.20028308563340411</v>
      </c>
      <c r="AT20" s="294">
        <v>0.18391608391608391</v>
      </c>
      <c r="AU20" s="294">
        <v>0.1799163179916318</v>
      </c>
      <c r="AV20" s="294">
        <v>0.15605749486652978</v>
      </c>
      <c r="AW20" s="294">
        <v>0.38743781094527363</v>
      </c>
      <c r="AX20" s="294">
        <v>0.47407870081199249</v>
      </c>
      <c r="AY20" s="294">
        <v>0.75151515151515147</v>
      </c>
      <c r="AZ20" s="294">
        <v>1.0673352435530086</v>
      </c>
      <c r="BA20" s="294">
        <v>1.0721500721500721</v>
      </c>
      <c r="BB20" s="294">
        <v>1.3155080213903743</v>
      </c>
      <c r="BC20" s="294">
        <v>1.3405797101449275</v>
      </c>
      <c r="BD20" s="294">
        <v>1.3686131386861313</v>
      </c>
      <c r="BE20" s="294">
        <v>1.3686131386861313</v>
      </c>
      <c r="BF20" s="294">
        <v>2.6315789473684212</v>
      </c>
      <c r="BG20" s="294">
        <v>2.6501766784452299</v>
      </c>
      <c r="BH20" s="294">
        <v>2.8441064638783269</v>
      </c>
      <c r="BI20" s="294">
        <v>2.8798449612403099</v>
      </c>
      <c r="BJ20" s="294">
        <v>3.2543859649122808</v>
      </c>
      <c r="BK20" s="294">
        <v>0.4317817014446228</v>
      </c>
      <c r="BL20" s="294">
        <v>0.72068511198945984</v>
      </c>
      <c r="BM20" s="294">
        <v>0.84677419354838712</v>
      </c>
      <c r="BN20" s="294">
        <v>1.1154362416107382</v>
      </c>
    </row>
    <row r="21" spans="1:66" ht="15.75" thickBot="1" x14ac:dyDescent="0.3">
      <c r="A21" s="292" t="s">
        <v>38</v>
      </c>
      <c r="B21" s="230">
        <v>0.89194658033184948</v>
      </c>
      <c r="C21" s="230">
        <v>0.8645812310797174</v>
      </c>
      <c r="D21" s="230">
        <v>0.81657392686804453</v>
      </c>
      <c r="E21" s="230">
        <v>0.77505966587112174</v>
      </c>
      <c r="F21" s="230">
        <v>0.76082977425259302</v>
      </c>
      <c r="G21" s="230">
        <v>0.75345043914680054</v>
      </c>
      <c r="H21" s="230">
        <v>0.68975903614457834</v>
      </c>
      <c r="I21" s="230">
        <v>0.67656027647895911</v>
      </c>
      <c r="J21" s="230">
        <v>0.63459220570510244</v>
      </c>
      <c r="K21" s="230">
        <v>0.60386473429951693</v>
      </c>
      <c r="L21" s="230">
        <v>0.55792495386508101</v>
      </c>
      <c r="M21" s="230">
        <v>0.53930753564154787</v>
      </c>
      <c r="N21" s="230">
        <v>0.52802855343271049</v>
      </c>
      <c r="O21" s="230">
        <v>0.53439268611232038</v>
      </c>
      <c r="P21" s="230">
        <v>0.54401088929219599</v>
      </c>
      <c r="Q21" s="230">
        <v>0.54061624649859941</v>
      </c>
      <c r="R21" s="230">
        <v>0.55536626916524701</v>
      </c>
      <c r="S21" s="230">
        <v>0.57069540672312036</v>
      </c>
      <c r="T21" s="230">
        <v>0.58380112269446671</v>
      </c>
      <c r="U21" s="230">
        <v>0.59700249791840132</v>
      </c>
      <c r="V21" s="230">
        <v>0.61368267831149925</v>
      </c>
      <c r="W21" s="230">
        <v>0.61177884615384615</v>
      </c>
      <c r="X21" s="230">
        <v>0.63279518835074389</v>
      </c>
      <c r="Y21" s="230">
        <v>0.6343333333333333</v>
      </c>
      <c r="Z21" s="230">
        <v>0.66041896361631758</v>
      </c>
      <c r="AA21" s="230">
        <v>0.56382175226586106</v>
      </c>
      <c r="AB21" s="230">
        <v>0.56699801192842947</v>
      </c>
      <c r="AC21" s="230">
        <v>0.56171079429735238</v>
      </c>
      <c r="AD21" s="230">
        <v>0.56839032527105926</v>
      </c>
      <c r="AE21" s="230">
        <v>0.60233160621761661</v>
      </c>
      <c r="AF21" s="230">
        <v>0.6073619631901841</v>
      </c>
      <c r="AG21" s="230">
        <v>0.62050359712230219</v>
      </c>
      <c r="AH21" s="294">
        <v>0.66575091575091572</v>
      </c>
      <c r="AI21" s="294">
        <v>0.68619246861924688</v>
      </c>
      <c r="AJ21" s="294">
        <v>0.67125237191650855</v>
      </c>
      <c r="AK21" s="294">
        <v>0.69695481335952847</v>
      </c>
      <c r="AL21" s="294">
        <v>0.69734867433716863</v>
      </c>
      <c r="AM21" s="294">
        <v>0.74251182343667887</v>
      </c>
      <c r="AN21" s="294">
        <v>0.81524763494713415</v>
      </c>
      <c r="AO21" s="294">
        <v>0.99598124581379777</v>
      </c>
      <c r="AP21" s="294">
        <v>1.0988779803646564</v>
      </c>
      <c r="AQ21" s="294">
        <v>1.145032632342277</v>
      </c>
      <c r="AR21" s="294">
        <v>1.103448275862069</v>
      </c>
      <c r="AS21" s="294">
        <v>1.0566308243727598</v>
      </c>
      <c r="AT21" s="294">
        <v>1.0418470418470418</v>
      </c>
      <c r="AU21" s="294">
        <v>1.0108695652173914</v>
      </c>
      <c r="AV21" s="294">
        <v>0.91609353507565339</v>
      </c>
      <c r="AW21" s="294">
        <v>0.88821138211382111</v>
      </c>
      <c r="AX21" s="294">
        <v>0.98798586572438163</v>
      </c>
      <c r="AY21" s="294">
        <v>1.0063424947145878</v>
      </c>
      <c r="AZ21" s="294">
        <v>1.043041606886657</v>
      </c>
      <c r="BA21" s="294">
        <v>1.0438782731776362</v>
      </c>
      <c r="BB21" s="294">
        <v>1.0075085324232083</v>
      </c>
      <c r="BC21" s="294">
        <v>0.91257179323548177</v>
      </c>
      <c r="BD21" s="294">
        <v>0.89487017099430022</v>
      </c>
      <c r="BE21" s="294">
        <v>0.89487017099430022</v>
      </c>
      <c r="BF21" s="294">
        <v>1.0186170212765957</v>
      </c>
      <c r="BG21" s="294">
        <v>1.0359565807327</v>
      </c>
      <c r="BH21" s="294">
        <v>1.0602493074792243</v>
      </c>
      <c r="BI21" s="294">
        <v>1.1347670250896058</v>
      </c>
      <c r="BJ21" s="294">
        <v>1.1726726726726726</v>
      </c>
      <c r="BK21" s="294">
        <v>1.1655225019069413</v>
      </c>
      <c r="BL21" s="294">
        <v>1.0622317596566524</v>
      </c>
      <c r="BM21" s="294">
        <v>1.0714285714285714</v>
      </c>
      <c r="BN21" s="294">
        <v>1.0790921595598348</v>
      </c>
    </row>
    <row r="22" spans="1:66" ht="15.75" thickBot="1" x14ac:dyDescent="0.3">
      <c r="A22" s="292" t="s">
        <v>23</v>
      </c>
      <c r="B22" s="230">
        <v>1.0530772408095828</v>
      </c>
      <c r="C22" s="230">
        <v>1.0353831469866375</v>
      </c>
      <c r="D22" s="230">
        <v>0.97170816136333382</v>
      </c>
      <c r="E22" s="230">
        <v>0.91483913328956012</v>
      </c>
      <c r="F22" s="230">
        <v>0.86580226904376012</v>
      </c>
      <c r="G22" s="230">
        <v>0.81611276348118456</v>
      </c>
      <c r="H22" s="230">
        <v>0.70864956029394044</v>
      </c>
      <c r="I22" s="230">
        <v>0.65462833099579243</v>
      </c>
      <c r="J22" s="230">
        <v>0.62396382818387341</v>
      </c>
      <c r="K22" s="230">
        <v>0.61148886283704573</v>
      </c>
      <c r="L22" s="230">
        <v>0.58020132229435939</v>
      </c>
      <c r="M22" s="230">
        <v>0.55800000000000005</v>
      </c>
      <c r="N22" s="230">
        <v>0.53704735376044566</v>
      </c>
      <c r="O22" s="230">
        <v>0.51540900443880788</v>
      </c>
      <c r="P22" s="230">
        <v>0.51389161273452311</v>
      </c>
      <c r="Q22" s="230">
        <v>0.49911108184631592</v>
      </c>
      <c r="R22" s="230">
        <v>0.5066109474549565</v>
      </c>
      <c r="S22" s="230">
        <v>0.50986865714490781</v>
      </c>
      <c r="T22" s="230">
        <v>0.50265818045675781</v>
      </c>
      <c r="U22" s="230">
        <v>0.51552844240215501</v>
      </c>
      <c r="V22" s="230">
        <v>0.5274968125796855</v>
      </c>
      <c r="W22" s="230">
        <v>0.54588466345295483</v>
      </c>
      <c r="X22" s="230">
        <v>0.56586770717205503</v>
      </c>
      <c r="Y22" s="230">
        <v>0.54812116564417179</v>
      </c>
      <c r="Z22" s="230">
        <v>0.55261266810389076</v>
      </c>
      <c r="AA22" s="230">
        <v>0.54469425437167374</v>
      </c>
      <c r="AB22" s="230">
        <v>0.55866758875057632</v>
      </c>
      <c r="AC22" s="230">
        <v>0.59781003937007871</v>
      </c>
      <c r="AD22" s="230">
        <v>0.61111817834881055</v>
      </c>
      <c r="AE22" s="230">
        <v>0.64023746701846962</v>
      </c>
      <c r="AF22" s="230">
        <v>0.66071670047329278</v>
      </c>
      <c r="AG22" s="230">
        <v>0.67581644144144148</v>
      </c>
      <c r="AH22" s="294">
        <v>0.70758230299419034</v>
      </c>
      <c r="AI22" s="294">
        <v>0.72721684339941606</v>
      </c>
      <c r="AJ22" s="294">
        <v>0.75136964228166292</v>
      </c>
      <c r="AK22" s="294">
        <v>0.75519215044971377</v>
      </c>
      <c r="AL22" s="294">
        <v>0.7466754227548843</v>
      </c>
      <c r="AM22" s="294">
        <v>0.82406435816719137</v>
      </c>
      <c r="AN22" s="294">
        <v>0.91788965261006872</v>
      </c>
      <c r="AO22" s="294">
        <v>1.0217347956131606</v>
      </c>
      <c r="AP22" s="294">
        <v>1.0730348669279968</v>
      </c>
      <c r="AQ22" s="294">
        <v>1.0745009261164848</v>
      </c>
      <c r="AR22" s="294">
        <v>1.0786844296419651</v>
      </c>
      <c r="AS22" s="294">
        <v>1.0725324541520709</v>
      </c>
      <c r="AT22" s="294">
        <v>1.0568972574703235</v>
      </c>
      <c r="AU22" s="294">
        <v>1.1006040408248281</v>
      </c>
      <c r="AV22" s="294">
        <v>1.1181052631578947</v>
      </c>
      <c r="AW22" s="294">
        <v>1.1595519864750634</v>
      </c>
      <c r="AX22" s="294">
        <v>1.2202444778039889</v>
      </c>
      <c r="AY22" s="294">
        <v>1.2520571676050238</v>
      </c>
      <c r="AZ22" s="294">
        <v>1.2860598065083553</v>
      </c>
      <c r="BA22" s="294">
        <v>1.2453310696095077</v>
      </c>
      <c r="BB22" s="294">
        <v>1.2228293867638129</v>
      </c>
      <c r="BC22" s="294">
        <v>1.1809267448567584</v>
      </c>
      <c r="BD22" s="294">
        <v>1.1754453169890826</v>
      </c>
      <c r="BE22" s="294">
        <v>1.1754453169890826</v>
      </c>
      <c r="BF22" s="294">
        <v>1.1968351987649557</v>
      </c>
      <c r="BG22" s="294">
        <v>1.1942363112391932</v>
      </c>
      <c r="BH22" s="294">
        <v>1.2321843532145624</v>
      </c>
      <c r="BI22" s="294">
        <v>1.2310749432248296</v>
      </c>
      <c r="BJ22" s="294">
        <v>1.2363020146864998</v>
      </c>
      <c r="BK22" s="294">
        <v>1.1656642974302898</v>
      </c>
      <c r="BL22" s="294">
        <v>1.1571177504393673</v>
      </c>
      <c r="BM22" s="294">
        <v>1.1758906952611554</v>
      </c>
      <c r="BN22" s="294">
        <v>1.1699435800991622</v>
      </c>
    </row>
    <row r="23" spans="1:66" ht="15.75" thickBot="1" x14ac:dyDescent="0.3">
      <c r="A23" s="292" t="s">
        <v>39</v>
      </c>
      <c r="B23" s="230">
        <v>1.1800664451827243</v>
      </c>
      <c r="C23" s="230">
        <v>1.1455368693402328</v>
      </c>
      <c r="D23" s="230">
        <v>1.0169082125603865</v>
      </c>
      <c r="E23" s="230">
        <v>0.99047619047619051</v>
      </c>
      <c r="F23" s="230">
        <v>0.92915214866434381</v>
      </c>
      <c r="G23" s="230">
        <v>0.80934065934065935</v>
      </c>
      <c r="H23" s="230">
        <v>0.69784550709406201</v>
      </c>
      <c r="I23" s="230">
        <v>0.69226694915254239</v>
      </c>
      <c r="J23" s="230">
        <v>0.63118062563067612</v>
      </c>
      <c r="K23" s="230">
        <v>0.63668699186991873</v>
      </c>
      <c r="L23" s="230">
        <v>0.6333676622039135</v>
      </c>
      <c r="M23" s="230">
        <v>0.59937727036844834</v>
      </c>
      <c r="N23" s="230">
        <v>0.60752688172043012</v>
      </c>
      <c r="O23" s="230">
        <v>0.64760254188330446</v>
      </c>
      <c r="P23" s="230">
        <v>0.57488738738738743</v>
      </c>
      <c r="Q23" s="230">
        <v>0.59006211180124224</v>
      </c>
      <c r="R23" s="230">
        <v>0.60570071258907365</v>
      </c>
      <c r="S23" s="230">
        <v>0.59555288461538458</v>
      </c>
      <c r="T23" s="230">
        <v>0.61312500000000003</v>
      </c>
      <c r="U23" s="230">
        <v>0.67820773930753564</v>
      </c>
      <c r="V23" s="230">
        <v>0.83132530120481929</v>
      </c>
      <c r="W23" s="230">
        <v>0.81943381790359604</v>
      </c>
      <c r="X23" s="230">
        <v>0.80895283772981619</v>
      </c>
      <c r="Y23" s="230">
        <v>0.74301675977653636</v>
      </c>
      <c r="Z23" s="230">
        <v>0.724390243902439</v>
      </c>
      <c r="AA23" s="230">
        <v>0.73419913419913418</v>
      </c>
      <c r="AB23" s="230">
        <v>0.74601769911504423</v>
      </c>
      <c r="AC23" s="230">
        <v>0.71989295272078502</v>
      </c>
      <c r="AD23" s="230">
        <v>0.77473065621939274</v>
      </c>
      <c r="AE23" s="230">
        <v>0.71578947368421053</v>
      </c>
      <c r="AF23" s="230">
        <v>0.71078431372549022</v>
      </c>
      <c r="AG23" s="230">
        <v>0.73965691220988905</v>
      </c>
      <c r="AH23" s="294">
        <v>0.72069317023445467</v>
      </c>
      <c r="AI23" s="294">
        <v>0.69669669669669665</v>
      </c>
      <c r="AJ23" s="294">
        <v>0.64402173913043481</v>
      </c>
      <c r="AK23" s="294">
        <v>0.68627450980392157</v>
      </c>
      <c r="AL23" s="294">
        <v>0.7865612648221344</v>
      </c>
      <c r="AM23" s="294">
        <v>0.86680988184747587</v>
      </c>
      <c r="AN23" s="294">
        <v>0.91806958473625144</v>
      </c>
      <c r="AO23" s="294">
        <v>0.972877358490566</v>
      </c>
      <c r="AP23" s="294">
        <v>0.99051008303677346</v>
      </c>
      <c r="AQ23" s="294">
        <v>1.080545229244114</v>
      </c>
      <c r="AR23" s="294">
        <v>1.102402022756005</v>
      </c>
      <c r="AS23" s="294">
        <v>1.1470588235294117</v>
      </c>
      <c r="AT23" s="294">
        <v>1.1944827586206896</v>
      </c>
      <c r="AU23" s="294">
        <v>1.159618008185539</v>
      </c>
      <c r="AV23" s="294">
        <v>1.1824611032531824</v>
      </c>
      <c r="AW23" s="294">
        <v>1.1853448275862069</v>
      </c>
      <c r="AX23" s="294">
        <v>1.1617440225035163</v>
      </c>
      <c r="AY23" s="294">
        <v>1.1074829931972789</v>
      </c>
      <c r="AZ23" s="294">
        <v>1.0075376884422111</v>
      </c>
      <c r="BA23" s="294">
        <v>1.0396530359355638</v>
      </c>
      <c r="BB23" s="294">
        <v>1.0696821515892421</v>
      </c>
      <c r="BC23" s="294">
        <v>1.1473053892215568</v>
      </c>
      <c r="BD23" s="294">
        <v>1.125</v>
      </c>
      <c r="BE23" s="294">
        <v>1.125</v>
      </c>
      <c r="BF23" s="294">
        <v>1.1720183486238531</v>
      </c>
      <c r="BG23" s="294">
        <v>1.2412587412587412</v>
      </c>
      <c r="BH23" s="294">
        <v>1.2690531177829099</v>
      </c>
      <c r="BI23" s="294">
        <v>1.3070588235294118</v>
      </c>
      <c r="BJ23" s="294">
        <v>1.3851674641148326</v>
      </c>
      <c r="BK23" s="294">
        <v>1.4848484848484849</v>
      </c>
      <c r="BL23" s="294">
        <v>1.526634382566586</v>
      </c>
      <c r="BM23" s="294">
        <v>1.6216216216216217</v>
      </c>
      <c r="BN23" s="294">
        <v>1.7182044887780548</v>
      </c>
    </row>
    <row r="24" spans="1:66" ht="15.75" thickBot="1" x14ac:dyDescent="0.3">
      <c r="A24" s="292" t="s">
        <v>40</v>
      </c>
      <c r="B24" s="230">
        <v>0.86237897648686035</v>
      </c>
      <c r="C24" s="230">
        <v>0.85125698324022347</v>
      </c>
      <c r="D24" s="230">
        <v>0.86932599724896842</v>
      </c>
      <c r="E24" s="230">
        <v>0.81824512534818938</v>
      </c>
      <c r="F24" s="230">
        <v>0.78843537414965992</v>
      </c>
      <c r="G24" s="230">
        <v>0.78546470999301188</v>
      </c>
      <c r="H24" s="230">
        <v>0.7631944444444444</v>
      </c>
      <c r="I24" s="230">
        <v>0.78409919766593728</v>
      </c>
      <c r="J24" s="230">
        <v>0.79518072289156627</v>
      </c>
      <c r="K24" s="230">
        <v>0.71470805617147082</v>
      </c>
      <c r="L24" s="230">
        <v>0.65217391304347827</v>
      </c>
      <c r="M24" s="230">
        <v>0.66640563821456533</v>
      </c>
      <c r="N24" s="230">
        <v>0.59129106187929714</v>
      </c>
      <c r="O24" s="230">
        <v>0.63008130081300817</v>
      </c>
      <c r="P24" s="230">
        <v>0.57578187650360868</v>
      </c>
      <c r="Q24" s="230">
        <v>0.5676784249384742</v>
      </c>
      <c r="R24" s="230">
        <v>0.51819620253164556</v>
      </c>
      <c r="S24" s="230">
        <v>0.5412765957446809</v>
      </c>
      <c r="T24" s="230">
        <v>0.5703192407247627</v>
      </c>
      <c r="U24" s="230">
        <v>0.59786476868327398</v>
      </c>
      <c r="V24" s="230">
        <v>0.59417652411282984</v>
      </c>
      <c r="W24" s="230">
        <v>0.60651162790697677</v>
      </c>
      <c r="X24" s="230">
        <v>0.60416666666666663</v>
      </c>
      <c r="Y24" s="230">
        <v>0.62978283350568764</v>
      </c>
      <c r="Z24" s="230">
        <v>0.64745762711864407</v>
      </c>
      <c r="AA24" s="230">
        <v>0.66039952996474738</v>
      </c>
      <c r="AB24" s="230">
        <v>0.75968992248062017</v>
      </c>
      <c r="AC24" s="230">
        <v>0.7587096774193548</v>
      </c>
      <c r="AD24" s="230">
        <v>0.84122562674094703</v>
      </c>
      <c r="AE24" s="230">
        <v>0.90173410404624277</v>
      </c>
      <c r="AF24" s="230">
        <v>0.8748091603053435</v>
      </c>
      <c r="AG24" s="230">
        <v>0.92295597484276726</v>
      </c>
      <c r="AH24" s="294">
        <v>0.77912254160363081</v>
      </c>
      <c r="AI24" s="294">
        <v>0.7455357142857143</v>
      </c>
      <c r="AJ24" s="294">
        <v>0.73660030627871365</v>
      </c>
      <c r="AK24" s="294">
        <v>0.7760736196319018</v>
      </c>
      <c r="AL24" s="294">
        <v>0.7601880877742947</v>
      </c>
      <c r="AM24" s="294">
        <v>0.83743842364532017</v>
      </c>
      <c r="AN24" s="294">
        <v>0.94764397905759157</v>
      </c>
      <c r="AO24" s="294">
        <v>0.92348754448398573</v>
      </c>
      <c r="AP24" s="294">
        <v>0.84523809523809523</v>
      </c>
      <c r="AQ24" s="294">
        <v>0.84353741496598644</v>
      </c>
      <c r="AR24" s="294">
        <v>0.7831125827814569</v>
      </c>
      <c r="AS24" s="294">
        <v>0.75320512820512819</v>
      </c>
      <c r="AT24" s="294">
        <v>0.80628272251308897</v>
      </c>
      <c r="AU24" s="294">
        <v>0.75979557069846682</v>
      </c>
      <c r="AV24" s="294">
        <v>0.82135922330097089</v>
      </c>
      <c r="AW24" s="294">
        <v>0.84830339321357284</v>
      </c>
      <c r="AX24" s="294">
        <v>0.87941787941787941</v>
      </c>
      <c r="AY24" s="294">
        <v>0.78260869565217395</v>
      </c>
      <c r="AZ24" s="294">
        <v>0.87422680412371134</v>
      </c>
      <c r="BA24" s="294">
        <v>0.83725490196078434</v>
      </c>
      <c r="BB24" s="294">
        <v>0.71823204419889508</v>
      </c>
      <c r="BC24" s="294">
        <v>0.84104627766599593</v>
      </c>
      <c r="BD24" s="294">
        <v>0.82258064516129037</v>
      </c>
      <c r="BE24" s="294">
        <v>0.82258064516129037</v>
      </c>
      <c r="BF24" s="294">
        <v>0.89640591966173366</v>
      </c>
      <c r="BG24" s="294">
        <v>0.87234042553191493</v>
      </c>
      <c r="BH24" s="294">
        <v>0.88744588744588748</v>
      </c>
      <c r="BI24" s="294">
        <v>0.94394618834080712</v>
      </c>
      <c r="BJ24" s="294">
        <v>1.1063829787234043</v>
      </c>
      <c r="BK24" s="294">
        <v>1.1223529411764706</v>
      </c>
      <c r="BL24" s="294">
        <v>1.1843971631205674</v>
      </c>
      <c r="BM24" s="294">
        <v>1.3409090909090908</v>
      </c>
      <c r="BN24" s="294">
        <v>1.3396226415094339</v>
      </c>
    </row>
    <row r="25" spans="1:66" x14ac:dyDescent="0.25">
      <c r="A25" s="292" t="s">
        <v>41</v>
      </c>
      <c r="B25" s="230">
        <v>1.0667793744716823</v>
      </c>
      <c r="C25" s="230">
        <v>1.0061703002879474</v>
      </c>
      <c r="D25" s="230">
        <v>0.91785150078988942</v>
      </c>
      <c r="E25" s="230">
        <v>0.91255515443241075</v>
      </c>
      <c r="F25" s="230">
        <v>0.87104158718046543</v>
      </c>
      <c r="G25" s="230">
        <v>0.83479532163742687</v>
      </c>
      <c r="H25" s="230">
        <v>0.73425863236289779</v>
      </c>
      <c r="I25" s="230">
        <v>0.71019320453031309</v>
      </c>
      <c r="J25" s="230">
        <v>0.69966666666666666</v>
      </c>
      <c r="K25" s="230">
        <v>0.71141868512110729</v>
      </c>
      <c r="L25" s="230">
        <v>0.71403508771929824</v>
      </c>
      <c r="M25" s="230">
        <v>0.72661610689779699</v>
      </c>
      <c r="N25" s="230">
        <v>0.77524677296886868</v>
      </c>
      <c r="O25" s="230">
        <v>0.77565353101833789</v>
      </c>
      <c r="P25" s="230">
        <v>0.79160063391442159</v>
      </c>
      <c r="Q25" s="230">
        <v>0.8282910874897792</v>
      </c>
      <c r="R25" s="230">
        <v>0.85800344234079173</v>
      </c>
      <c r="S25" s="230">
        <v>0.8351648351648352</v>
      </c>
      <c r="T25" s="230">
        <v>0.75383267630310991</v>
      </c>
      <c r="U25" s="230">
        <v>0.70577933450087571</v>
      </c>
      <c r="V25" s="230">
        <v>0.77132319041032738</v>
      </c>
      <c r="W25" s="230">
        <v>0.80018761726078802</v>
      </c>
      <c r="X25" s="230">
        <v>0.80990948070509772</v>
      </c>
      <c r="Y25" s="230">
        <v>0.77577821011673154</v>
      </c>
      <c r="Z25" s="230">
        <v>0.72678132678132679</v>
      </c>
      <c r="AA25" s="230">
        <v>0.73707753479125249</v>
      </c>
      <c r="AB25" s="230">
        <v>0.70274240940254651</v>
      </c>
      <c r="AC25" s="230">
        <v>0.72887323943661975</v>
      </c>
      <c r="AD25" s="230">
        <v>0.72522522522522526</v>
      </c>
      <c r="AE25" s="230">
        <v>0.71865745310957552</v>
      </c>
      <c r="AF25" s="230">
        <v>0.75225677031093274</v>
      </c>
      <c r="AG25" s="230">
        <v>0.81263157894736837</v>
      </c>
      <c r="AH25" s="294">
        <v>0.96165020337013363</v>
      </c>
      <c r="AI25" s="294">
        <v>1.0986352357320099</v>
      </c>
      <c r="AJ25" s="294">
        <v>1.0155409444112373</v>
      </c>
      <c r="AK25" s="294">
        <v>0.98593200468933173</v>
      </c>
      <c r="AL25" s="294">
        <v>1.0005882352941176</v>
      </c>
      <c r="AM25" s="294">
        <v>1.1278996865203761</v>
      </c>
      <c r="AN25" s="294">
        <v>1.2880324543610548</v>
      </c>
      <c r="AO25" s="294">
        <v>1.3358057990559675</v>
      </c>
      <c r="AP25" s="294">
        <v>1.4013937282229965</v>
      </c>
      <c r="AQ25" s="294">
        <v>1.435472739820566</v>
      </c>
      <c r="AR25" s="294">
        <v>1.4313319530710835</v>
      </c>
      <c r="AS25" s="294">
        <v>1.4141483516483517</v>
      </c>
      <c r="AT25" s="294">
        <v>1.3586666666666667</v>
      </c>
      <c r="AU25" s="294">
        <v>1.354922279792746</v>
      </c>
      <c r="AV25" s="294">
        <v>1.2555891238670696</v>
      </c>
      <c r="AW25" s="294">
        <v>1.1908526256352343</v>
      </c>
      <c r="AX25" s="294">
        <v>1.3437316068275456</v>
      </c>
      <c r="AY25" s="294">
        <v>1.3876337693222354</v>
      </c>
      <c r="AZ25" s="294">
        <v>1.3868312757201646</v>
      </c>
      <c r="BA25" s="294">
        <v>1.3824346859366314</v>
      </c>
      <c r="BB25" s="294">
        <v>1.3564304461942258</v>
      </c>
      <c r="BC25" s="294">
        <v>1.4276479363500747</v>
      </c>
      <c r="BD25" s="294">
        <v>1.4341346153846153</v>
      </c>
      <c r="BE25" s="294">
        <v>1.4341346153846153</v>
      </c>
      <c r="BF25" s="294">
        <v>1.5067502410800386</v>
      </c>
      <c r="BG25" s="294">
        <v>1.5410393394851869</v>
      </c>
      <c r="BH25" s="294">
        <v>1.6104023552502453</v>
      </c>
      <c r="BI25" s="294">
        <v>1.6878585086042066</v>
      </c>
      <c r="BJ25" s="294">
        <v>1.7295476419634264</v>
      </c>
      <c r="BK25" s="294">
        <v>1.701280227596017</v>
      </c>
      <c r="BL25" s="294">
        <v>1.7376259307928166</v>
      </c>
      <c r="BM25" s="294">
        <v>1.7514995715509853</v>
      </c>
      <c r="BN25" s="294">
        <v>1.810936837643069</v>
      </c>
    </row>
    <row r="26" spans="1:66" ht="15.75" x14ac:dyDescent="0.25">
      <c r="B26" s="306">
        <f t="shared" ref="B26:Y26" si="0">COUNTIF(B2:B25,"&gt;1")</f>
        <v>17</v>
      </c>
      <c r="C26" s="306">
        <f t="shared" si="0"/>
        <v>17</v>
      </c>
      <c r="D26" s="306">
        <f t="shared" si="0"/>
        <v>14</v>
      </c>
      <c r="E26" s="306">
        <f t="shared" si="0"/>
        <v>11</v>
      </c>
      <c r="F26" s="306">
        <f t="shared" si="0"/>
        <v>11</v>
      </c>
      <c r="G26" s="306">
        <f t="shared" si="0"/>
        <v>8</v>
      </c>
      <c r="H26" s="306">
        <f t="shared" si="0"/>
        <v>7</v>
      </c>
      <c r="I26" s="306">
        <f t="shared" si="0"/>
        <v>6</v>
      </c>
      <c r="J26" s="306">
        <f t="shared" si="0"/>
        <v>6</v>
      </c>
      <c r="K26" s="306">
        <f t="shared" si="0"/>
        <v>6</v>
      </c>
      <c r="L26" s="306">
        <f t="shared" si="0"/>
        <v>6</v>
      </c>
      <c r="M26" s="306">
        <f t="shared" si="0"/>
        <v>6</v>
      </c>
      <c r="N26" s="306">
        <f t="shared" si="0"/>
        <v>5</v>
      </c>
      <c r="O26" s="306">
        <f t="shared" si="0"/>
        <v>5</v>
      </c>
      <c r="P26" s="306">
        <f t="shared" si="0"/>
        <v>5</v>
      </c>
      <c r="Q26" s="306">
        <f t="shared" si="0"/>
        <v>5</v>
      </c>
      <c r="R26" s="306">
        <f t="shared" si="0"/>
        <v>6</v>
      </c>
      <c r="S26" s="306">
        <f t="shared" si="0"/>
        <v>5</v>
      </c>
      <c r="T26" s="306">
        <f t="shared" si="0"/>
        <v>4</v>
      </c>
      <c r="U26" s="306">
        <f t="shared" si="0"/>
        <v>4</v>
      </c>
      <c r="V26" s="306">
        <f t="shared" si="0"/>
        <v>4</v>
      </c>
      <c r="W26" s="306">
        <f t="shared" si="0"/>
        <v>4</v>
      </c>
      <c r="X26" s="306">
        <f t="shared" si="0"/>
        <v>6</v>
      </c>
      <c r="Y26" s="306">
        <f t="shared" si="0"/>
        <v>6</v>
      </c>
      <c r="Z26" s="306">
        <f t="shared" ref="Z26:BA26" si="1">COUNTIF(Z2:Z25,"&gt;1")</f>
        <v>5</v>
      </c>
      <c r="AA26" s="306">
        <f t="shared" si="1"/>
        <v>5</v>
      </c>
      <c r="AB26" s="306">
        <f t="shared" si="1"/>
        <v>6</v>
      </c>
      <c r="AC26" s="306">
        <f t="shared" si="1"/>
        <v>6</v>
      </c>
      <c r="AD26" s="306">
        <f t="shared" si="1"/>
        <v>7</v>
      </c>
      <c r="AE26" s="306">
        <f t="shared" si="1"/>
        <v>7</v>
      </c>
      <c r="AF26" s="306">
        <f t="shared" si="1"/>
        <v>6</v>
      </c>
      <c r="AG26" s="306">
        <f t="shared" si="1"/>
        <v>6</v>
      </c>
      <c r="AH26" s="306">
        <f t="shared" si="1"/>
        <v>6</v>
      </c>
      <c r="AI26" s="306">
        <f t="shared" si="1"/>
        <v>8</v>
      </c>
      <c r="AJ26" s="306">
        <f t="shared" si="1"/>
        <v>8</v>
      </c>
      <c r="AK26" s="306">
        <f t="shared" si="1"/>
        <v>7</v>
      </c>
      <c r="AL26" s="306">
        <f t="shared" si="1"/>
        <v>8</v>
      </c>
      <c r="AM26" s="306">
        <f t="shared" si="1"/>
        <v>9</v>
      </c>
      <c r="AN26" s="306">
        <f t="shared" si="1"/>
        <v>10</v>
      </c>
      <c r="AO26" s="306">
        <f t="shared" si="1"/>
        <v>12</v>
      </c>
      <c r="AP26" s="306">
        <f t="shared" si="1"/>
        <v>15</v>
      </c>
      <c r="AQ26" s="306">
        <f t="shared" si="1"/>
        <v>15</v>
      </c>
      <c r="AR26" s="306">
        <f t="shared" si="1"/>
        <v>16</v>
      </c>
      <c r="AS26" s="306">
        <f t="shared" si="1"/>
        <v>16</v>
      </c>
      <c r="AT26" s="306">
        <f t="shared" si="1"/>
        <v>14</v>
      </c>
      <c r="AU26" s="306">
        <f t="shared" si="1"/>
        <v>15</v>
      </c>
      <c r="AV26" s="306">
        <f t="shared" si="1"/>
        <v>13</v>
      </c>
      <c r="AW26" s="306">
        <f t="shared" si="1"/>
        <v>13</v>
      </c>
      <c r="AX26" s="306">
        <f t="shared" si="1"/>
        <v>17</v>
      </c>
      <c r="AY26" s="306">
        <f t="shared" si="1"/>
        <v>16</v>
      </c>
      <c r="AZ26" s="306">
        <f t="shared" si="1"/>
        <v>17</v>
      </c>
      <c r="BA26" s="306">
        <f t="shared" si="1"/>
        <v>15</v>
      </c>
      <c r="BB26" s="306">
        <f t="shared" ref="BB26:BH26" si="2">COUNTIF(BB2:BB25,"&gt;1")</f>
        <v>15</v>
      </c>
      <c r="BC26" s="306">
        <f t="shared" si="2"/>
        <v>14</v>
      </c>
      <c r="BD26" s="306">
        <f t="shared" si="2"/>
        <v>13</v>
      </c>
      <c r="BE26" s="306">
        <f t="shared" si="2"/>
        <v>13</v>
      </c>
      <c r="BF26" s="306">
        <f t="shared" si="2"/>
        <v>16</v>
      </c>
      <c r="BG26" s="306">
        <f t="shared" si="2"/>
        <v>17</v>
      </c>
      <c r="BH26" s="306">
        <f t="shared" si="2"/>
        <v>18</v>
      </c>
    </row>
    <row r="28" spans="1:66" x14ac:dyDescent="0.25">
      <c r="C28" s="293">
        <v>100</v>
      </c>
      <c r="E28" s="293">
        <v>1.2</v>
      </c>
    </row>
    <row r="29" spans="1:66" x14ac:dyDescent="0.25">
      <c r="C29" s="293">
        <v>120</v>
      </c>
      <c r="D29" s="62">
        <f>C29/C28</f>
        <v>1.2</v>
      </c>
    </row>
  </sheetData>
  <conditionalFormatting sqref="B2:D20">
    <cfRule type="cellIs" dxfId="137" priority="122" operator="lessThan">
      <formula>1.2</formula>
    </cfRule>
    <cfRule type="cellIs" dxfId="136" priority="123" operator="greaterThanOrEqual">
      <formula>1.2</formula>
    </cfRule>
  </conditionalFormatting>
  <conditionalFormatting sqref="B21:D25 C28:C29">
    <cfRule type="cellIs" dxfId="135" priority="120" operator="lessThan">
      <formula>1.2</formula>
    </cfRule>
    <cfRule type="cellIs" dxfId="134" priority="121" operator="greaterThanOrEqual">
      <formula>1.2</formula>
    </cfRule>
  </conditionalFormatting>
  <conditionalFormatting sqref="E2:AG25 E28">
    <cfRule type="cellIs" dxfId="133" priority="118" operator="lessThan">
      <formula>1.2</formula>
    </cfRule>
    <cfRule type="cellIs" dxfId="132" priority="119" operator="greaterThanOrEqual">
      <formula>1.2</formula>
    </cfRule>
  </conditionalFormatting>
  <conditionalFormatting sqref="BA2:BB25">
    <cfRule type="cellIs" dxfId="131" priority="98" operator="lessThan">
      <formula>1</formula>
    </cfRule>
    <cfRule type="cellIs" dxfId="130" priority="99" operator="greaterThanOrEqual">
      <formula>1.19</formula>
    </cfRule>
  </conditionalFormatting>
  <conditionalFormatting sqref="BA2:BB25">
    <cfRule type="cellIs" dxfId="129" priority="97" operator="between">
      <formula>1</formula>
      <formula>1.19</formula>
    </cfRule>
  </conditionalFormatting>
  <conditionalFormatting sqref="AH2:AH25">
    <cfRule type="cellIs" dxfId="128" priority="95" operator="lessThan">
      <formula>1</formula>
    </cfRule>
    <cfRule type="cellIs" dxfId="127" priority="96" operator="greaterThanOrEqual">
      <formula>1.19</formula>
    </cfRule>
  </conditionalFormatting>
  <conditionalFormatting sqref="AH2:AH25">
    <cfRule type="cellIs" dxfId="126" priority="94" operator="between">
      <formula>1</formula>
      <formula>1.19</formula>
    </cfRule>
  </conditionalFormatting>
  <conditionalFormatting sqref="AI2:AI25">
    <cfRule type="cellIs" dxfId="125" priority="92" operator="lessThan">
      <formula>1</formula>
    </cfRule>
    <cfRule type="cellIs" dxfId="124" priority="93" operator="greaterThanOrEqual">
      <formula>1.19</formula>
    </cfRule>
  </conditionalFormatting>
  <conditionalFormatting sqref="AI2:AI25">
    <cfRule type="cellIs" dxfId="123" priority="91" operator="between">
      <formula>1</formula>
      <formula>1.19</formula>
    </cfRule>
  </conditionalFormatting>
  <conditionalFormatting sqref="AJ2:AJ25">
    <cfRule type="cellIs" dxfId="122" priority="89" operator="lessThan">
      <formula>1</formula>
    </cfRule>
    <cfRule type="cellIs" dxfId="121" priority="90" operator="greaterThanOrEqual">
      <formula>1.19</formula>
    </cfRule>
  </conditionalFormatting>
  <conditionalFormatting sqref="AJ2:AJ25">
    <cfRule type="cellIs" dxfId="120" priority="88" operator="between">
      <formula>1</formula>
      <formula>1.19</formula>
    </cfRule>
  </conditionalFormatting>
  <conditionalFormatting sqref="AK2:AK25">
    <cfRule type="cellIs" dxfId="119" priority="86" operator="lessThan">
      <formula>1</formula>
    </cfRule>
    <cfRule type="cellIs" dxfId="118" priority="87" operator="greaterThanOrEqual">
      <formula>1.19</formula>
    </cfRule>
  </conditionalFormatting>
  <conditionalFormatting sqref="AK2:AK25">
    <cfRule type="cellIs" dxfId="117" priority="85" operator="between">
      <formula>1</formula>
      <formula>1.19</formula>
    </cfRule>
  </conditionalFormatting>
  <conditionalFormatting sqref="AL2:AL25">
    <cfRule type="cellIs" dxfId="116" priority="83" operator="lessThan">
      <formula>1</formula>
    </cfRule>
    <cfRule type="cellIs" dxfId="115" priority="84" operator="greaterThanOrEqual">
      <formula>1.19</formula>
    </cfRule>
  </conditionalFormatting>
  <conditionalFormatting sqref="AL2:AL25">
    <cfRule type="cellIs" dxfId="114" priority="82" operator="between">
      <formula>1</formula>
      <formula>1.19</formula>
    </cfRule>
  </conditionalFormatting>
  <conditionalFormatting sqref="AM2:AM25">
    <cfRule type="cellIs" dxfId="113" priority="80" operator="lessThan">
      <formula>1</formula>
    </cfRule>
    <cfRule type="cellIs" dxfId="112" priority="81" operator="greaterThanOrEqual">
      <formula>1.19</formula>
    </cfRule>
  </conditionalFormatting>
  <conditionalFormatting sqref="AM2:AM25">
    <cfRule type="cellIs" dxfId="111" priority="79" operator="between">
      <formula>1</formula>
      <formula>1.19</formula>
    </cfRule>
  </conditionalFormatting>
  <conditionalFormatting sqref="AN2:AN25">
    <cfRule type="cellIs" dxfId="110" priority="77" operator="lessThan">
      <formula>1</formula>
    </cfRule>
    <cfRule type="cellIs" dxfId="109" priority="78" operator="greaterThanOrEqual">
      <formula>1.19</formula>
    </cfRule>
  </conditionalFormatting>
  <conditionalFormatting sqref="AN2:AN25">
    <cfRule type="cellIs" dxfId="108" priority="76" operator="between">
      <formula>1</formula>
      <formula>1.19</formula>
    </cfRule>
  </conditionalFormatting>
  <conditionalFormatting sqref="AO2:AO25">
    <cfRule type="cellIs" dxfId="107" priority="74" operator="lessThan">
      <formula>1</formula>
    </cfRule>
    <cfRule type="cellIs" dxfId="106" priority="75" operator="greaterThanOrEqual">
      <formula>1.19</formula>
    </cfRule>
  </conditionalFormatting>
  <conditionalFormatting sqref="AO2:AO25">
    <cfRule type="cellIs" dxfId="105" priority="73" operator="between">
      <formula>1</formula>
      <formula>1.19</formula>
    </cfRule>
  </conditionalFormatting>
  <conditionalFormatting sqref="AP2:AP25">
    <cfRule type="cellIs" dxfId="104" priority="71" operator="lessThan">
      <formula>1</formula>
    </cfRule>
    <cfRule type="cellIs" dxfId="103" priority="72" operator="greaterThanOrEqual">
      <formula>1.19</formula>
    </cfRule>
  </conditionalFormatting>
  <conditionalFormatting sqref="AP2:AP25">
    <cfRule type="cellIs" dxfId="102" priority="70" operator="between">
      <formula>1</formula>
      <formula>1.19</formula>
    </cfRule>
  </conditionalFormatting>
  <conditionalFormatting sqref="AQ2:AQ25">
    <cfRule type="cellIs" dxfId="101" priority="68" operator="lessThan">
      <formula>1</formula>
    </cfRule>
    <cfRule type="cellIs" dxfId="100" priority="69" operator="greaterThanOrEqual">
      <formula>1.19</formula>
    </cfRule>
  </conditionalFormatting>
  <conditionalFormatting sqref="AQ2:AQ25">
    <cfRule type="cellIs" dxfId="99" priority="67" operator="between">
      <formula>1</formula>
      <formula>1.19</formula>
    </cfRule>
  </conditionalFormatting>
  <conditionalFormatting sqref="AR2:AR25">
    <cfRule type="cellIs" dxfId="98" priority="65" operator="lessThan">
      <formula>1</formula>
    </cfRule>
    <cfRule type="cellIs" dxfId="97" priority="66" operator="greaterThanOrEqual">
      <formula>1.19</formula>
    </cfRule>
  </conditionalFormatting>
  <conditionalFormatting sqref="AR2:AR25">
    <cfRule type="cellIs" dxfId="96" priority="64" operator="between">
      <formula>1</formula>
      <formula>1.19</formula>
    </cfRule>
  </conditionalFormatting>
  <conditionalFormatting sqref="AS2:AS25">
    <cfRule type="cellIs" dxfId="95" priority="62" operator="lessThan">
      <formula>1</formula>
    </cfRule>
    <cfRule type="cellIs" dxfId="94" priority="63" operator="greaterThanOrEqual">
      <formula>1.19</formula>
    </cfRule>
  </conditionalFormatting>
  <conditionalFormatting sqref="AS2:AS25">
    <cfRule type="cellIs" dxfId="93" priority="61" operator="between">
      <formula>1</formula>
      <formula>1.19</formula>
    </cfRule>
  </conditionalFormatting>
  <conditionalFormatting sqref="AT2:AT25">
    <cfRule type="cellIs" dxfId="92" priority="59" operator="lessThan">
      <formula>1</formula>
    </cfRule>
    <cfRule type="cellIs" dxfId="91" priority="60" operator="greaterThanOrEqual">
      <formula>1.19</formula>
    </cfRule>
  </conditionalFormatting>
  <conditionalFormatting sqref="AT2:AT25">
    <cfRule type="cellIs" dxfId="90" priority="58" operator="between">
      <formula>1</formula>
      <formula>1.19</formula>
    </cfRule>
  </conditionalFormatting>
  <conditionalFormatting sqref="AU2:AU25">
    <cfRule type="cellIs" dxfId="89" priority="56" operator="lessThan">
      <formula>1</formula>
    </cfRule>
    <cfRule type="cellIs" dxfId="88" priority="57" operator="greaterThanOrEqual">
      <formula>1.19</formula>
    </cfRule>
  </conditionalFormatting>
  <conditionalFormatting sqref="AU2:AU25">
    <cfRule type="cellIs" dxfId="87" priority="55" operator="between">
      <formula>1</formula>
      <formula>1.19</formula>
    </cfRule>
  </conditionalFormatting>
  <conditionalFormatting sqref="AV2:AV25">
    <cfRule type="cellIs" dxfId="86" priority="53" operator="lessThan">
      <formula>1</formula>
    </cfRule>
    <cfRule type="cellIs" dxfId="85" priority="54" operator="greaterThanOrEqual">
      <formula>1.19</formula>
    </cfRule>
  </conditionalFormatting>
  <conditionalFormatting sqref="AV2:AV25">
    <cfRule type="cellIs" dxfId="84" priority="52" operator="between">
      <formula>1</formula>
      <formula>1.19</formula>
    </cfRule>
  </conditionalFormatting>
  <conditionalFormatting sqref="AW2:AW25">
    <cfRule type="cellIs" dxfId="83" priority="50" operator="lessThan">
      <formula>1</formula>
    </cfRule>
    <cfRule type="cellIs" dxfId="82" priority="51" operator="greaterThanOrEqual">
      <formula>1.19</formula>
    </cfRule>
  </conditionalFormatting>
  <conditionalFormatting sqref="AW2:AW25">
    <cfRule type="cellIs" dxfId="81" priority="49" operator="between">
      <formula>1</formula>
      <formula>1.19</formula>
    </cfRule>
  </conditionalFormatting>
  <conditionalFormatting sqref="AX2:AX25">
    <cfRule type="cellIs" dxfId="80" priority="47" operator="lessThan">
      <formula>1</formula>
    </cfRule>
    <cfRule type="cellIs" dxfId="79" priority="48" operator="greaterThanOrEqual">
      <formula>1.19</formula>
    </cfRule>
  </conditionalFormatting>
  <conditionalFormatting sqref="AX2:AX25">
    <cfRule type="cellIs" dxfId="78" priority="46" operator="between">
      <formula>1</formula>
      <formula>1.19</formula>
    </cfRule>
  </conditionalFormatting>
  <conditionalFormatting sqref="AY2:AY25">
    <cfRule type="cellIs" dxfId="77" priority="44" operator="lessThan">
      <formula>1</formula>
    </cfRule>
    <cfRule type="cellIs" dxfId="76" priority="45" operator="greaterThanOrEqual">
      <formula>1.19</formula>
    </cfRule>
  </conditionalFormatting>
  <conditionalFormatting sqref="AY2:AY25">
    <cfRule type="cellIs" dxfId="75" priority="43" operator="between">
      <formula>1</formula>
      <formula>1.19</formula>
    </cfRule>
  </conditionalFormatting>
  <conditionalFormatting sqref="AZ2:AZ25">
    <cfRule type="cellIs" dxfId="74" priority="41" operator="lessThan">
      <formula>1</formula>
    </cfRule>
    <cfRule type="cellIs" dxfId="73" priority="42" operator="greaterThanOrEqual">
      <formula>1.19</formula>
    </cfRule>
  </conditionalFormatting>
  <conditionalFormatting sqref="AZ2:AZ25">
    <cfRule type="cellIs" dxfId="72" priority="40" operator="between">
      <formula>1</formula>
      <formula>1.19</formula>
    </cfRule>
  </conditionalFormatting>
  <conditionalFormatting sqref="BC2:BC25">
    <cfRule type="cellIs" dxfId="71" priority="38" operator="lessThan">
      <formula>1</formula>
    </cfRule>
    <cfRule type="cellIs" dxfId="70" priority="39" operator="greaterThanOrEqual">
      <formula>1.19</formula>
    </cfRule>
  </conditionalFormatting>
  <conditionalFormatting sqref="BC2:BC25">
    <cfRule type="cellIs" dxfId="69" priority="37" operator="between">
      <formula>1</formula>
      <formula>1.19</formula>
    </cfRule>
  </conditionalFormatting>
  <conditionalFormatting sqref="BD2:BD25">
    <cfRule type="cellIs" dxfId="68" priority="35" operator="lessThan">
      <formula>1</formula>
    </cfRule>
    <cfRule type="cellIs" dxfId="67" priority="36" operator="greaterThanOrEqual">
      <formula>1.19</formula>
    </cfRule>
  </conditionalFormatting>
  <conditionalFormatting sqref="BD2:BD25">
    <cfRule type="cellIs" dxfId="66" priority="34" operator="between">
      <formula>1</formula>
      <formula>1.19</formula>
    </cfRule>
  </conditionalFormatting>
  <conditionalFormatting sqref="BE2:BE25">
    <cfRule type="cellIs" dxfId="65" priority="32" operator="lessThan">
      <formula>1</formula>
    </cfRule>
    <cfRule type="cellIs" dxfId="64" priority="33" operator="greaterThanOrEqual">
      <formula>1.19</formula>
    </cfRule>
  </conditionalFormatting>
  <conditionalFormatting sqref="BE2:BE25">
    <cfRule type="cellIs" dxfId="63" priority="31" operator="between">
      <formula>1</formula>
      <formula>1.19</formula>
    </cfRule>
  </conditionalFormatting>
  <conditionalFormatting sqref="BF2:BF25">
    <cfRule type="cellIs" dxfId="62" priority="29" operator="lessThan">
      <formula>1</formula>
    </cfRule>
    <cfRule type="cellIs" dxfId="61" priority="30" operator="greaterThanOrEqual">
      <formula>1.19</formula>
    </cfRule>
  </conditionalFormatting>
  <conditionalFormatting sqref="BF2:BF25">
    <cfRule type="cellIs" dxfId="60" priority="28" operator="between">
      <formula>1</formula>
      <formula>1.19</formula>
    </cfRule>
  </conditionalFormatting>
  <conditionalFormatting sqref="BG2:BG25">
    <cfRule type="cellIs" dxfId="59" priority="26" operator="lessThan">
      <formula>1</formula>
    </cfRule>
    <cfRule type="cellIs" dxfId="58" priority="27" operator="greaterThanOrEqual">
      <formula>1.19</formula>
    </cfRule>
  </conditionalFormatting>
  <conditionalFormatting sqref="BG2:BG25">
    <cfRule type="cellIs" dxfId="57" priority="25" operator="between">
      <formula>1</formula>
      <formula>1.19</formula>
    </cfRule>
  </conditionalFormatting>
  <conditionalFormatting sqref="BH2:BH25">
    <cfRule type="cellIs" dxfId="56" priority="20" operator="lessThan">
      <formula>1</formula>
    </cfRule>
    <cfRule type="cellIs" dxfId="55" priority="21" operator="greaterThanOrEqual">
      <formula>1.19</formula>
    </cfRule>
  </conditionalFormatting>
  <conditionalFormatting sqref="BH2:BH25">
    <cfRule type="cellIs" dxfId="54" priority="19" operator="between">
      <formula>1</formula>
      <formula>1.19</formula>
    </cfRule>
  </conditionalFormatting>
  <conditionalFormatting sqref="BI2:BI25">
    <cfRule type="cellIs" dxfId="53" priority="17" operator="lessThan">
      <formula>1</formula>
    </cfRule>
    <cfRule type="cellIs" dxfId="52" priority="18" operator="greaterThanOrEqual">
      <formula>1.19</formula>
    </cfRule>
  </conditionalFormatting>
  <conditionalFormatting sqref="BI2:BI25">
    <cfRule type="cellIs" dxfId="51" priority="16" operator="between">
      <formula>1</formula>
      <formula>1.19</formula>
    </cfRule>
  </conditionalFormatting>
  <conditionalFormatting sqref="BJ2:BJ25">
    <cfRule type="cellIs" dxfId="50" priority="14" operator="lessThan">
      <formula>1</formula>
    </cfRule>
    <cfRule type="cellIs" dxfId="49" priority="15" operator="greaterThanOrEqual">
      <formula>1.19</formula>
    </cfRule>
  </conditionalFormatting>
  <conditionalFormatting sqref="BJ2:BJ25">
    <cfRule type="cellIs" dxfId="48" priority="13" operator="between">
      <formula>1</formula>
      <formula>1.19</formula>
    </cfRule>
  </conditionalFormatting>
  <conditionalFormatting sqref="BK2:BK25">
    <cfRule type="cellIs" dxfId="47" priority="11" operator="lessThan">
      <formula>1</formula>
    </cfRule>
    <cfRule type="cellIs" dxfId="46" priority="12" operator="greaterThanOrEqual">
      <formula>1.19</formula>
    </cfRule>
  </conditionalFormatting>
  <conditionalFormatting sqref="BK2:BK25">
    <cfRule type="cellIs" dxfId="45" priority="10" operator="between">
      <formula>1</formula>
      <formula>1.19</formula>
    </cfRule>
  </conditionalFormatting>
  <conditionalFormatting sqref="BL2:BL25">
    <cfRule type="cellIs" dxfId="44" priority="8" operator="lessThan">
      <formula>1</formula>
    </cfRule>
    <cfRule type="cellIs" dxfId="43" priority="9" operator="greaterThanOrEqual">
      <formula>1.19</formula>
    </cfRule>
  </conditionalFormatting>
  <conditionalFormatting sqref="BL2:BL25">
    <cfRule type="cellIs" dxfId="42" priority="7" operator="between">
      <formula>1</formula>
      <formula>1.19</formula>
    </cfRule>
  </conditionalFormatting>
  <conditionalFormatting sqref="BM2:BM25">
    <cfRule type="cellIs" dxfId="41" priority="5" operator="lessThan">
      <formula>1</formula>
    </cfRule>
    <cfRule type="cellIs" dxfId="40" priority="6" operator="greaterThanOrEqual">
      <formula>1.19</formula>
    </cfRule>
  </conditionalFormatting>
  <conditionalFormatting sqref="BM2:BM25">
    <cfRule type="cellIs" dxfId="39" priority="4" operator="between">
      <formula>1</formula>
      <formula>1.19</formula>
    </cfRule>
  </conditionalFormatting>
  <conditionalFormatting sqref="BN2:BN25">
    <cfRule type="cellIs" dxfId="38" priority="2" operator="lessThan">
      <formula>1</formula>
    </cfRule>
    <cfRule type="cellIs" dxfId="37" priority="3" operator="greaterThanOrEqual">
      <formula>1.19</formula>
    </cfRule>
  </conditionalFormatting>
  <conditionalFormatting sqref="BN2:BN25">
    <cfRule type="cellIs" dxfId="36" priority="1" operator="between">
      <formula>1</formula>
      <formula>1.19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742F-D14B-4751-90D1-B612C9DFF448}">
  <dimension ref="A1:B24"/>
  <sheetViews>
    <sheetView workbookViewId="0">
      <selection activeCell="B7" sqref="B7"/>
    </sheetView>
  </sheetViews>
  <sheetFormatPr baseColWidth="10" defaultRowHeight="15" x14ac:dyDescent="0.25"/>
  <cols>
    <col min="1" max="1" width="23.28515625" bestFit="1" customWidth="1"/>
  </cols>
  <sheetData>
    <row r="1" spans="1:2" ht="18.75" x14ac:dyDescent="0.25">
      <c r="A1" s="76" t="s">
        <v>17</v>
      </c>
      <c r="B1" s="62">
        <v>17541141</v>
      </c>
    </row>
    <row r="2" spans="1:2" ht="18.75" x14ac:dyDescent="0.25">
      <c r="A2" s="78" t="s">
        <v>44</v>
      </c>
      <c r="B2" s="62">
        <v>3075646</v>
      </c>
    </row>
    <row r="3" spans="1:2" ht="18.75" x14ac:dyDescent="0.25">
      <c r="A3" s="78" t="s">
        <v>29</v>
      </c>
      <c r="B3" s="62">
        <v>415438</v>
      </c>
    </row>
    <row r="4" spans="1:2" ht="18.75" x14ac:dyDescent="0.25">
      <c r="A4" s="78" t="s">
        <v>16</v>
      </c>
      <c r="B4" s="62">
        <v>1204541</v>
      </c>
    </row>
    <row r="5" spans="1:2" ht="18.75" x14ac:dyDescent="0.25">
      <c r="A5" s="78" t="s">
        <v>30</v>
      </c>
      <c r="B5" s="62">
        <v>618994</v>
      </c>
    </row>
    <row r="6" spans="1:2" ht="18.75" x14ac:dyDescent="0.25">
      <c r="A6" s="78" t="s">
        <v>31</v>
      </c>
      <c r="B6" s="62">
        <v>1120801</v>
      </c>
    </row>
    <row r="7" spans="1:2" ht="18.75" x14ac:dyDescent="0.25">
      <c r="A7" s="78" t="s">
        <v>21</v>
      </c>
      <c r="B7" s="62">
        <v>3760450</v>
      </c>
    </row>
    <row r="8" spans="1:2" ht="18.75" x14ac:dyDescent="0.25">
      <c r="A8" s="78" t="s">
        <v>32</v>
      </c>
      <c r="B8" s="62">
        <v>1385961</v>
      </c>
    </row>
    <row r="9" spans="1:2" ht="18.75" x14ac:dyDescent="0.25">
      <c r="A9" s="78" t="s">
        <v>42</v>
      </c>
      <c r="B9" s="62">
        <v>605193</v>
      </c>
    </row>
    <row r="10" spans="1:2" ht="18.75" x14ac:dyDescent="0.25">
      <c r="A10" s="78" t="s">
        <v>33</v>
      </c>
      <c r="B10" s="62">
        <v>770881</v>
      </c>
    </row>
    <row r="11" spans="1:2" ht="18.75" x14ac:dyDescent="0.25">
      <c r="A11" s="78" t="s">
        <v>34</v>
      </c>
      <c r="B11" s="62">
        <v>358428</v>
      </c>
    </row>
    <row r="12" spans="1:2" ht="18.75" x14ac:dyDescent="0.25">
      <c r="A12" s="78" t="s">
        <v>22</v>
      </c>
      <c r="B12" s="62">
        <v>393531</v>
      </c>
    </row>
    <row r="13" spans="1:2" ht="18.75" x14ac:dyDescent="0.25">
      <c r="A13" s="78" t="s">
        <v>18</v>
      </c>
      <c r="B13" s="62">
        <v>1990338</v>
      </c>
    </row>
    <row r="14" spans="1:2" ht="18.75" x14ac:dyDescent="0.25">
      <c r="A14" s="78" t="s">
        <v>24</v>
      </c>
      <c r="B14" s="62">
        <v>1261294</v>
      </c>
    </row>
    <row r="15" spans="1:2" ht="18.75" x14ac:dyDescent="0.25">
      <c r="A15" s="78" t="s">
        <v>20</v>
      </c>
      <c r="B15" s="62">
        <v>664057</v>
      </c>
    </row>
    <row r="16" spans="1:2" ht="18.75" x14ac:dyDescent="0.25">
      <c r="A16" s="78" t="s">
        <v>19</v>
      </c>
      <c r="B16" s="62">
        <v>747610</v>
      </c>
    </row>
    <row r="17" spans="1:2" ht="18.75" x14ac:dyDescent="0.25">
      <c r="A17" s="78" t="s">
        <v>35</v>
      </c>
      <c r="B17" s="62">
        <v>1424397</v>
      </c>
    </row>
    <row r="18" spans="1:2" ht="18.75" x14ac:dyDescent="0.25">
      <c r="A18" s="78" t="s">
        <v>36</v>
      </c>
      <c r="B18" s="62">
        <v>781217</v>
      </c>
    </row>
    <row r="19" spans="1:2" ht="18.75" x14ac:dyDescent="0.25">
      <c r="A19" s="78" t="s">
        <v>37</v>
      </c>
      <c r="B19" s="62">
        <v>508328</v>
      </c>
    </row>
    <row r="20" spans="1:2" ht="18.75" x14ac:dyDescent="0.25">
      <c r="A20" s="78" t="s">
        <v>38</v>
      </c>
      <c r="B20" s="62">
        <v>365698</v>
      </c>
    </row>
    <row r="21" spans="1:2" ht="18.75" x14ac:dyDescent="0.25">
      <c r="A21" s="78" t="s">
        <v>23</v>
      </c>
      <c r="B21" s="62">
        <v>3536418</v>
      </c>
    </row>
    <row r="22" spans="1:2" ht="18.75" x14ac:dyDescent="0.25">
      <c r="A22" s="78" t="s">
        <v>39</v>
      </c>
      <c r="B22" s="62">
        <v>978313</v>
      </c>
    </row>
    <row r="23" spans="1:2" ht="18.75" x14ac:dyDescent="0.25">
      <c r="A23" s="78" t="s">
        <v>40</v>
      </c>
      <c r="B23" s="62">
        <v>176830</v>
      </c>
    </row>
    <row r="24" spans="1:2" ht="19.5" thickBot="1" x14ac:dyDescent="0.3">
      <c r="A24" s="79" t="s">
        <v>41</v>
      </c>
      <c r="B24" s="62">
        <v>1694656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26C9-BE40-4737-B82C-0FC4DE4EFF5B}">
  <dimension ref="C1:I26"/>
  <sheetViews>
    <sheetView workbookViewId="0">
      <selection activeCell="G9" sqref="G9:G25"/>
    </sheetView>
  </sheetViews>
  <sheetFormatPr baseColWidth="10" defaultRowHeight="15" x14ac:dyDescent="0.25"/>
  <cols>
    <col min="3" max="3" width="13.7109375" customWidth="1"/>
    <col min="4" max="5" width="11.42578125" style="63"/>
  </cols>
  <sheetData>
    <row r="1" spans="3:9" ht="15.75" thickBot="1" x14ac:dyDescent="0.3">
      <c r="C1" t="s">
        <v>25</v>
      </c>
      <c r="D1" s="63" t="s">
        <v>258</v>
      </c>
      <c r="E1" s="63" t="s">
        <v>26</v>
      </c>
      <c r="F1" t="s">
        <v>259</v>
      </c>
    </row>
    <row r="2" spans="3:9" x14ac:dyDescent="0.25">
      <c r="C2" t="s">
        <v>17</v>
      </c>
      <c r="D2" s="63">
        <v>8063</v>
      </c>
      <c r="E2" s="55">
        <v>44286</v>
      </c>
      <c r="G2" s="33">
        <v>8063</v>
      </c>
      <c r="H2" s="289"/>
    </row>
    <row r="3" spans="3:9" x14ac:dyDescent="0.25">
      <c r="C3" t="s">
        <v>44</v>
      </c>
      <c r="D3" s="63">
        <v>2109</v>
      </c>
      <c r="E3" s="55">
        <v>44284</v>
      </c>
      <c r="G3" s="4">
        <v>1707</v>
      </c>
      <c r="I3" s="289"/>
    </row>
    <row r="4" spans="3:9" x14ac:dyDescent="0.25">
      <c r="C4" t="s">
        <v>29</v>
      </c>
      <c r="D4" s="63">
        <v>395</v>
      </c>
      <c r="E4" s="55">
        <v>44211</v>
      </c>
      <c r="G4" s="4">
        <v>79</v>
      </c>
      <c r="I4" s="289"/>
    </row>
    <row r="5" spans="3:9" x14ac:dyDescent="0.25">
      <c r="C5" t="s">
        <v>16</v>
      </c>
      <c r="D5" s="63">
        <v>335</v>
      </c>
      <c r="E5" s="55">
        <v>44168</v>
      </c>
      <c r="G5" s="4">
        <v>175</v>
      </c>
      <c r="I5" s="289"/>
    </row>
    <row r="6" spans="3:9" x14ac:dyDescent="0.25">
      <c r="C6" t="s">
        <v>30</v>
      </c>
      <c r="D6" s="63">
        <v>673</v>
      </c>
      <c r="E6" s="55">
        <v>44127</v>
      </c>
      <c r="G6" s="4">
        <v>215</v>
      </c>
      <c r="I6" s="289"/>
    </row>
    <row r="7" spans="3:9" x14ac:dyDescent="0.25">
      <c r="C7" t="s">
        <v>21</v>
      </c>
      <c r="D7" s="63">
        <v>2480</v>
      </c>
      <c r="E7" s="55">
        <v>44125</v>
      </c>
      <c r="G7" s="4">
        <v>1260</v>
      </c>
      <c r="I7" s="289"/>
    </row>
    <row r="8" spans="3:9" x14ac:dyDescent="0.25">
      <c r="C8" t="s">
        <v>31</v>
      </c>
      <c r="D8" s="63">
        <v>1130</v>
      </c>
      <c r="E8" s="55">
        <v>44164</v>
      </c>
      <c r="G8" s="4">
        <v>291</v>
      </c>
      <c r="I8" s="289"/>
    </row>
    <row r="9" spans="3:9" x14ac:dyDescent="0.25">
      <c r="C9" t="s">
        <v>32</v>
      </c>
      <c r="D9" s="63">
        <v>587</v>
      </c>
      <c r="E9" s="55">
        <v>44203</v>
      </c>
      <c r="G9" s="4">
        <v>299</v>
      </c>
      <c r="I9" s="289"/>
    </row>
    <row r="10" spans="3:9" x14ac:dyDescent="0.25">
      <c r="C10" t="s">
        <v>42</v>
      </c>
      <c r="D10" s="63">
        <v>175</v>
      </c>
      <c r="E10" s="55">
        <v>44204</v>
      </c>
      <c r="G10" s="4">
        <v>175</v>
      </c>
      <c r="I10" s="289"/>
    </row>
    <row r="11" spans="3:9" x14ac:dyDescent="0.25">
      <c r="C11" t="s">
        <v>33</v>
      </c>
      <c r="D11" s="63">
        <v>357</v>
      </c>
      <c r="E11" s="55">
        <v>44286</v>
      </c>
      <c r="G11" s="4">
        <v>76</v>
      </c>
      <c r="I11" s="289"/>
    </row>
    <row r="12" spans="3:9" x14ac:dyDescent="0.25">
      <c r="C12" t="s">
        <v>34</v>
      </c>
      <c r="D12" s="63">
        <v>412</v>
      </c>
      <c r="E12" s="55">
        <v>44077</v>
      </c>
      <c r="G12" s="4">
        <v>89</v>
      </c>
      <c r="I12" s="289"/>
    </row>
    <row r="13" spans="3:9" x14ac:dyDescent="0.25">
      <c r="C13" t="s">
        <v>22</v>
      </c>
      <c r="D13" s="63">
        <v>350</v>
      </c>
      <c r="E13" s="55">
        <v>44203</v>
      </c>
      <c r="G13" s="4">
        <v>72</v>
      </c>
      <c r="I13" s="289"/>
    </row>
    <row r="14" spans="3:9" x14ac:dyDescent="0.25">
      <c r="C14" t="s">
        <v>18</v>
      </c>
      <c r="D14" s="63">
        <v>1155</v>
      </c>
      <c r="E14" s="55">
        <v>44095</v>
      </c>
      <c r="G14" s="4">
        <v>521</v>
      </c>
      <c r="I14" s="289"/>
    </row>
    <row r="15" spans="3:9" x14ac:dyDescent="0.25">
      <c r="C15" t="s">
        <v>24</v>
      </c>
      <c r="D15" s="63">
        <v>284</v>
      </c>
      <c r="E15" s="55">
        <v>44125</v>
      </c>
      <c r="G15" s="4">
        <v>134</v>
      </c>
      <c r="I15" s="289"/>
    </row>
    <row r="16" spans="3:9" x14ac:dyDescent="0.25">
      <c r="C16" t="s">
        <v>20</v>
      </c>
      <c r="D16" s="63">
        <v>1305</v>
      </c>
      <c r="E16" s="55">
        <v>44229</v>
      </c>
      <c r="G16" s="4">
        <v>140</v>
      </c>
      <c r="I16" s="289"/>
    </row>
    <row r="17" spans="3:9" x14ac:dyDescent="0.25">
      <c r="C17" t="s">
        <v>19</v>
      </c>
      <c r="D17" s="63">
        <v>539</v>
      </c>
      <c r="E17" s="55">
        <v>44124</v>
      </c>
      <c r="G17" s="4">
        <v>150</v>
      </c>
      <c r="I17" s="289"/>
    </row>
    <row r="18" spans="3:9" x14ac:dyDescent="0.25">
      <c r="C18" t="s">
        <v>35</v>
      </c>
      <c r="D18" s="63">
        <v>469</v>
      </c>
      <c r="E18" s="55">
        <v>44145</v>
      </c>
      <c r="G18" s="4">
        <v>153</v>
      </c>
      <c r="I18" s="289"/>
    </row>
    <row r="19" spans="3:9" x14ac:dyDescent="0.25">
      <c r="C19" t="s">
        <v>36</v>
      </c>
      <c r="D19" s="63">
        <v>493</v>
      </c>
      <c r="E19" s="55">
        <v>44099</v>
      </c>
      <c r="G19" s="4">
        <v>179</v>
      </c>
      <c r="I19" s="289"/>
    </row>
    <row r="20" spans="3:9" x14ac:dyDescent="0.25">
      <c r="C20" t="s">
        <v>37</v>
      </c>
      <c r="D20" s="63">
        <v>627</v>
      </c>
      <c r="E20" s="55">
        <v>44159</v>
      </c>
      <c r="G20" s="4">
        <v>203</v>
      </c>
      <c r="I20" s="289"/>
    </row>
    <row r="21" spans="3:9" x14ac:dyDescent="0.25">
      <c r="C21" t="s">
        <v>38</v>
      </c>
      <c r="D21" s="63">
        <v>528</v>
      </c>
      <c r="E21" s="55">
        <v>44240</v>
      </c>
      <c r="G21" s="4">
        <v>195</v>
      </c>
      <c r="I21" s="289"/>
    </row>
    <row r="22" spans="3:9" x14ac:dyDescent="0.25">
      <c r="C22" t="s">
        <v>23</v>
      </c>
      <c r="D22" s="63">
        <v>2673</v>
      </c>
      <c r="E22" s="55">
        <v>44201</v>
      </c>
      <c r="G22" s="4">
        <v>920</v>
      </c>
      <c r="I22" s="289"/>
    </row>
    <row r="23" spans="3:9" x14ac:dyDescent="0.25">
      <c r="C23" t="s">
        <v>39</v>
      </c>
      <c r="D23" s="63">
        <v>573</v>
      </c>
      <c r="E23" s="55">
        <v>44125</v>
      </c>
      <c r="G23" s="4">
        <v>128</v>
      </c>
      <c r="I23" s="289"/>
    </row>
    <row r="24" spans="3:9" x14ac:dyDescent="0.25">
      <c r="C24" t="s">
        <v>40</v>
      </c>
      <c r="D24" s="63">
        <v>338</v>
      </c>
      <c r="E24" s="55">
        <v>44116</v>
      </c>
      <c r="G24" s="4">
        <v>84</v>
      </c>
      <c r="I24" s="289"/>
    </row>
    <row r="25" spans="3:9" ht="15.75" thickBot="1" x14ac:dyDescent="0.3">
      <c r="C25" t="s">
        <v>41</v>
      </c>
      <c r="D25" s="63">
        <v>2217</v>
      </c>
      <c r="E25" s="55">
        <v>44128</v>
      </c>
      <c r="G25" s="37">
        <v>748</v>
      </c>
      <c r="I25" s="289"/>
    </row>
    <row r="26" spans="3:9" x14ac:dyDescent="0.25">
      <c r="E26" s="55">
        <v>44111</v>
      </c>
      <c r="I26" s="2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1AEC-D3B3-4BA3-B457-70D5C99859F5}">
  <dimension ref="A1:T26"/>
  <sheetViews>
    <sheetView topLeftCell="A13" workbookViewId="0">
      <selection activeCell="T2" sqref="T2"/>
    </sheetView>
  </sheetViews>
  <sheetFormatPr baseColWidth="10" defaultRowHeight="15" customHeight="1" x14ac:dyDescent="0.25"/>
  <cols>
    <col min="1" max="1" width="18" bestFit="1" customWidth="1"/>
    <col min="2" max="6" width="0" style="63" hidden="1" customWidth="1"/>
    <col min="7" max="9" width="7" style="63" hidden="1" customWidth="1"/>
    <col min="10" max="11" width="0" style="63" hidden="1" customWidth="1"/>
    <col min="12" max="12" width="16.42578125" style="110" customWidth="1"/>
    <col min="13" max="13" width="13.85546875" hidden="1" customWidth="1"/>
    <col min="14" max="14" width="12.140625" hidden="1" customWidth="1"/>
    <col min="15" max="17" width="0" hidden="1" customWidth="1"/>
    <col min="19" max="19" width="14" customWidth="1"/>
    <col min="20" max="20" width="15.28515625" customWidth="1"/>
  </cols>
  <sheetData>
    <row r="1" spans="1:20" s="229" customFormat="1" ht="45" x14ac:dyDescent="0.25">
      <c r="A1" s="352" t="s">
        <v>25</v>
      </c>
      <c r="B1" s="353" t="s">
        <v>226</v>
      </c>
      <c r="C1" s="354" t="s">
        <v>227</v>
      </c>
      <c r="D1" s="354" t="s">
        <v>228</v>
      </c>
      <c r="E1" s="354" t="s">
        <v>229</v>
      </c>
      <c r="F1" s="354" t="s">
        <v>230</v>
      </c>
      <c r="G1" s="354" t="s">
        <v>231</v>
      </c>
      <c r="H1" s="354" t="s">
        <v>232</v>
      </c>
      <c r="I1" s="354" t="s">
        <v>233</v>
      </c>
      <c r="J1" s="354" t="s">
        <v>234</v>
      </c>
      <c r="K1" s="354" t="s">
        <v>235</v>
      </c>
      <c r="L1" s="355" t="s">
        <v>251</v>
      </c>
      <c r="M1" s="355" t="s">
        <v>249</v>
      </c>
      <c r="N1" s="355" t="s">
        <v>250</v>
      </c>
      <c r="O1" s="355" t="s">
        <v>252</v>
      </c>
      <c r="P1" s="356"/>
      <c r="Q1" s="356" t="s">
        <v>253</v>
      </c>
      <c r="R1" s="356" t="s">
        <v>254</v>
      </c>
      <c r="S1" s="356" t="s">
        <v>256</v>
      </c>
      <c r="T1" s="357" t="s">
        <v>257</v>
      </c>
    </row>
    <row r="2" spans="1:20" s="18" customFormat="1" ht="19.5" customHeight="1" x14ac:dyDescent="0.25">
      <c r="A2" s="358" t="s">
        <v>17</v>
      </c>
      <c r="B2" s="359">
        <v>3132977.2</v>
      </c>
      <c r="C2" s="360">
        <v>2509397</v>
      </c>
      <c r="D2" s="360">
        <v>2255600</v>
      </c>
      <c r="E2" s="360">
        <v>1747770</v>
      </c>
      <c r="F2" s="360">
        <v>1411418</v>
      </c>
      <c r="G2" s="360">
        <v>935216</v>
      </c>
      <c r="H2" s="360">
        <v>408004</v>
      </c>
      <c r="I2" s="360">
        <v>87171</v>
      </c>
      <c r="J2" s="360">
        <v>3458</v>
      </c>
      <c r="K2" s="360">
        <v>12491011.199999999</v>
      </c>
      <c r="L2" s="334">
        <f>SUM(F2:J2)</f>
        <v>2845267</v>
      </c>
      <c r="M2" s="335" t="s">
        <v>240</v>
      </c>
      <c r="N2" s="335">
        <v>366626</v>
      </c>
      <c r="O2" s="336">
        <f>N2/L2</f>
        <v>0.12885469096573363</v>
      </c>
      <c r="P2" s="337" t="s">
        <v>240</v>
      </c>
      <c r="Q2" s="337">
        <v>137570</v>
      </c>
      <c r="R2" s="337">
        <v>23423</v>
      </c>
      <c r="S2" s="338">
        <f>R2/Q2</f>
        <v>0.17026241186305155</v>
      </c>
      <c r="T2" s="339">
        <f>R2/N2</f>
        <v>6.3887994850337942E-2</v>
      </c>
    </row>
    <row r="3" spans="1:20" s="18" customFormat="1" ht="19.5" customHeight="1" x14ac:dyDescent="0.25">
      <c r="A3" s="358" t="s">
        <v>44</v>
      </c>
      <c r="B3" s="359">
        <v>481912.6</v>
      </c>
      <c r="C3" s="360">
        <v>461360</v>
      </c>
      <c r="D3" s="360">
        <v>426854</v>
      </c>
      <c r="E3" s="360">
        <v>326370</v>
      </c>
      <c r="F3" s="360">
        <v>292000</v>
      </c>
      <c r="G3" s="360">
        <v>219513</v>
      </c>
      <c r="H3" s="360">
        <v>112336</v>
      </c>
      <c r="I3" s="360">
        <v>33129</v>
      </c>
      <c r="J3" s="360">
        <v>1722</v>
      </c>
      <c r="K3" s="360">
        <v>2355196.6</v>
      </c>
      <c r="L3" s="332">
        <f t="shared" ref="L3:L26" si="0">SUM(F3:J3)</f>
        <v>658700</v>
      </c>
      <c r="M3" s="1" t="s">
        <v>44</v>
      </c>
      <c r="N3" s="1">
        <v>112309</v>
      </c>
      <c r="O3" s="331">
        <f t="shared" ref="O3:O26" si="1">N3/L3</f>
        <v>0.17050098679216638</v>
      </c>
      <c r="P3" s="1" t="s">
        <v>44</v>
      </c>
      <c r="Q3" s="1">
        <v>45202</v>
      </c>
      <c r="R3" s="1">
        <v>6032</v>
      </c>
      <c r="S3" s="333">
        <f t="shared" ref="S3:S26" si="2">R3/Q3</f>
        <v>0.13344542276890403</v>
      </c>
      <c r="T3" s="340">
        <f t="shared" ref="T3:T26" si="3">R3/N3</f>
        <v>5.3708963662751873E-2</v>
      </c>
    </row>
    <row r="4" spans="1:20" s="18" customFormat="1" ht="19.5" customHeight="1" x14ac:dyDescent="0.25">
      <c r="A4" s="358" t="s">
        <v>29</v>
      </c>
      <c r="B4" s="359">
        <v>85553.8</v>
      </c>
      <c r="C4" s="360">
        <v>56220</v>
      </c>
      <c r="D4" s="360">
        <v>53259</v>
      </c>
      <c r="E4" s="360">
        <v>38689</v>
      </c>
      <c r="F4" s="360">
        <v>30537</v>
      </c>
      <c r="G4" s="360">
        <v>18291</v>
      </c>
      <c r="H4" s="360">
        <v>7533</v>
      </c>
      <c r="I4" s="360">
        <v>1661</v>
      </c>
      <c r="J4" s="360">
        <v>91</v>
      </c>
      <c r="K4" s="360">
        <v>291834.8</v>
      </c>
      <c r="L4" s="332">
        <f t="shared" si="0"/>
        <v>58113</v>
      </c>
      <c r="M4" s="1" t="s">
        <v>29</v>
      </c>
      <c r="N4" s="1">
        <v>10743</v>
      </c>
      <c r="O4" s="331">
        <f t="shared" si="1"/>
        <v>0.18486397191678283</v>
      </c>
      <c r="P4" s="1" t="s">
        <v>29</v>
      </c>
      <c r="Q4" s="1">
        <v>1385</v>
      </c>
      <c r="R4" s="1">
        <v>14</v>
      </c>
      <c r="S4" s="333">
        <f t="shared" si="2"/>
        <v>1.0108303249097473E-2</v>
      </c>
      <c r="T4" s="340">
        <f t="shared" si="3"/>
        <v>1.3031741599180862E-3</v>
      </c>
    </row>
    <row r="5" spans="1:20" s="18" customFormat="1" ht="19.5" customHeight="1" x14ac:dyDescent="0.25">
      <c r="A5" s="358" t="s">
        <v>16</v>
      </c>
      <c r="B5" s="359">
        <v>259957.8</v>
      </c>
      <c r="C5" s="360">
        <v>164137</v>
      </c>
      <c r="D5" s="360">
        <v>136504</v>
      </c>
      <c r="E5" s="360">
        <v>104779</v>
      </c>
      <c r="F5" s="360">
        <v>81778</v>
      </c>
      <c r="G5" s="360">
        <v>43820</v>
      </c>
      <c r="H5" s="360">
        <v>17641</v>
      </c>
      <c r="I5" s="360">
        <v>3395</v>
      </c>
      <c r="J5" s="360">
        <v>161</v>
      </c>
      <c r="K5" s="360">
        <v>812172.80000000005</v>
      </c>
      <c r="L5" s="332">
        <f t="shared" si="0"/>
        <v>146795</v>
      </c>
      <c r="M5" s="1" t="s">
        <v>16</v>
      </c>
      <c r="N5" s="1">
        <v>25232</v>
      </c>
      <c r="O5" s="331">
        <f t="shared" si="1"/>
        <v>0.17188596341837256</v>
      </c>
      <c r="P5" s="1" t="s">
        <v>16</v>
      </c>
      <c r="Q5" s="1">
        <v>5400</v>
      </c>
      <c r="R5" s="1">
        <v>712</v>
      </c>
      <c r="S5" s="333">
        <f t="shared" si="2"/>
        <v>0.13185185185185186</v>
      </c>
      <c r="T5" s="340">
        <f t="shared" si="3"/>
        <v>2.8218135700697526E-2</v>
      </c>
    </row>
    <row r="6" spans="1:20" s="18" customFormat="1" ht="19.5" customHeight="1" x14ac:dyDescent="0.25">
      <c r="A6" s="358" t="s">
        <v>30</v>
      </c>
      <c r="B6" s="359">
        <v>113678.8</v>
      </c>
      <c r="C6" s="360">
        <v>96575</v>
      </c>
      <c r="D6" s="360">
        <v>85078</v>
      </c>
      <c r="E6" s="360">
        <v>58795</v>
      </c>
      <c r="F6" s="360">
        <v>44044</v>
      </c>
      <c r="G6" s="360">
        <v>24912</v>
      </c>
      <c r="H6" s="360">
        <v>9806</v>
      </c>
      <c r="I6" s="360">
        <v>2104</v>
      </c>
      <c r="J6" s="360">
        <v>105</v>
      </c>
      <c r="K6" s="360">
        <v>435097.8</v>
      </c>
      <c r="L6" s="332">
        <f t="shared" si="0"/>
        <v>80971</v>
      </c>
      <c r="M6" s="1" t="s">
        <v>30</v>
      </c>
      <c r="N6" s="1">
        <v>14925</v>
      </c>
      <c r="O6" s="331">
        <f t="shared" si="1"/>
        <v>0.18432525225080584</v>
      </c>
      <c r="P6" s="1" t="s">
        <v>30</v>
      </c>
      <c r="Q6" s="1">
        <v>5779</v>
      </c>
      <c r="R6" s="1">
        <v>713</v>
      </c>
      <c r="S6" s="333">
        <f t="shared" si="2"/>
        <v>0.12337774701505451</v>
      </c>
      <c r="T6" s="340">
        <f t="shared" si="3"/>
        <v>4.7772194304857622E-2</v>
      </c>
    </row>
    <row r="7" spans="1:20" s="18" customFormat="1" ht="19.5" customHeight="1" x14ac:dyDescent="0.25">
      <c r="A7" s="358" t="s">
        <v>21</v>
      </c>
      <c r="B7" s="359">
        <v>707542</v>
      </c>
      <c r="C7" s="360">
        <v>545855</v>
      </c>
      <c r="D7" s="360">
        <v>476251</v>
      </c>
      <c r="E7" s="360">
        <v>369545</v>
      </c>
      <c r="F7" s="360">
        <v>305699</v>
      </c>
      <c r="G7" s="360">
        <v>212147</v>
      </c>
      <c r="H7" s="360">
        <v>91993</v>
      </c>
      <c r="I7" s="360">
        <v>19014</v>
      </c>
      <c r="J7" s="360">
        <v>766</v>
      </c>
      <c r="K7" s="360">
        <v>2728812</v>
      </c>
      <c r="L7" s="332">
        <f t="shared" si="0"/>
        <v>629619</v>
      </c>
      <c r="M7" s="1" t="s">
        <v>21</v>
      </c>
      <c r="N7" s="1">
        <v>111415</v>
      </c>
      <c r="O7" s="331">
        <f t="shared" si="1"/>
        <v>0.17695622273152495</v>
      </c>
      <c r="P7" s="1" t="s">
        <v>21</v>
      </c>
      <c r="Q7" s="1">
        <v>29582</v>
      </c>
      <c r="R7" s="1">
        <v>2601</v>
      </c>
      <c r="S7" s="333">
        <f t="shared" si="2"/>
        <v>8.7925089581502261E-2</v>
      </c>
      <c r="T7" s="340">
        <f t="shared" si="3"/>
        <v>2.3345151011982229E-2</v>
      </c>
    </row>
    <row r="8" spans="1:20" s="18" customFormat="1" ht="19.5" customHeight="1" x14ac:dyDescent="0.25">
      <c r="A8" s="358" t="s">
        <v>31</v>
      </c>
      <c r="B8" s="359">
        <v>236889.2</v>
      </c>
      <c r="C8" s="360">
        <v>149666</v>
      </c>
      <c r="D8" s="360">
        <v>126567</v>
      </c>
      <c r="E8" s="360">
        <v>103126</v>
      </c>
      <c r="F8" s="360">
        <v>82502</v>
      </c>
      <c r="G8" s="360">
        <v>48468</v>
      </c>
      <c r="H8" s="360">
        <v>19666</v>
      </c>
      <c r="I8" s="360">
        <v>4081</v>
      </c>
      <c r="J8" s="360">
        <v>235</v>
      </c>
      <c r="K8" s="360">
        <v>771200.2</v>
      </c>
      <c r="L8" s="332">
        <f t="shared" si="0"/>
        <v>154952</v>
      </c>
      <c r="M8" s="1" t="s">
        <v>31</v>
      </c>
      <c r="N8" s="1">
        <v>34386</v>
      </c>
      <c r="O8" s="331">
        <f t="shared" si="1"/>
        <v>0.22191388300893181</v>
      </c>
      <c r="P8" s="1" t="s">
        <v>31</v>
      </c>
      <c r="Q8" s="1">
        <v>3566</v>
      </c>
      <c r="R8" s="1">
        <v>255</v>
      </c>
      <c r="S8" s="333">
        <f t="shared" si="2"/>
        <v>7.1508693213684804E-2</v>
      </c>
      <c r="T8" s="340">
        <f t="shared" si="3"/>
        <v>7.4158087593788171E-3</v>
      </c>
    </row>
    <row r="9" spans="1:20" s="18" customFormat="1" ht="19.5" customHeight="1" x14ac:dyDescent="0.25">
      <c r="A9" s="358" t="s">
        <v>32</v>
      </c>
      <c r="B9" s="359">
        <v>264900</v>
      </c>
      <c r="C9" s="360">
        <v>191129</v>
      </c>
      <c r="D9" s="360">
        <v>173334</v>
      </c>
      <c r="E9" s="360">
        <v>135927</v>
      </c>
      <c r="F9" s="360">
        <v>110781</v>
      </c>
      <c r="G9" s="360">
        <v>73771</v>
      </c>
      <c r="H9" s="360">
        <v>31842</v>
      </c>
      <c r="I9" s="360">
        <v>6464</v>
      </c>
      <c r="J9" s="360">
        <v>307</v>
      </c>
      <c r="K9" s="360">
        <v>988455</v>
      </c>
      <c r="L9" s="332">
        <f t="shared" si="0"/>
        <v>223165</v>
      </c>
      <c r="M9" s="1" t="s">
        <v>238</v>
      </c>
      <c r="N9" s="1">
        <v>30463</v>
      </c>
      <c r="O9" s="331">
        <f t="shared" si="1"/>
        <v>0.13650438016714089</v>
      </c>
      <c r="P9" s="1" t="s">
        <v>238</v>
      </c>
      <c r="Q9" s="1">
        <v>7515</v>
      </c>
      <c r="R9" s="1">
        <v>791</v>
      </c>
      <c r="S9" s="333">
        <f t="shared" si="2"/>
        <v>0.10525615435795077</v>
      </c>
      <c r="T9" s="340">
        <f t="shared" si="3"/>
        <v>2.5965925877293766E-2</v>
      </c>
    </row>
    <row r="10" spans="1:20" s="18" customFormat="1" ht="19.5" customHeight="1" x14ac:dyDescent="0.25">
      <c r="A10" s="358" t="s">
        <v>42</v>
      </c>
      <c r="B10" s="359">
        <v>130932.2</v>
      </c>
      <c r="C10" s="360">
        <v>74039</v>
      </c>
      <c r="D10" s="360">
        <v>67019</v>
      </c>
      <c r="E10" s="360">
        <v>54948</v>
      </c>
      <c r="F10" s="360">
        <v>42711</v>
      </c>
      <c r="G10" s="360">
        <v>23865</v>
      </c>
      <c r="H10" s="360">
        <v>9790</v>
      </c>
      <c r="I10" s="360">
        <v>1876</v>
      </c>
      <c r="J10" s="360">
        <v>100</v>
      </c>
      <c r="K10" s="360">
        <v>405280.2</v>
      </c>
      <c r="L10" s="332">
        <f t="shared" si="0"/>
        <v>78342</v>
      </c>
      <c r="M10" s="1" t="s">
        <v>42</v>
      </c>
      <c r="N10" s="1">
        <v>21717</v>
      </c>
      <c r="O10" s="331">
        <f t="shared" si="1"/>
        <v>0.27720762809221106</v>
      </c>
      <c r="P10" s="1" t="s">
        <v>42</v>
      </c>
      <c r="Q10" s="1">
        <v>263</v>
      </c>
      <c r="R10" s="1">
        <v>21</v>
      </c>
      <c r="S10" s="333">
        <f t="shared" si="2"/>
        <v>7.9847908745247151E-2</v>
      </c>
      <c r="T10" s="340">
        <f t="shared" si="3"/>
        <v>9.6698439010913114E-4</v>
      </c>
    </row>
    <row r="11" spans="1:20" s="18" customFormat="1" ht="19.5" customHeight="1" x14ac:dyDescent="0.25">
      <c r="A11" s="358" t="s">
        <v>33</v>
      </c>
      <c r="B11" s="359">
        <v>159082.6</v>
      </c>
      <c r="C11" s="360">
        <v>106384</v>
      </c>
      <c r="D11" s="360">
        <v>98333</v>
      </c>
      <c r="E11" s="360">
        <v>68050</v>
      </c>
      <c r="F11" s="360">
        <v>52121</v>
      </c>
      <c r="G11" s="360">
        <v>31343</v>
      </c>
      <c r="H11" s="360">
        <v>12499</v>
      </c>
      <c r="I11" s="360">
        <v>2348</v>
      </c>
      <c r="J11" s="360">
        <v>104</v>
      </c>
      <c r="K11" s="360">
        <v>530264.6</v>
      </c>
      <c r="L11" s="332">
        <f t="shared" si="0"/>
        <v>98415</v>
      </c>
      <c r="M11" s="1" t="s">
        <v>33</v>
      </c>
      <c r="N11" s="1">
        <v>20186</v>
      </c>
      <c r="O11" s="331">
        <f t="shared" si="1"/>
        <v>0.20511100950058425</v>
      </c>
      <c r="P11" s="1" t="s">
        <v>33</v>
      </c>
      <c r="Q11" s="1">
        <v>4364</v>
      </c>
      <c r="R11" s="1">
        <v>717</v>
      </c>
      <c r="S11" s="333">
        <f t="shared" si="2"/>
        <v>0.16429880843263062</v>
      </c>
      <c r="T11" s="340">
        <f t="shared" si="3"/>
        <v>3.5519667096007131E-2</v>
      </c>
    </row>
    <row r="12" spans="1:20" s="18" customFormat="1" ht="19.5" customHeight="1" x14ac:dyDescent="0.25">
      <c r="A12" s="358" t="s">
        <v>34</v>
      </c>
      <c r="B12" s="359">
        <v>64693.8</v>
      </c>
      <c r="C12" s="360">
        <v>49870</v>
      </c>
      <c r="D12" s="360">
        <v>45672</v>
      </c>
      <c r="E12" s="360">
        <v>37472</v>
      </c>
      <c r="F12" s="360">
        <v>30346</v>
      </c>
      <c r="G12" s="360">
        <v>20846</v>
      </c>
      <c r="H12" s="360">
        <v>9286</v>
      </c>
      <c r="I12" s="360">
        <v>1993</v>
      </c>
      <c r="J12" s="360">
        <v>89</v>
      </c>
      <c r="K12" s="360">
        <v>260267.8</v>
      </c>
      <c r="L12" s="332">
        <f t="shared" si="0"/>
        <v>62560</v>
      </c>
      <c r="M12" s="1" t="s">
        <v>244</v>
      </c>
      <c r="N12" s="1">
        <v>13868</v>
      </c>
      <c r="O12" s="331">
        <f t="shared" si="1"/>
        <v>0.22167519181585676</v>
      </c>
      <c r="P12" s="1" t="s">
        <v>244</v>
      </c>
      <c r="Q12" s="1">
        <v>3436</v>
      </c>
      <c r="R12" s="1">
        <v>286</v>
      </c>
      <c r="S12" s="333">
        <f t="shared" si="2"/>
        <v>8.3236321303841676E-2</v>
      </c>
      <c r="T12" s="340">
        <f t="shared" si="3"/>
        <v>2.0623017017594461E-2</v>
      </c>
    </row>
    <row r="13" spans="1:20" s="18" customFormat="1" ht="19.5" customHeight="1" x14ac:dyDescent="0.25">
      <c r="A13" s="358" t="s">
        <v>22</v>
      </c>
      <c r="B13" s="359">
        <v>83711.8</v>
      </c>
      <c r="C13" s="360">
        <v>59274</v>
      </c>
      <c r="D13" s="360">
        <v>49715</v>
      </c>
      <c r="E13" s="360">
        <v>35757</v>
      </c>
      <c r="F13" s="360">
        <v>27391</v>
      </c>
      <c r="G13" s="360">
        <v>15610</v>
      </c>
      <c r="H13" s="360">
        <v>6227</v>
      </c>
      <c r="I13" s="360">
        <v>1331</v>
      </c>
      <c r="J13" s="360">
        <v>68</v>
      </c>
      <c r="K13" s="360">
        <v>279084.79999999999</v>
      </c>
      <c r="L13" s="332">
        <f t="shared" si="0"/>
        <v>50627</v>
      </c>
      <c r="M13" s="1" t="s">
        <v>248</v>
      </c>
      <c r="N13" s="1">
        <v>10485</v>
      </c>
      <c r="O13" s="331">
        <f t="shared" si="1"/>
        <v>0.20710292926699192</v>
      </c>
      <c r="P13" s="1" t="s">
        <v>248</v>
      </c>
      <c r="Q13" s="1">
        <v>1664</v>
      </c>
      <c r="R13" s="1">
        <v>344</v>
      </c>
      <c r="S13" s="333">
        <f t="shared" si="2"/>
        <v>0.20673076923076922</v>
      </c>
      <c r="T13" s="340">
        <f t="shared" si="3"/>
        <v>3.2808774439675725E-2</v>
      </c>
    </row>
    <row r="14" spans="1:20" s="18" customFormat="1" ht="19.5" customHeight="1" x14ac:dyDescent="0.25">
      <c r="A14" s="358" t="s">
        <v>18</v>
      </c>
      <c r="B14" s="359">
        <v>372529.6</v>
      </c>
      <c r="C14" s="360">
        <v>285498</v>
      </c>
      <c r="D14" s="360">
        <v>244705</v>
      </c>
      <c r="E14" s="360">
        <v>184482</v>
      </c>
      <c r="F14" s="360">
        <v>155701</v>
      </c>
      <c r="G14" s="360">
        <v>106963</v>
      </c>
      <c r="H14" s="360">
        <v>45135</v>
      </c>
      <c r="I14" s="360">
        <v>9607</v>
      </c>
      <c r="J14" s="360">
        <v>380</v>
      </c>
      <c r="K14" s="360">
        <v>1405000.6</v>
      </c>
      <c r="L14" s="332">
        <f t="shared" si="0"/>
        <v>317786</v>
      </c>
      <c r="M14" s="1" t="s">
        <v>18</v>
      </c>
      <c r="N14" s="1">
        <v>58251</v>
      </c>
      <c r="O14" s="331">
        <f t="shared" si="1"/>
        <v>0.18330259986280076</v>
      </c>
      <c r="P14" s="1" t="s">
        <v>18</v>
      </c>
      <c r="Q14" s="1">
        <v>11989</v>
      </c>
      <c r="R14" s="1">
        <v>1247</v>
      </c>
      <c r="S14" s="333">
        <f t="shared" si="2"/>
        <v>0.10401201101009258</v>
      </c>
      <c r="T14" s="340">
        <f t="shared" si="3"/>
        <v>2.1407357813599766E-2</v>
      </c>
    </row>
    <row r="15" spans="1:20" s="18" customFormat="1" ht="19.5" customHeight="1" x14ac:dyDescent="0.25">
      <c r="A15" s="358" t="s">
        <v>24</v>
      </c>
      <c r="B15" s="359">
        <v>273626.8</v>
      </c>
      <c r="C15" s="360">
        <v>165516</v>
      </c>
      <c r="D15" s="360">
        <v>140207</v>
      </c>
      <c r="E15" s="360">
        <v>109217</v>
      </c>
      <c r="F15" s="360">
        <v>81914</v>
      </c>
      <c r="G15" s="360">
        <v>43580</v>
      </c>
      <c r="H15" s="360">
        <v>17508</v>
      </c>
      <c r="I15" s="360">
        <v>3301</v>
      </c>
      <c r="J15" s="360">
        <v>159</v>
      </c>
      <c r="K15" s="360">
        <v>835028.8</v>
      </c>
      <c r="L15" s="332">
        <f t="shared" si="0"/>
        <v>146462</v>
      </c>
      <c r="M15" s="1" t="s">
        <v>24</v>
      </c>
      <c r="N15" s="1">
        <v>21849</v>
      </c>
      <c r="O15" s="331">
        <f t="shared" si="1"/>
        <v>0.14917862653794159</v>
      </c>
      <c r="P15" s="1" t="s">
        <v>24</v>
      </c>
      <c r="Q15" s="1">
        <v>1967</v>
      </c>
      <c r="R15" s="1">
        <v>161</v>
      </c>
      <c r="S15" s="333">
        <f t="shared" si="2"/>
        <v>8.1850533807829182E-2</v>
      </c>
      <c r="T15" s="340">
        <f t="shared" si="3"/>
        <v>7.368758295574168E-3</v>
      </c>
    </row>
    <row r="16" spans="1:20" s="18" customFormat="1" ht="19.5" customHeight="1" x14ac:dyDescent="0.25">
      <c r="A16" s="358" t="s">
        <v>236</v>
      </c>
      <c r="B16" s="359">
        <v>123541</v>
      </c>
      <c r="C16" s="360">
        <v>98247</v>
      </c>
      <c r="D16" s="360">
        <v>88824</v>
      </c>
      <c r="E16" s="360">
        <v>65924</v>
      </c>
      <c r="F16" s="360">
        <v>48096</v>
      </c>
      <c r="G16" s="360">
        <v>26620</v>
      </c>
      <c r="H16" s="360">
        <v>9881</v>
      </c>
      <c r="I16" s="360">
        <v>1994</v>
      </c>
      <c r="J16" s="360">
        <v>105</v>
      </c>
      <c r="K16" s="360">
        <v>463232</v>
      </c>
      <c r="L16" s="332">
        <f t="shared" si="0"/>
        <v>86696</v>
      </c>
      <c r="M16" s="1" t="s">
        <v>20</v>
      </c>
      <c r="N16" s="1">
        <v>21886</v>
      </c>
      <c r="O16" s="331">
        <f t="shared" si="1"/>
        <v>0.25244532619728705</v>
      </c>
      <c r="P16" s="1" t="s">
        <v>20</v>
      </c>
      <c r="Q16" s="1">
        <v>8619</v>
      </c>
      <c r="R16" s="1">
        <v>817</v>
      </c>
      <c r="S16" s="333">
        <f t="shared" si="2"/>
        <v>9.4790578953474883E-2</v>
      </c>
      <c r="T16" s="340">
        <f t="shared" si="3"/>
        <v>3.7329799872064334E-2</v>
      </c>
    </row>
    <row r="17" spans="1:20" s="18" customFormat="1" ht="19.5" customHeight="1" x14ac:dyDescent="0.25">
      <c r="A17" s="358" t="s">
        <v>19</v>
      </c>
      <c r="B17" s="359">
        <v>139251.6</v>
      </c>
      <c r="C17" s="360">
        <v>108907</v>
      </c>
      <c r="D17" s="360">
        <v>98660</v>
      </c>
      <c r="E17" s="360">
        <v>74336</v>
      </c>
      <c r="F17" s="360">
        <v>57892</v>
      </c>
      <c r="G17" s="360">
        <v>35465</v>
      </c>
      <c r="H17" s="360">
        <v>14161</v>
      </c>
      <c r="I17" s="360">
        <v>3017</v>
      </c>
      <c r="J17" s="360">
        <v>135</v>
      </c>
      <c r="K17" s="360">
        <v>531824.6</v>
      </c>
      <c r="L17" s="332">
        <f t="shared" si="0"/>
        <v>110670</v>
      </c>
      <c r="M17" s="1" t="s">
        <v>239</v>
      </c>
      <c r="N17" s="1">
        <v>19066</v>
      </c>
      <c r="O17" s="331">
        <f t="shared" si="1"/>
        <v>0.1722779434354387</v>
      </c>
      <c r="P17" s="1" t="s">
        <v>239</v>
      </c>
      <c r="Q17" s="1">
        <v>8639</v>
      </c>
      <c r="R17" s="1">
        <v>1048</v>
      </c>
      <c r="S17" s="333">
        <f t="shared" si="2"/>
        <v>0.12131033684454219</v>
      </c>
      <c r="T17" s="340">
        <f t="shared" si="3"/>
        <v>5.4966956886604426E-2</v>
      </c>
    </row>
    <row r="18" spans="1:20" s="18" customFormat="1" ht="19.5" customHeight="1" x14ac:dyDescent="0.25">
      <c r="A18" s="358" t="s">
        <v>35</v>
      </c>
      <c r="B18" s="359">
        <v>299087.2</v>
      </c>
      <c r="C18" s="360">
        <v>192069</v>
      </c>
      <c r="D18" s="360">
        <v>165088</v>
      </c>
      <c r="E18" s="360">
        <v>119452</v>
      </c>
      <c r="F18" s="360">
        <v>89297</v>
      </c>
      <c r="G18" s="360">
        <v>53814</v>
      </c>
      <c r="H18" s="360">
        <v>21890</v>
      </c>
      <c r="I18" s="360">
        <v>4285</v>
      </c>
      <c r="J18" s="360">
        <v>200</v>
      </c>
      <c r="K18" s="360">
        <v>945182.2</v>
      </c>
      <c r="L18" s="332">
        <f t="shared" si="0"/>
        <v>169486</v>
      </c>
      <c r="M18" s="1" t="s">
        <v>35</v>
      </c>
      <c r="N18" s="1">
        <v>37353</v>
      </c>
      <c r="O18" s="331">
        <f t="shared" si="1"/>
        <v>0.22038988471024154</v>
      </c>
      <c r="P18" s="1" t="s">
        <v>35</v>
      </c>
      <c r="Q18" s="1">
        <v>4787</v>
      </c>
      <c r="R18" s="1">
        <v>882</v>
      </c>
      <c r="S18" s="333">
        <f t="shared" si="2"/>
        <v>0.18424900772926675</v>
      </c>
      <c r="T18" s="340">
        <f t="shared" si="3"/>
        <v>2.3612561240061038E-2</v>
      </c>
    </row>
    <row r="19" spans="1:20" s="18" customFormat="1" ht="19.5" customHeight="1" x14ac:dyDescent="0.25">
      <c r="A19" s="358" t="s">
        <v>36</v>
      </c>
      <c r="B19" s="359">
        <v>154725.79999999999</v>
      </c>
      <c r="C19" s="360">
        <v>106946</v>
      </c>
      <c r="D19" s="360">
        <v>95810</v>
      </c>
      <c r="E19" s="360">
        <v>70656</v>
      </c>
      <c r="F19" s="360">
        <v>57729</v>
      </c>
      <c r="G19" s="360">
        <v>37992</v>
      </c>
      <c r="H19" s="360">
        <v>14327</v>
      </c>
      <c r="I19" s="360">
        <v>2625</v>
      </c>
      <c r="J19" s="360">
        <v>97</v>
      </c>
      <c r="K19" s="360">
        <v>540907.80000000005</v>
      </c>
      <c r="L19" s="332">
        <f t="shared" si="0"/>
        <v>112770</v>
      </c>
      <c r="M19" s="1" t="s">
        <v>242</v>
      </c>
      <c r="N19" s="1">
        <v>17981</v>
      </c>
      <c r="O19" s="331">
        <f t="shared" si="1"/>
        <v>0.15944843486742927</v>
      </c>
      <c r="P19" s="1" t="s">
        <v>242</v>
      </c>
      <c r="Q19" s="1">
        <v>2281</v>
      </c>
      <c r="R19" s="1">
        <v>183</v>
      </c>
      <c r="S19" s="333">
        <f t="shared" si="2"/>
        <v>8.0227970188513811E-2</v>
      </c>
      <c r="T19" s="340">
        <f t="shared" si="3"/>
        <v>1.0177409487792669E-2</v>
      </c>
    </row>
    <row r="20" spans="1:20" s="18" customFormat="1" ht="19.5" customHeight="1" x14ac:dyDescent="0.25">
      <c r="A20" s="358" t="s">
        <v>37</v>
      </c>
      <c r="B20" s="359">
        <v>100263.6</v>
      </c>
      <c r="C20" s="360">
        <v>70572</v>
      </c>
      <c r="D20" s="360">
        <v>64680</v>
      </c>
      <c r="E20" s="360">
        <v>49085</v>
      </c>
      <c r="F20" s="360">
        <v>39293</v>
      </c>
      <c r="G20" s="360">
        <v>25133</v>
      </c>
      <c r="H20" s="360">
        <v>9929</v>
      </c>
      <c r="I20" s="360">
        <v>2090</v>
      </c>
      <c r="J20" s="360">
        <v>110</v>
      </c>
      <c r="K20" s="360">
        <v>361155.6</v>
      </c>
      <c r="L20" s="332">
        <f t="shared" si="0"/>
        <v>76555</v>
      </c>
      <c r="M20" s="1" t="s">
        <v>246</v>
      </c>
      <c r="N20" s="1">
        <v>22750</v>
      </c>
      <c r="O20" s="331">
        <f t="shared" si="1"/>
        <v>0.29717196786623995</v>
      </c>
      <c r="P20" s="1" t="s">
        <v>246</v>
      </c>
      <c r="Q20" s="1">
        <v>2988</v>
      </c>
      <c r="R20" s="1">
        <v>326</v>
      </c>
      <c r="S20" s="333">
        <f t="shared" si="2"/>
        <v>0.10910307898259705</v>
      </c>
      <c r="T20" s="340">
        <f t="shared" si="3"/>
        <v>1.432967032967033E-2</v>
      </c>
    </row>
    <row r="21" spans="1:20" s="18" customFormat="1" ht="19.5" customHeight="1" x14ac:dyDescent="0.25">
      <c r="A21" s="358" t="s">
        <v>38</v>
      </c>
      <c r="B21" s="359">
        <v>68385.600000000006</v>
      </c>
      <c r="C21" s="360">
        <v>61973</v>
      </c>
      <c r="D21" s="360">
        <v>50384</v>
      </c>
      <c r="E21" s="360">
        <v>32063</v>
      </c>
      <c r="F21" s="360">
        <v>21023</v>
      </c>
      <c r="G21" s="360">
        <v>10096</v>
      </c>
      <c r="H21" s="360">
        <v>3691</v>
      </c>
      <c r="I21" s="360">
        <v>636</v>
      </c>
      <c r="J21" s="360">
        <v>25</v>
      </c>
      <c r="K21" s="360">
        <v>248276.6</v>
      </c>
      <c r="L21" s="332">
        <f t="shared" si="0"/>
        <v>35471</v>
      </c>
      <c r="M21" s="1" t="s">
        <v>247</v>
      </c>
      <c r="N21" s="1">
        <v>8405</v>
      </c>
      <c r="O21" s="331">
        <f t="shared" si="1"/>
        <v>0.23695413154407827</v>
      </c>
      <c r="P21" s="1" t="s">
        <v>247</v>
      </c>
      <c r="Q21" s="1">
        <v>4089</v>
      </c>
      <c r="R21" s="1">
        <v>463</v>
      </c>
      <c r="S21" s="333">
        <f t="shared" si="2"/>
        <v>0.1132306187331866</v>
      </c>
      <c r="T21" s="340">
        <f t="shared" si="3"/>
        <v>5.5086258179654971E-2</v>
      </c>
    </row>
    <row r="22" spans="1:20" s="18" customFormat="1" ht="19.5" customHeight="1" x14ac:dyDescent="0.25">
      <c r="A22" s="358" t="s">
        <v>23</v>
      </c>
      <c r="B22" s="359">
        <v>643081.4</v>
      </c>
      <c r="C22" s="360">
        <v>530379</v>
      </c>
      <c r="D22" s="360">
        <v>456186</v>
      </c>
      <c r="E22" s="360">
        <v>351379</v>
      </c>
      <c r="F22" s="360">
        <v>296257</v>
      </c>
      <c r="G22" s="360">
        <v>199217</v>
      </c>
      <c r="H22" s="360">
        <v>93613</v>
      </c>
      <c r="I22" s="360">
        <v>21574</v>
      </c>
      <c r="J22" s="360">
        <v>964</v>
      </c>
      <c r="K22" s="360">
        <v>2592650.4</v>
      </c>
      <c r="L22" s="332">
        <f t="shared" si="0"/>
        <v>611625</v>
      </c>
      <c r="M22" s="1" t="s">
        <v>245</v>
      </c>
      <c r="N22" s="1">
        <v>76724</v>
      </c>
      <c r="O22" s="331">
        <f t="shared" si="1"/>
        <v>0.12544287758021663</v>
      </c>
      <c r="P22" s="1" t="s">
        <v>245</v>
      </c>
      <c r="Q22" s="1">
        <v>37926</v>
      </c>
      <c r="R22" s="1">
        <v>3649</v>
      </c>
      <c r="S22" s="333">
        <f t="shared" si="2"/>
        <v>9.621367927015767E-2</v>
      </c>
      <c r="T22" s="340">
        <f t="shared" si="3"/>
        <v>4.7560085501277306E-2</v>
      </c>
    </row>
    <row r="23" spans="1:20" s="18" customFormat="1" ht="19.5" customHeight="1" x14ac:dyDescent="0.25">
      <c r="A23" s="358" t="s">
        <v>39</v>
      </c>
      <c r="B23" s="359">
        <v>211452</v>
      </c>
      <c r="C23" s="360">
        <v>129102</v>
      </c>
      <c r="D23" s="360">
        <v>115483</v>
      </c>
      <c r="E23" s="360">
        <v>81291</v>
      </c>
      <c r="F23" s="360">
        <v>65126</v>
      </c>
      <c r="G23" s="360">
        <v>39272</v>
      </c>
      <c r="H23" s="360">
        <v>16336</v>
      </c>
      <c r="I23" s="360">
        <v>3289</v>
      </c>
      <c r="J23" s="360">
        <v>180</v>
      </c>
      <c r="K23" s="360">
        <v>661531</v>
      </c>
      <c r="L23" s="332">
        <f t="shared" si="0"/>
        <v>124203</v>
      </c>
      <c r="M23" s="1" t="s">
        <v>243</v>
      </c>
      <c r="N23" s="1">
        <v>20745</v>
      </c>
      <c r="O23" s="331">
        <f t="shared" si="1"/>
        <v>0.16702495108813797</v>
      </c>
      <c r="P23" s="1" t="s">
        <v>243</v>
      </c>
      <c r="Q23" s="1">
        <v>3579</v>
      </c>
      <c r="R23" s="1">
        <v>218</v>
      </c>
      <c r="S23" s="333">
        <f t="shared" si="2"/>
        <v>6.0910868957809443E-2</v>
      </c>
      <c r="T23" s="340">
        <f t="shared" si="3"/>
        <v>1.0508556278621354E-2</v>
      </c>
    </row>
    <row r="24" spans="1:20" s="18" customFormat="1" ht="19.5" customHeight="1" x14ac:dyDescent="0.25">
      <c r="A24" s="358" t="s">
        <v>237</v>
      </c>
      <c r="B24" s="359">
        <v>33668.6</v>
      </c>
      <c r="C24" s="360">
        <v>29423</v>
      </c>
      <c r="D24" s="360">
        <v>24321</v>
      </c>
      <c r="E24" s="360">
        <v>17465</v>
      </c>
      <c r="F24" s="360">
        <v>11395</v>
      </c>
      <c r="G24" s="360">
        <v>4338</v>
      </c>
      <c r="H24" s="360">
        <v>1266</v>
      </c>
      <c r="I24" s="360">
        <v>218</v>
      </c>
      <c r="J24" s="360">
        <v>9</v>
      </c>
      <c r="K24" s="360">
        <v>122103.6</v>
      </c>
      <c r="L24" s="332">
        <f t="shared" si="0"/>
        <v>17226</v>
      </c>
      <c r="M24" s="1" t="s">
        <v>241</v>
      </c>
      <c r="N24" s="1">
        <v>4175</v>
      </c>
      <c r="O24" s="331">
        <f t="shared" si="1"/>
        <v>0.2423661906420527</v>
      </c>
      <c r="P24" s="1" t="s">
        <v>241</v>
      </c>
      <c r="Q24" s="1">
        <v>2479</v>
      </c>
      <c r="R24" s="1">
        <v>283</v>
      </c>
      <c r="S24" s="333">
        <f t="shared" si="2"/>
        <v>0.11415893505445744</v>
      </c>
      <c r="T24" s="340">
        <f t="shared" si="3"/>
        <v>6.7784431137724546E-2</v>
      </c>
    </row>
    <row r="25" spans="1:20" s="18" customFormat="1" ht="19.5" customHeight="1" thickBot="1" x14ac:dyDescent="0.3">
      <c r="A25" s="361" t="s">
        <v>41</v>
      </c>
      <c r="B25" s="359">
        <v>345170</v>
      </c>
      <c r="C25" s="360">
        <v>240125</v>
      </c>
      <c r="D25" s="360">
        <v>205092</v>
      </c>
      <c r="E25" s="360">
        <v>145319</v>
      </c>
      <c r="F25" s="360">
        <v>125487</v>
      </c>
      <c r="G25" s="360">
        <v>73101</v>
      </c>
      <c r="H25" s="360">
        <v>28916</v>
      </c>
      <c r="I25" s="360">
        <v>6139</v>
      </c>
      <c r="J25" s="360">
        <v>263</v>
      </c>
      <c r="K25" s="360">
        <v>1169612</v>
      </c>
      <c r="L25" s="341">
        <f t="shared" si="0"/>
        <v>233906</v>
      </c>
      <c r="M25" s="342" t="s">
        <v>41</v>
      </c>
      <c r="N25" s="342">
        <v>51564</v>
      </c>
      <c r="O25" s="343">
        <f t="shared" si="1"/>
        <v>0.22044753020444111</v>
      </c>
      <c r="P25" s="342" t="s">
        <v>41</v>
      </c>
      <c r="Q25" s="342">
        <v>12587</v>
      </c>
      <c r="R25" s="342">
        <v>1116</v>
      </c>
      <c r="S25" s="344">
        <f t="shared" si="2"/>
        <v>8.8662906173035669E-2</v>
      </c>
      <c r="T25" s="345">
        <f t="shared" si="3"/>
        <v>2.1643006748894578E-2</v>
      </c>
    </row>
    <row r="26" spans="1:20" s="18" customFormat="1" ht="19.5" customHeight="1" thickBot="1" x14ac:dyDescent="0.3">
      <c r="A26" s="362" t="s">
        <v>255</v>
      </c>
      <c r="B26" s="363">
        <v>8486615</v>
      </c>
      <c r="C26" s="363">
        <v>6482663</v>
      </c>
      <c r="D26" s="363">
        <v>5743626</v>
      </c>
      <c r="E26" s="363">
        <v>4381897</v>
      </c>
      <c r="F26" s="363">
        <v>3560538</v>
      </c>
      <c r="G26" s="363">
        <v>2323393</v>
      </c>
      <c r="H26" s="363">
        <v>1013276</v>
      </c>
      <c r="I26" s="363">
        <v>223342</v>
      </c>
      <c r="J26" s="363">
        <v>9833</v>
      </c>
      <c r="K26" s="363">
        <v>32225183</v>
      </c>
      <c r="L26" s="346">
        <f t="shared" si="0"/>
        <v>7130382</v>
      </c>
      <c r="M26" s="347"/>
      <c r="N26" s="347">
        <f>SUM(N2:N25)</f>
        <v>1133104</v>
      </c>
      <c r="O26" s="348">
        <f t="shared" si="1"/>
        <v>0.15891210316642221</v>
      </c>
      <c r="P26" s="349"/>
      <c r="Q26" s="347">
        <f>SUM(Q2:Q25)</f>
        <v>347656</v>
      </c>
      <c r="R26" s="347">
        <f>SUM(R2:R25)</f>
        <v>46302</v>
      </c>
      <c r="S26" s="350">
        <f t="shared" si="2"/>
        <v>0.13318337667119221</v>
      </c>
      <c r="T26" s="351">
        <f t="shared" si="3"/>
        <v>4.0862974625453623E-2</v>
      </c>
    </row>
  </sheetData>
  <sortState xmlns:xlrd2="http://schemas.microsoft.com/office/spreadsheetml/2017/richdata2" ref="M2:N25">
    <sortCondition ref="M2:M25"/>
  </sortState>
  <phoneticPr fontId="5" type="noConversion"/>
  <conditionalFormatting sqref="O2:O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L2 L3:L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Hoja1</vt:lpstr>
      <vt:lpstr>argentina_gral (2)</vt:lpstr>
      <vt:lpstr>caba_ind</vt:lpstr>
      <vt:lpstr>Hoja3</vt:lpstr>
      <vt:lpstr>POBLA</vt:lpstr>
      <vt:lpstr>Hoja4</vt:lpstr>
      <vt:lpstr>POBL</vt:lpstr>
      <vt:lpstr>POBLAC_AMBA</vt:lpstr>
      <vt:lpstr>UTI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2021-04-11T05:09:20Z</dcterms:modified>
</cp:coreProperties>
</file>