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1F4EAE43-52AC-413F-9B39-BFFD64DDF791}" xr6:coauthVersionLast="45" xr6:coauthVersionMax="45" xr10:uidLastSave="{00000000-0000-0000-0000-000000000000}"/>
  <bookViews>
    <workbookView xWindow="10785" yWindow="225" windowWidth="8730" windowHeight="9735" tabRatio="669" firstSheet="1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Hoja1" sheetId="12" r:id="rId5"/>
    <sheet name="argentina_fallecidos" sheetId="2" r:id="rId6"/>
    <sheet name="Hoja2" sheetId="13" r:id="rId7"/>
  </sheets>
  <definedNames>
    <definedName name="_xlnm._FilterDatabase" localSheetId="5" hidden="1">argentina_fallecidos!$A$1:$D$930</definedName>
    <definedName name="_xlnm._FilterDatabase" localSheetId="0" hidden="1">argentina_gral!$A$1:$R$183</definedName>
    <definedName name="_xlnm._FilterDatabase" localSheetId="1" hidden="1">casos_provincias!$A$1:$E$6409</definedName>
    <definedName name="_xlnm._FilterDatabase" localSheetId="6" hidden="1">Hoja2!$A$1:$X$285</definedName>
    <definedName name="_xlnm._FilterDatabase" localSheetId="2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01" i="3" l="1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D7201" i="3"/>
  <c r="D7200" i="3"/>
  <c r="D7199" i="3"/>
  <c r="D7198" i="3"/>
  <c r="D7197" i="3"/>
  <c r="D7196" i="3"/>
  <c r="D7195" i="3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R301" i="1"/>
  <c r="S301" i="1"/>
  <c r="T301" i="1"/>
  <c r="F301" i="1"/>
  <c r="E301" i="1"/>
  <c r="C301" i="1"/>
  <c r="R300" i="1"/>
  <c r="S300" i="1"/>
  <c r="R299" i="1"/>
  <c r="S299" i="1"/>
  <c r="T299" i="1"/>
  <c r="T300" i="1"/>
  <c r="E300" i="1"/>
  <c r="F300" i="1"/>
  <c r="C298" i="1"/>
  <c r="C299" i="1" s="1"/>
  <c r="C300" i="1" s="1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D7177" i="3"/>
  <c r="D7176" i="3"/>
  <c r="D7175" i="3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D7162" i="3"/>
  <c r="D7161" i="3"/>
  <c r="D7160" i="3"/>
  <c r="D7159" i="3"/>
  <c r="D7158" i="3"/>
  <c r="D7157" i="3"/>
  <c r="D7156" i="3"/>
  <c r="D7155" i="3"/>
  <c r="D7154" i="3"/>
  <c r="Q297" i="1"/>
  <c r="Q298" i="1"/>
  <c r="M296" i="1"/>
  <c r="M297" i="1"/>
  <c r="M298" i="1"/>
  <c r="R298" i="1"/>
  <c r="S298" i="1"/>
  <c r="T298" i="1"/>
  <c r="F299" i="1"/>
  <c r="E299" i="1"/>
  <c r="F7151" i="3"/>
  <c r="F7150" i="3"/>
  <c r="F7146" i="3"/>
  <c r="F7143" i="3"/>
  <c r="F7131" i="3"/>
  <c r="F7130" i="3"/>
  <c r="D7150" i="3"/>
  <c r="D7147" i="3"/>
  <c r="D7143" i="3"/>
  <c r="D7142" i="3"/>
  <c r="D7140" i="3"/>
  <c r="D7139" i="3"/>
  <c r="F7129" i="3"/>
  <c r="F7153" i="3" s="1"/>
  <c r="F7128" i="3"/>
  <c r="F7152" i="3" s="1"/>
  <c r="F7127" i="3"/>
  <c r="F7126" i="3"/>
  <c r="F7125" i="3"/>
  <c r="F7149" i="3" s="1"/>
  <c r="F7124" i="3"/>
  <c r="F7148" i="3" s="1"/>
  <c r="F7123" i="3"/>
  <c r="F7147" i="3" s="1"/>
  <c r="F7122" i="3"/>
  <c r="F7121" i="3"/>
  <c r="F7145" i="3" s="1"/>
  <c r="F7120" i="3"/>
  <c r="F7144" i="3" s="1"/>
  <c r="F7119" i="3"/>
  <c r="F7118" i="3"/>
  <c r="F7142" i="3" s="1"/>
  <c r="F7117" i="3"/>
  <c r="F7141" i="3" s="1"/>
  <c r="F7116" i="3"/>
  <c r="F7140" i="3" s="1"/>
  <c r="F7115" i="3"/>
  <c r="F7139" i="3" s="1"/>
  <c r="F7114" i="3"/>
  <c r="F7138" i="3" s="1"/>
  <c r="F7113" i="3"/>
  <c r="F7137" i="3" s="1"/>
  <c r="F7112" i="3"/>
  <c r="F7136" i="3" s="1"/>
  <c r="F7111" i="3"/>
  <c r="F7135" i="3" s="1"/>
  <c r="F7110" i="3"/>
  <c r="F7134" i="3" s="1"/>
  <c r="F7109" i="3"/>
  <c r="F7133" i="3" s="1"/>
  <c r="F7108" i="3"/>
  <c r="F7132" i="3" s="1"/>
  <c r="F7107" i="3"/>
  <c r="F7106" i="3"/>
  <c r="D7129" i="3"/>
  <c r="D7153" i="3" s="1"/>
  <c r="D7128" i="3"/>
  <c r="D7152" i="3" s="1"/>
  <c r="D7127" i="3"/>
  <c r="D7151" i="3" s="1"/>
  <c r="D7126" i="3"/>
  <c r="D7125" i="3"/>
  <c r="D7149" i="3" s="1"/>
  <c r="D7124" i="3"/>
  <c r="D7148" i="3" s="1"/>
  <c r="D7123" i="3"/>
  <c r="D7122" i="3"/>
  <c r="D7146" i="3" s="1"/>
  <c r="D7121" i="3"/>
  <c r="D7145" i="3" s="1"/>
  <c r="D7120" i="3"/>
  <c r="D7144" i="3" s="1"/>
  <c r="D7119" i="3"/>
  <c r="D7118" i="3"/>
  <c r="D7117" i="3"/>
  <c r="D7141" i="3" s="1"/>
  <c r="D7116" i="3"/>
  <c r="D7115" i="3"/>
  <c r="D7114" i="3"/>
  <c r="D7138" i="3" s="1"/>
  <c r="D7113" i="3"/>
  <c r="D7137" i="3" s="1"/>
  <c r="D7112" i="3"/>
  <c r="D7136" i="3" s="1"/>
  <c r="D7111" i="3"/>
  <c r="D7135" i="3" s="1"/>
  <c r="D7110" i="3"/>
  <c r="D7134" i="3" s="1"/>
  <c r="D7109" i="3"/>
  <c r="D7133" i="3" s="1"/>
  <c r="D7108" i="3"/>
  <c r="D7132" i="3" s="1"/>
  <c r="D7107" i="3"/>
  <c r="D7131" i="3" s="1"/>
  <c r="D7106" i="3"/>
  <c r="D7130" i="3" s="1"/>
  <c r="F298" i="1"/>
  <c r="E298" i="1"/>
  <c r="R297" i="1"/>
  <c r="S297" i="1"/>
  <c r="T297" i="1"/>
  <c r="J297" i="1"/>
  <c r="F297" i="1"/>
  <c r="E297" i="1"/>
  <c r="C297" i="1"/>
  <c r="Q295" i="1"/>
  <c r="Q296" i="1"/>
  <c r="M295" i="1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D7105" i="3"/>
  <c r="D7104" i="3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6" i="3"/>
  <c r="D7085" i="3"/>
  <c r="D7084" i="3"/>
  <c r="D7083" i="3"/>
  <c r="D7082" i="3"/>
  <c r="F7081" i="3" l="1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D7081" i="3"/>
  <c r="D7080" i="3"/>
  <c r="D7079" i="3"/>
  <c r="D7103" i="3" s="1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2" i="3"/>
  <c r="D7061" i="3"/>
  <c r="D7060" i="3"/>
  <c r="D7059" i="3"/>
  <c r="D7058" i="3"/>
  <c r="R296" i="1"/>
  <c r="S296" i="1"/>
  <c r="T296" i="1"/>
  <c r="J296" i="1"/>
  <c r="F296" i="1"/>
  <c r="E296" i="1"/>
  <c r="C296" i="1"/>
  <c r="F7057" i="3" l="1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D7042" i="3"/>
  <c r="D7041" i="3"/>
  <c r="D7040" i="3"/>
  <c r="D7038" i="3"/>
  <c r="D7037" i="3"/>
  <c r="D7036" i="3"/>
  <c r="D7035" i="3"/>
  <c r="D7034" i="3"/>
  <c r="R295" i="1"/>
  <c r="S295" i="1"/>
  <c r="T295" i="1"/>
  <c r="J295" i="1"/>
  <c r="F295" i="1"/>
  <c r="E295" i="1"/>
  <c r="C295" i="1"/>
  <c r="Q293" i="1" l="1"/>
  <c r="Q294" i="1"/>
  <c r="M293" i="1"/>
  <c r="M294" i="1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D7033" i="3"/>
  <c r="D7032" i="3"/>
  <c r="D7031" i="3"/>
  <c r="D7030" i="3"/>
  <c r="D7029" i="3"/>
  <c r="D7028" i="3"/>
  <c r="D7027" i="3"/>
  <c r="D7026" i="3"/>
  <c r="D7025" i="3"/>
  <c r="D7024" i="3"/>
  <c r="D7023" i="3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R294" i="1"/>
  <c r="S294" i="1"/>
  <c r="T294" i="1"/>
  <c r="J294" i="1"/>
  <c r="F294" i="1"/>
  <c r="E294" i="1"/>
  <c r="C294" i="1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D7009" i="3"/>
  <c r="D7008" i="3"/>
  <c r="D7007" i="3"/>
  <c r="D7006" i="3"/>
  <c r="D7005" i="3"/>
  <c r="D7004" i="3"/>
  <c r="D7003" i="3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R293" i="1"/>
  <c r="S293" i="1"/>
  <c r="T293" i="1"/>
  <c r="J293" i="1"/>
  <c r="F293" i="1"/>
  <c r="E293" i="1"/>
  <c r="C293" i="1"/>
  <c r="Q288" i="1"/>
  <c r="Q289" i="1"/>
  <c r="Q290" i="1"/>
  <c r="Q291" i="1"/>
  <c r="Q292" i="1"/>
  <c r="M288" i="1"/>
  <c r="M289" i="1"/>
  <c r="M290" i="1"/>
  <c r="M291" i="1"/>
  <c r="M292" i="1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D6985" i="3"/>
  <c r="D6984" i="3"/>
  <c r="D6983" i="3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D6962" i="3"/>
  <c r="F292" i="1"/>
  <c r="R292" i="1"/>
  <c r="S292" i="1"/>
  <c r="J292" i="1"/>
  <c r="E292" i="1"/>
  <c r="T292" i="1" s="1"/>
  <c r="C292" i="1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D6942" i="3"/>
  <c r="D6941" i="3"/>
  <c r="D6940" i="3"/>
  <c r="D6939" i="3"/>
  <c r="D6938" i="3"/>
  <c r="R291" i="1"/>
  <c r="S291" i="1"/>
  <c r="T291" i="1"/>
  <c r="J291" i="1"/>
  <c r="J290" i="1"/>
  <c r="F291" i="1"/>
  <c r="E291" i="1"/>
  <c r="C291" i="1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D6922" i="3"/>
  <c r="D6921" i="3"/>
  <c r="D6920" i="3"/>
  <c r="D6919" i="3"/>
  <c r="D6918" i="3"/>
  <c r="D6917" i="3"/>
  <c r="D6916" i="3"/>
  <c r="D6915" i="3"/>
  <c r="D6914" i="3"/>
  <c r="R290" i="1"/>
  <c r="S290" i="1"/>
  <c r="F290" i="1"/>
  <c r="C290" i="1"/>
  <c r="R289" i="1"/>
  <c r="S289" i="1"/>
  <c r="J289" i="1"/>
  <c r="F289" i="1"/>
  <c r="C289" i="1"/>
  <c r="F6913" i="3"/>
  <c r="F6912" i="3"/>
  <c r="F6911" i="3"/>
  <c r="F6910" i="3"/>
  <c r="F6909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D6913" i="3"/>
  <c r="D6912" i="3"/>
  <c r="D6911" i="3"/>
  <c r="D6910" i="3"/>
  <c r="D6909" i="3"/>
  <c r="D6908" i="3"/>
  <c r="D6907" i="3"/>
  <c r="D6906" i="3"/>
  <c r="D6905" i="3"/>
  <c r="D6904" i="3"/>
  <c r="D6903" i="3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F6889" i="3" l="1"/>
  <c r="F6888" i="3"/>
  <c r="F6887" i="3"/>
  <c r="F6886" i="3"/>
  <c r="F6885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D6889" i="3"/>
  <c r="D6888" i="3"/>
  <c r="D6887" i="3"/>
  <c r="D6886" i="3"/>
  <c r="D6885" i="3"/>
  <c r="D6884" i="3"/>
  <c r="D6883" i="3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J288" i="1"/>
  <c r="F288" i="1"/>
  <c r="C288" i="1"/>
  <c r="R288" i="1"/>
  <c r="S288" i="1"/>
  <c r="Q285" i="1"/>
  <c r="Q286" i="1"/>
  <c r="Q287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6865" i="3" l="1"/>
  <c r="F6864" i="3"/>
  <c r="F6863" i="3"/>
  <c r="F6862" i="3"/>
  <c r="F6861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D6865" i="3"/>
  <c r="D6864" i="3"/>
  <c r="D6863" i="3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D6842" i="3"/>
  <c r="R287" i="1"/>
  <c r="S287" i="1"/>
  <c r="J287" i="1"/>
  <c r="C287" i="1"/>
  <c r="F6841" i="3"/>
  <c r="F6840" i="3"/>
  <c r="F6839" i="3"/>
  <c r="F6838" i="3"/>
  <c r="F6837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R286" i="1"/>
  <c r="S286" i="1"/>
  <c r="F6817" i="3"/>
  <c r="F6816" i="3"/>
  <c r="F6815" i="3"/>
  <c r="F6814" i="3"/>
  <c r="F6813" i="3"/>
  <c r="F6811" i="3"/>
  <c r="F6810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D6803" i="3"/>
  <c r="D6802" i="3"/>
  <c r="D6801" i="3"/>
  <c r="D6800" i="3"/>
  <c r="D6799" i="3"/>
  <c r="D6798" i="3"/>
  <c r="D6797" i="3"/>
  <c r="D6796" i="3"/>
  <c r="D6795" i="3"/>
  <c r="D6794" i="3"/>
  <c r="R285" i="1"/>
  <c r="S285" i="1"/>
  <c r="M284" i="1" l="1"/>
  <c r="M282" i="1"/>
  <c r="M283" i="1"/>
  <c r="R284" i="1"/>
  <c r="S284" i="1"/>
  <c r="F6793" i="3"/>
  <c r="F6792" i="3"/>
  <c r="F6791" i="3"/>
  <c r="F6790" i="3"/>
  <c r="F6789" i="3"/>
  <c r="F6788" i="3"/>
  <c r="F6812" i="3" s="1"/>
  <c r="F6836" i="3" s="1"/>
  <c r="F6860" i="3" s="1"/>
  <c r="F6884" i="3" s="1"/>
  <c r="F6908" i="3" s="1"/>
  <c r="F6787" i="3"/>
  <c r="F6786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D6793" i="3"/>
  <c r="D6792" i="3"/>
  <c r="D6791" i="3"/>
  <c r="D6790" i="3"/>
  <c r="D6789" i="3"/>
  <c r="D6788" i="3"/>
  <c r="D6787" i="3"/>
  <c r="D6786" i="3"/>
  <c r="D6785" i="3"/>
  <c r="D6784" i="3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F6769" i="3"/>
  <c r="F6768" i="3"/>
  <c r="F6767" i="3"/>
  <c r="F6766" i="3"/>
  <c r="F6765" i="3"/>
  <c r="F6764" i="3"/>
  <c r="F6763" i="3"/>
  <c r="F6762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71" i="3" s="1"/>
  <c r="F6795" i="3" s="1"/>
  <c r="D6769" i="3"/>
  <c r="D6768" i="3"/>
  <c r="D6767" i="3"/>
  <c r="D6766" i="3"/>
  <c r="D6765" i="3"/>
  <c r="D6764" i="3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R283" i="1"/>
  <c r="S283" i="1"/>
  <c r="X9" i="13" l="1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7" i="13"/>
  <c r="X101" i="13"/>
  <c r="X102" i="13"/>
  <c r="X103" i="13"/>
  <c r="X104" i="13"/>
  <c r="X105" i="13"/>
  <c r="X106" i="13"/>
  <c r="X108" i="13"/>
  <c r="X113" i="13"/>
  <c r="X109" i="13"/>
  <c r="X110" i="13"/>
  <c r="X111" i="13"/>
  <c r="X112" i="13"/>
  <c r="X114" i="13"/>
  <c r="X115" i="13"/>
  <c r="X116" i="13"/>
  <c r="X123" i="13"/>
  <c r="X117" i="13"/>
  <c r="X118" i="13"/>
  <c r="X119" i="13"/>
  <c r="X120" i="13"/>
  <c r="X121" i="13"/>
  <c r="X122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8" i="13"/>
  <c r="W94" i="13"/>
  <c r="W95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W235" i="13"/>
  <c r="W236" i="13"/>
  <c r="W237" i="13"/>
  <c r="W238" i="13"/>
  <c r="W239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71" i="13"/>
  <c r="W272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U137" i="13"/>
  <c r="B107" i="13"/>
  <c r="U107" i="13" s="1"/>
  <c r="A107" i="13"/>
  <c r="A113" i="13" s="1"/>
  <c r="A123" i="13" s="1"/>
  <c r="R285" i="13"/>
  <c r="Q285" i="13"/>
  <c r="R284" i="13"/>
  <c r="Q284" i="13"/>
  <c r="L284" i="13"/>
  <c r="R283" i="13"/>
  <c r="Q283" i="13"/>
  <c r="L283" i="13"/>
  <c r="R282" i="13"/>
  <c r="Q282" i="13"/>
  <c r="L282" i="13"/>
  <c r="R281" i="13"/>
  <c r="Q281" i="13"/>
  <c r="L281" i="13"/>
  <c r="D281" i="13"/>
  <c r="R280" i="13"/>
  <c r="Q280" i="13"/>
  <c r="L280" i="13"/>
  <c r="R279" i="13"/>
  <c r="Q279" i="13"/>
  <c r="L279" i="13"/>
  <c r="R278" i="13"/>
  <c r="Q278" i="13"/>
  <c r="L278" i="13"/>
  <c r="R277" i="13"/>
  <c r="Q277" i="13"/>
  <c r="L277" i="13"/>
  <c r="R276" i="13"/>
  <c r="Q276" i="13"/>
  <c r="L276" i="13"/>
  <c r="R275" i="13"/>
  <c r="Q275" i="13"/>
  <c r="L275" i="13"/>
  <c r="R274" i="13"/>
  <c r="Q274" i="13"/>
  <c r="L274" i="13"/>
  <c r="R273" i="13"/>
  <c r="Q273" i="13"/>
  <c r="L273" i="13"/>
  <c r="R272" i="13"/>
  <c r="Q272" i="13"/>
  <c r="L272" i="13"/>
  <c r="R271" i="13"/>
  <c r="Q271" i="13"/>
  <c r="L271" i="13"/>
  <c r="R270" i="13"/>
  <c r="Q270" i="13"/>
  <c r="L270" i="13"/>
  <c r="R269" i="13"/>
  <c r="Q269" i="13"/>
  <c r="L269" i="13"/>
  <c r="R268" i="13"/>
  <c r="Q268" i="13"/>
  <c r="L268" i="13"/>
  <c r="R267" i="13"/>
  <c r="Q267" i="13"/>
  <c r="L267" i="13"/>
  <c r="R266" i="13"/>
  <c r="Q266" i="13"/>
  <c r="L266" i="13"/>
  <c r="R265" i="13"/>
  <c r="Q265" i="13"/>
  <c r="L265" i="13"/>
  <c r="R264" i="13"/>
  <c r="Q264" i="13"/>
  <c r="L264" i="13"/>
  <c r="R263" i="13"/>
  <c r="Q263" i="13"/>
  <c r="L263" i="13"/>
  <c r="R262" i="13"/>
  <c r="Q262" i="13"/>
  <c r="L262" i="13"/>
  <c r="R261" i="13"/>
  <c r="Q261" i="13"/>
  <c r="L261" i="13"/>
  <c r="R260" i="13"/>
  <c r="Q260" i="13"/>
  <c r="L260" i="13"/>
  <c r="R259" i="13"/>
  <c r="Q259" i="13"/>
  <c r="L259" i="13"/>
  <c r="R258" i="13"/>
  <c r="Q258" i="13"/>
  <c r="L258" i="13"/>
  <c r="R257" i="13"/>
  <c r="Q257" i="13"/>
  <c r="L257" i="13"/>
  <c r="R256" i="13"/>
  <c r="Q256" i="13"/>
  <c r="L256" i="13"/>
  <c r="R255" i="13"/>
  <c r="Q255" i="13"/>
  <c r="L255" i="13"/>
  <c r="R254" i="13"/>
  <c r="Q254" i="13"/>
  <c r="L254" i="13"/>
  <c r="R253" i="13"/>
  <c r="Q253" i="13"/>
  <c r="L253" i="13"/>
  <c r="R252" i="13"/>
  <c r="Q252" i="13"/>
  <c r="L252" i="13"/>
  <c r="R251" i="13"/>
  <c r="Q251" i="13"/>
  <c r="L251" i="13"/>
  <c r="R250" i="13"/>
  <c r="Q250" i="13"/>
  <c r="L250" i="13"/>
  <c r="R249" i="13"/>
  <c r="Q249" i="13"/>
  <c r="L249" i="13"/>
  <c r="Q248" i="13"/>
  <c r="L248" i="13"/>
  <c r="Q247" i="13"/>
  <c r="L247" i="13"/>
  <c r="Q246" i="13"/>
  <c r="L246" i="13"/>
  <c r="Q245" i="13"/>
  <c r="L245" i="13"/>
  <c r="Q244" i="13"/>
  <c r="L244" i="13"/>
  <c r="Q243" i="13"/>
  <c r="L243" i="13"/>
  <c r="Q242" i="13"/>
  <c r="L242" i="13"/>
  <c r="Q241" i="13"/>
  <c r="L241" i="13"/>
  <c r="Q240" i="13"/>
  <c r="L240" i="13"/>
  <c r="Q239" i="13"/>
  <c r="L239" i="13"/>
  <c r="Q238" i="13"/>
  <c r="L238" i="13"/>
  <c r="Q237" i="13"/>
  <c r="L237" i="13"/>
  <c r="Q236" i="13"/>
  <c r="Q235" i="13"/>
  <c r="Q234" i="13"/>
  <c r="L234" i="13"/>
  <c r="Q233" i="13"/>
  <c r="L233" i="13"/>
  <c r="Q232" i="13"/>
  <c r="L232" i="13"/>
  <c r="Q231" i="13"/>
  <c r="L231" i="13"/>
  <c r="Q230" i="13"/>
  <c r="L230" i="13"/>
  <c r="Q229" i="13"/>
  <c r="L229" i="13"/>
  <c r="Q228" i="13"/>
  <c r="L228" i="13"/>
  <c r="Q227" i="13"/>
  <c r="L227" i="13"/>
  <c r="Q226" i="13"/>
  <c r="L226" i="13"/>
  <c r="Q225" i="13"/>
  <c r="L225" i="13"/>
  <c r="Q224" i="13"/>
  <c r="L224" i="13"/>
  <c r="Q223" i="13"/>
  <c r="L223" i="13"/>
  <c r="Q222" i="13"/>
  <c r="L222" i="13"/>
  <c r="Q221" i="13"/>
  <c r="L221" i="13"/>
  <c r="Q220" i="13"/>
  <c r="L220" i="13"/>
  <c r="Q219" i="13"/>
  <c r="L219" i="13"/>
  <c r="Q218" i="13"/>
  <c r="L218" i="13"/>
  <c r="Q217" i="13"/>
  <c r="L217" i="13"/>
  <c r="Q216" i="13"/>
  <c r="L216" i="13"/>
  <c r="Q215" i="13"/>
  <c r="L215" i="13"/>
  <c r="Q214" i="13"/>
  <c r="L214" i="13"/>
  <c r="Q213" i="13"/>
  <c r="L213" i="13"/>
  <c r="Q212" i="13"/>
  <c r="L212" i="13"/>
  <c r="Q211" i="13"/>
  <c r="L211" i="13"/>
  <c r="Q210" i="13"/>
  <c r="L210" i="13"/>
  <c r="Q209" i="13"/>
  <c r="L209" i="13"/>
  <c r="Q208" i="13"/>
  <c r="L208" i="13"/>
  <c r="Q207" i="13"/>
  <c r="L207" i="13"/>
  <c r="Q206" i="13"/>
  <c r="L206" i="13"/>
  <c r="D206" i="13"/>
  <c r="Q205" i="13"/>
  <c r="K205" i="13"/>
  <c r="J205" i="13" s="1"/>
  <c r="D205" i="13"/>
  <c r="Q204" i="13"/>
  <c r="K204" i="13"/>
  <c r="J204" i="13"/>
  <c r="D204" i="13"/>
  <c r="Q203" i="13"/>
  <c r="K203" i="13"/>
  <c r="J203" i="13"/>
  <c r="Q202" i="13"/>
  <c r="K202" i="13"/>
  <c r="J202" i="13" s="1"/>
  <c r="D202" i="13"/>
  <c r="Q201" i="13"/>
  <c r="K201" i="13"/>
  <c r="J201" i="13" s="1"/>
  <c r="D201" i="13"/>
  <c r="Q200" i="13"/>
  <c r="K200" i="13"/>
  <c r="J200" i="13" s="1"/>
  <c r="D200" i="13"/>
  <c r="Q199" i="13"/>
  <c r="K199" i="13"/>
  <c r="J199" i="13" s="1"/>
  <c r="D199" i="13"/>
  <c r="Q198" i="13"/>
  <c r="K198" i="13"/>
  <c r="J198" i="13" s="1"/>
  <c r="D198" i="13"/>
  <c r="Q197" i="13"/>
  <c r="K197" i="13"/>
  <c r="J197" i="13" s="1"/>
  <c r="D197" i="13"/>
  <c r="Q196" i="13"/>
  <c r="K196" i="13"/>
  <c r="J196" i="13" s="1"/>
  <c r="D196" i="13"/>
  <c r="Q195" i="13"/>
  <c r="K195" i="13"/>
  <c r="J195" i="13" s="1"/>
  <c r="D195" i="13"/>
  <c r="Q194" i="13"/>
  <c r="K194" i="13"/>
  <c r="J194" i="13" s="1"/>
  <c r="D194" i="13"/>
  <c r="Q193" i="13"/>
  <c r="K193" i="13"/>
  <c r="J193" i="13" s="1"/>
  <c r="D193" i="13"/>
  <c r="Q192" i="13"/>
  <c r="K192" i="13"/>
  <c r="J192" i="13" s="1"/>
  <c r="D192" i="13"/>
  <c r="Q191" i="13"/>
  <c r="K191" i="13"/>
  <c r="J191" i="13" s="1"/>
  <c r="D191" i="13"/>
  <c r="Q190" i="13"/>
  <c r="K190" i="13"/>
  <c r="J190" i="13" s="1"/>
  <c r="D190" i="13"/>
  <c r="Q189" i="13"/>
  <c r="K189" i="13"/>
  <c r="J189" i="13" s="1"/>
  <c r="D189" i="13"/>
  <c r="Q188" i="13"/>
  <c r="K188" i="13"/>
  <c r="J188" i="13" s="1"/>
  <c r="D188" i="13"/>
  <c r="Q187" i="13"/>
  <c r="K187" i="13"/>
  <c r="J187" i="13" s="1"/>
  <c r="D187" i="13"/>
  <c r="Q186" i="13"/>
  <c r="K186" i="13"/>
  <c r="J186" i="13" s="1"/>
  <c r="D186" i="13"/>
  <c r="Q185" i="13"/>
  <c r="K185" i="13"/>
  <c r="J185" i="13" s="1"/>
  <c r="D185" i="13"/>
  <c r="Q184" i="13"/>
  <c r="K184" i="13"/>
  <c r="J184" i="13" s="1"/>
  <c r="D184" i="13"/>
  <c r="Q183" i="13"/>
  <c r="K183" i="13"/>
  <c r="J183" i="13" s="1"/>
  <c r="D183" i="13"/>
  <c r="Q182" i="13"/>
  <c r="K182" i="13"/>
  <c r="J182" i="13" s="1"/>
  <c r="D182" i="13"/>
  <c r="Q181" i="13"/>
  <c r="K181" i="13"/>
  <c r="J181" i="13" s="1"/>
  <c r="D181" i="13"/>
  <c r="Q180" i="13"/>
  <c r="K180" i="13"/>
  <c r="J180" i="13" s="1"/>
  <c r="D180" i="13"/>
  <c r="Q179" i="13"/>
  <c r="K179" i="13"/>
  <c r="J179" i="13" s="1"/>
  <c r="D179" i="13"/>
  <c r="Q178" i="13"/>
  <c r="K178" i="13"/>
  <c r="J178" i="13" s="1"/>
  <c r="D178" i="13"/>
  <c r="Q177" i="13"/>
  <c r="K177" i="13"/>
  <c r="J177" i="13" s="1"/>
  <c r="Q176" i="13"/>
  <c r="K176" i="13"/>
  <c r="J176" i="13" s="1"/>
  <c r="D176" i="13"/>
  <c r="Q175" i="13"/>
  <c r="K175" i="13"/>
  <c r="J175" i="13" s="1"/>
  <c r="D175" i="13"/>
  <c r="Q174" i="13"/>
  <c r="K174" i="13"/>
  <c r="J174" i="13" s="1"/>
  <c r="D174" i="13"/>
  <c r="Q173" i="13"/>
  <c r="P173" i="13"/>
  <c r="K173" i="13"/>
  <c r="J173" i="13" s="1"/>
  <c r="D173" i="13"/>
  <c r="Q172" i="13"/>
  <c r="P172" i="13"/>
  <c r="K172" i="13"/>
  <c r="J172" i="13" s="1"/>
  <c r="D172" i="13"/>
  <c r="Q171" i="13"/>
  <c r="P171" i="13"/>
  <c r="K171" i="13"/>
  <c r="J171" i="13" s="1"/>
  <c r="D171" i="13"/>
  <c r="Q170" i="13"/>
  <c r="P170" i="13"/>
  <c r="K170" i="13"/>
  <c r="J170" i="13" s="1"/>
  <c r="D170" i="13"/>
  <c r="Q169" i="13"/>
  <c r="P169" i="13"/>
  <c r="K169" i="13"/>
  <c r="J169" i="13" s="1"/>
  <c r="D169" i="13"/>
  <c r="Q168" i="13"/>
  <c r="P168" i="13"/>
  <c r="K168" i="13"/>
  <c r="J168" i="13" s="1"/>
  <c r="D168" i="13"/>
  <c r="Q167" i="13"/>
  <c r="P167" i="13"/>
  <c r="K167" i="13"/>
  <c r="J167" i="13" s="1"/>
  <c r="D167" i="13"/>
  <c r="Q166" i="13"/>
  <c r="P166" i="13"/>
  <c r="K166" i="13"/>
  <c r="J166" i="13" s="1"/>
  <c r="D166" i="13"/>
  <c r="Q165" i="13"/>
  <c r="P165" i="13"/>
  <c r="K165" i="13"/>
  <c r="J165" i="13" s="1"/>
  <c r="D165" i="13"/>
  <c r="Q164" i="13"/>
  <c r="P164" i="13"/>
  <c r="K164" i="13"/>
  <c r="J164" i="13" s="1"/>
  <c r="Q163" i="13"/>
  <c r="P163" i="13"/>
  <c r="K163" i="13"/>
  <c r="J163" i="13" s="1"/>
  <c r="Q162" i="13"/>
  <c r="P162" i="13"/>
  <c r="K162" i="13"/>
  <c r="J162" i="13" s="1"/>
  <c r="Q161" i="13"/>
  <c r="P161" i="13"/>
  <c r="K161" i="13"/>
  <c r="J161" i="13" s="1"/>
  <c r="Q160" i="13"/>
  <c r="P160" i="13"/>
  <c r="K160" i="13"/>
  <c r="J160" i="13" s="1"/>
  <c r="D160" i="13"/>
  <c r="Q159" i="13"/>
  <c r="P159" i="13"/>
  <c r="K159" i="13"/>
  <c r="J159" i="13" s="1"/>
  <c r="D159" i="13"/>
  <c r="Q158" i="13"/>
  <c r="P158" i="13"/>
  <c r="K158" i="13"/>
  <c r="J158" i="13" s="1"/>
  <c r="Q157" i="13"/>
  <c r="P157" i="13"/>
  <c r="K157" i="13"/>
  <c r="J157" i="13" s="1"/>
  <c r="D157" i="13"/>
  <c r="Q156" i="13"/>
  <c r="P156" i="13"/>
  <c r="K156" i="13"/>
  <c r="J156" i="13" s="1"/>
  <c r="D156" i="13"/>
  <c r="Q155" i="13"/>
  <c r="P155" i="13"/>
  <c r="K155" i="13"/>
  <c r="J155" i="13" s="1"/>
  <c r="I155" i="13"/>
  <c r="D155" i="13"/>
  <c r="Q154" i="13"/>
  <c r="P154" i="13"/>
  <c r="K154" i="13"/>
  <c r="J154" i="13" s="1"/>
  <c r="D154" i="13"/>
  <c r="Q153" i="13"/>
  <c r="P153" i="13"/>
  <c r="K153" i="13"/>
  <c r="J153" i="13" s="1"/>
  <c r="E153" i="13"/>
  <c r="Q152" i="13"/>
  <c r="P152" i="13"/>
  <c r="K152" i="13"/>
  <c r="J152" i="13" s="1"/>
  <c r="D152" i="13"/>
  <c r="Q151" i="13"/>
  <c r="P151" i="13"/>
  <c r="K151" i="13"/>
  <c r="I151" i="13"/>
  <c r="D151" i="13"/>
  <c r="Q150" i="13"/>
  <c r="P150" i="13"/>
  <c r="K150" i="13"/>
  <c r="J150" i="13" s="1"/>
  <c r="Q149" i="13"/>
  <c r="P149" i="13"/>
  <c r="K149" i="13"/>
  <c r="J149" i="13" s="1"/>
  <c r="Q148" i="13"/>
  <c r="P148" i="13"/>
  <c r="I148" i="13"/>
  <c r="D148" i="13"/>
  <c r="Q147" i="13"/>
  <c r="P147" i="13"/>
  <c r="D147" i="13"/>
  <c r="Q146" i="13"/>
  <c r="P146" i="13"/>
  <c r="I146" i="13"/>
  <c r="Q145" i="13"/>
  <c r="Q144" i="13"/>
  <c r="P144" i="13"/>
  <c r="Q143" i="13"/>
  <c r="P143" i="13"/>
  <c r="Q142" i="13"/>
  <c r="K142" i="13"/>
  <c r="B142" i="13"/>
  <c r="Q141" i="13"/>
  <c r="P141" i="13"/>
  <c r="S140" i="13"/>
  <c r="R140" i="13"/>
  <c r="Q140" i="13"/>
  <c r="P140" i="13"/>
  <c r="K140" i="13"/>
  <c r="J140" i="13" s="1"/>
  <c r="Q139" i="13"/>
  <c r="K139" i="13"/>
  <c r="S138" i="13"/>
  <c r="R138" i="13"/>
  <c r="Q138" i="13"/>
  <c r="P138" i="13"/>
  <c r="K138" i="13"/>
  <c r="S137" i="13"/>
  <c r="R137" i="13"/>
  <c r="Q137" i="13"/>
  <c r="P137" i="13"/>
  <c r="K137" i="13"/>
  <c r="S136" i="13"/>
  <c r="R136" i="13"/>
  <c r="Q136" i="13"/>
  <c r="P136" i="13"/>
  <c r="L136" i="13"/>
  <c r="S135" i="13"/>
  <c r="R135" i="13"/>
  <c r="Q135" i="13"/>
  <c r="L135" i="13"/>
  <c r="S134" i="13"/>
  <c r="R134" i="13"/>
  <c r="Q134" i="13"/>
  <c r="L134" i="13"/>
  <c r="S133" i="13"/>
  <c r="R133" i="13"/>
  <c r="Q133" i="13"/>
  <c r="P133" i="13"/>
  <c r="S132" i="13"/>
  <c r="R132" i="13"/>
  <c r="Q132" i="13"/>
  <c r="P132" i="13"/>
  <c r="S131" i="13"/>
  <c r="R131" i="13"/>
  <c r="Q131" i="13"/>
  <c r="P131" i="13"/>
  <c r="S130" i="13"/>
  <c r="R130" i="13"/>
  <c r="Q130" i="13"/>
  <c r="P130" i="13"/>
  <c r="K130" i="13"/>
  <c r="Q129" i="13"/>
  <c r="P129" i="13"/>
  <c r="Q128" i="13"/>
  <c r="Q127" i="13"/>
  <c r="L127" i="13"/>
  <c r="Q126" i="13"/>
  <c r="K126" i="13"/>
  <c r="J126" i="13" s="1"/>
  <c r="Q125" i="13"/>
  <c r="S124" i="13"/>
  <c r="R124" i="13"/>
  <c r="Q124" i="13"/>
  <c r="P124" i="13"/>
  <c r="K124" i="13"/>
  <c r="Q122" i="13"/>
  <c r="K122" i="13"/>
  <c r="Q121" i="13"/>
  <c r="E121" i="13"/>
  <c r="C121" i="13"/>
  <c r="S120" i="13"/>
  <c r="R120" i="13"/>
  <c r="Q120" i="13"/>
  <c r="P120" i="13"/>
  <c r="S119" i="13"/>
  <c r="R119" i="13"/>
  <c r="Q119" i="13"/>
  <c r="P119" i="13"/>
  <c r="S118" i="13"/>
  <c r="R118" i="13"/>
  <c r="Q118" i="13"/>
  <c r="P118" i="13"/>
  <c r="S117" i="13"/>
  <c r="R117" i="13"/>
  <c r="Q117" i="13"/>
  <c r="P117" i="13"/>
  <c r="Q116" i="13"/>
  <c r="Q115" i="13"/>
  <c r="P115" i="13"/>
  <c r="E115" i="13"/>
  <c r="S115" i="13" s="1"/>
  <c r="S114" i="13"/>
  <c r="R114" i="13"/>
  <c r="Q114" i="13"/>
  <c r="P114" i="13"/>
  <c r="S112" i="13"/>
  <c r="R112" i="13"/>
  <c r="Q112" i="13"/>
  <c r="P112" i="13"/>
  <c r="S111" i="13"/>
  <c r="R111" i="13"/>
  <c r="Q111" i="13"/>
  <c r="P111" i="13"/>
  <c r="S110" i="13"/>
  <c r="R110" i="13"/>
  <c r="Q110" i="13"/>
  <c r="P110" i="13"/>
  <c r="S109" i="13"/>
  <c r="R109" i="13"/>
  <c r="Q109" i="13"/>
  <c r="P109" i="13"/>
  <c r="S108" i="13"/>
  <c r="R108" i="13"/>
  <c r="Q108" i="13"/>
  <c r="P108" i="13"/>
  <c r="S106" i="13"/>
  <c r="R106" i="13"/>
  <c r="Q106" i="13"/>
  <c r="P106" i="13"/>
  <c r="S105" i="13"/>
  <c r="R105" i="13"/>
  <c r="Q105" i="13"/>
  <c r="P105" i="13"/>
  <c r="S104" i="13"/>
  <c r="R104" i="13"/>
  <c r="Q104" i="13"/>
  <c r="P104" i="13"/>
  <c r="S103" i="13"/>
  <c r="R103" i="13"/>
  <c r="Q103" i="13"/>
  <c r="P103" i="13"/>
  <c r="S102" i="13"/>
  <c r="R102" i="13"/>
  <c r="Q102" i="13"/>
  <c r="P102" i="13"/>
  <c r="S101" i="13"/>
  <c r="R101" i="13"/>
  <c r="Q101" i="13"/>
  <c r="P101" i="13"/>
  <c r="S100" i="13"/>
  <c r="R100" i="13"/>
  <c r="Q100" i="13"/>
  <c r="P100" i="13"/>
  <c r="S99" i="13"/>
  <c r="R99" i="13"/>
  <c r="Q99" i="13"/>
  <c r="P99" i="13"/>
  <c r="S98" i="13"/>
  <c r="R98" i="13"/>
  <c r="Q98" i="13"/>
  <c r="P98" i="13"/>
  <c r="S97" i="13"/>
  <c r="R97" i="13"/>
  <c r="Q97" i="13"/>
  <c r="P97" i="13"/>
  <c r="S96" i="13"/>
  <c r="R96" i="13"/>
  <c r="Q96" i="13"/>
  <c r="P96" i="13"/>
  <c r="S95" i="13"/>
  <c r="R95" i="13"/>
  <c r="Q95" i="13"/>
  <c r="P95" i="13"/>
  <c r="S94" i="13"/>
  <c r="R94" i="13"/>
  <c r="Q94" i="13"/>
  <c r="P94" i="13"/>
  <c r="S93" i="13"/>
  <c r="R93" i="13"/>
  <c r="Q93" i="13"/>
  <c r="P93" i="13"/>
  <c r="S92" i="13"/>
  <c r="R92" i="13"/>
  <c r="Q92" i="13"/>
  <c r="P92" i="13"/>
  <c r="S91" i="13"/>
  <c r="R91" i="13"/>
  <c r="Q91" i="13"/>
  <c r="P91" i="13"/>
  <c r="S90" i="13"/>
  <c r="R90" i="13"/>
  <c r="Q90" i="13"/>
  <c r="P90" i="13"/>
  <c r="S89" i="13"/>
  <c r="R89" i="13"/>
  <c r="Q89" i="13"/>
  <c r="P89" i="13"/>
  <c r="S88" i="13"/>
  <c r="R88" i="13"/>
  <c r="Q88" i="13"/>
  <c r="P88" i="13"/>
  <c r="S87" i="13"/>
  <c r="R87" i="13"/>
  <c r="Q87" i="13"/>
  <c r="P87" i="13"/>
  <c r="S86" i="13"/>
  <c r="R86" i="13"/>
  <c r="Q86" i="13"/>
  <c r="P86" i="13"/>
  <c r="S85" i="13"/>
  <c r="R85" i="13"/>
  <c r="Q85" i="13"/>
  <c r="P85" i="13"/>
  <c r="S84" i="13"/>
  <c r="R84" i="13"/>
  <c r="Q84" i="13"/>
  <c r="P84" i="13"/>
  <c r="S83" i="13"/>
  <c r="R83" i="13"/>
  <c r="Q83" i="13"/>
  <c r="P83" i="13"/>
  <c r="S82" i="13"/>
  <c r="R82" i="13"/>
  <c r="Q82" i="13"/>
  <c r="P82" i="13"/>
  <c r="S81" i="13"/>
  <c r="R81" i="13"/>
  <c r="Q81" i="13"/>
  <c r="P81" i="13"/>
  <c r="S80" i="13"/>
  <c r="R80" i="13"/>
  <c r="Q80" i="13"/>
  <c r="P80" i="13"/>
  <c r="S79" i="13"/>
  <c r="R79" i="13"/>
  <c r="Q79" i="13"/>
  <c r="P79" i="13"/>
  <c r="S78" i="13"/>
  <c r="R78" i="13"/>
  <c r="Q78" i="13"/>
  <c r="P78" i="13"/>
  <c r="S77" i="13"/>
  <c r="R77" i="13"/>
  <c r="Q77" i="13"/>
  <c r="P77" i="13"/>
  <c r="S76" i="13"/>
  <c r="R76" i="13"/>
  <c r="Q76" i="13"/>
  <c r="P76" i="13"/>
  <c r="S75" i="13"/>
  <c r="R75" i="13"/>
  <c r="Q75" i="13"/>
  <c r="P75" i="13"/>
  <c r="S74" i="13"/>
  <c r="R74" i="13"/>
  <c r="Q74" i="13"/>
  <c r="P74" i="13"/>
  <c r="S73" i="13"/>
  <c r="R73" i="13"/>
  <c r="Q73" i="13"/>
  <c r="P73" i="13"/>
  <c r="S72" i="13"/>
  <c r="R72" i="13"/>
  <c r="Q72" i="13"/>
  <c r="P72" i="13"/>
  <c r="S71" i="13"/>
  <c r="R71" i="13"/>
  <c r="Q71" i="13"/>
  <c r="P71" i="13"/>
  <c r="S70" i="13"/>
  <c r="R70" i="13"/>
  <c r="Q70" i="13"/>
  <c r="P70" i="13"/>
  <c r="S69" i="13"/>
  <c r="R69" i="13"/>
  <c r="Q69" i="13"/>
  <c r="P69" i="13"/>
  <c r="S68" i="13"/>
  <c r="R68" i="13"/>
  <c r="Q68" i="13"/>
  <c r="P68" i="13"/>
  <c r="S67" i="13"/>
  <c r="R67" i="13"/>
  <c r="Q67" i="13"/>
  <c r="P67" i="13"/>
  <c r="S66" i="13"/>
  <c r="R66" i="13"/>
  <c r="Q66" i="13"/>
  <c r="P66" i="13"/>
  <c r="S65" i="13"/>
  <c r="R65" i="13"/>
  <c r="Q65" i="13"/>
  <c r="P65" i="13"/>
  <c r="S64" i="13"/>
  <c r="R64" i="13"/>
  <c r="Q64" i="13"/>
  <c r="P64" i="13"/>
  <c r="S63" i="13"/>
  <c r="R63" i="13"/>
  <c r="Q63" i="13"/>
  <c r="P63" i="13"/>
  <c r="S62" i="13"/>
  <c r="R62" i="13"/>
  <c r="Q62" i="13"/>
  <c r="P62" i="13"/>
  <c r="S61" i="13"/>
  <c r="R61" i="13"/>
  <c r="Q61" i="13"/>
  <c r="P61" i="13"/>
  <c r="S60" i="13"/>
  <c r="R60" i="13"/>
  <c r="Q60" i="13"/>
  <c r="P60" i="13"/>
  <c r="S59" i="13"/>
  <c r="R59" i="13"/>
  <c r="Q59" i="13"/>
  <c r="P59" i="13"/>
  <c r="S58" i="13"/>
  <c r="R58" i="13"/>
  <c r="Q58" i="13"/>
  <c r="P58" i="13"/>
  <c r="S57" i="13"/>
  <c r="R57" i="13"/>
  <c r="Q57" i="13"/>
  <c r="P57" i="13"/>
  <c r="S56" i="13"/>
  <c r="R56" i="13"/>
  <c r="Q56" i="13"/>
  <c r="P56" i="13"/>
  <c r="S55" i="13"/>
  <c r="R55" i="13"/>
  <c r="Q55" i="13"/>
  <c r="P55" i="13"/>
  <c r="S54" i="13"/>
  <c r="R54" i="13"/>
  <c r="Q54" i="13"/>
  <c r="P54" i="13"/>
  <c r="S53" i="13"/>
  <c r="R53" i="13"/>
  <c r="Q53" i="13"/>
  <c r="P53" i="13"/>
  <c r="S52" i="13"/>
  <c r="R52" i="13"/>
  <c r="Q52" i="13"/>
  <c r="P52" i="13"/>
  <c r="S51" i="13"/>
  <c r="R51" i="13"/>
  <c r="Q51" i="13"/>
  <c r="P51" i="13"/>
  <c r="S50" i="13"/>
  <c r="R50" i="13"/>
  <c r="Q50" i="13"/>
  <c r="P50" i="13"/>
  <c r="S49" i="13"/>
  <c r="R49" i="13"/>
  <c r="Q49" i="13"/>
  <c r="P49" i="13"/>
  <c r="S48" i="13"/>
  <c r="R48" i="13"/>
  <c r="Q48" i="13"/>
  <c r="P48" i="13"/>
  <c r="S47" i="13"/>
  <c r="R47" i="13"/>
  <c r="Q47" i="13"/>
  <c r="P47" i="13"/>
  <c r="S46" i="13"/>
  <c r="R46" i="13"/>
  <c r="Q46" i="13"/>
  <c r="P46" i="13"/>
  <c r="S45" i="13"/>
  <c r="R45" i="13"/>
  <c r="Q45" i="13"/>
  <c r="P45" i="13"/>
  <c r="S44" i="13"/>
  <c r="R44" i="13"/>
  <c r="Q44" i="13"/>
  <c r="P44" i="13"/>
  <c r="S43" i="13"/>
  <c r="R43" i="13"/>
  <c r="Q43" i="13"/>
  <c r="P43" i="13"/>
  <c r="S42" i="13"/>
  <c r="R42" i="13"/>
  <c r="Q42" i="13"/>
  <c r="P42" i="13"/>
  <c r="S41" i="13"/>
  <c r="R41" i="13"/>
  <c r="Q41" i="13"/>
  <c r="P41" i="13"/>
  <c r="S40" i="13"/>
  <c r="R40" i="13"/>
  <c r="Q40" i="13"/>
  <c r="P40" i="13"/>
  <c r="S39" i="13"/>
  <c r="R39" i="13"/>
  <c r="Q39" i="13"/>
  <c r="P39" i="13"/>
  <c r="S38" i="13"/>
  <c r="R38" i="13"/>
  <c r="Q38" i="13"/>
  <c r="P38" i="13"/>
  <c r="S37" i="13"/>
  <c r="R37" i="13"/>
  <c r="Q37" i="13"/>
  <c r="P37" i="13"/>
  <c r="S36" i="13"/>
  <c r="R36" i="13"/>
  <c r="Q36" i="13"/>
  <c r="P36" i="13"/>
  <c r="S35" i="13"/>
  <c r="R35" i="13"/>
  <c r="Q35" i="13"/>
  <c r="P35" i="13"/>
  <c r="S34" i="13"/>
  <c r="R34" i="13"/>
  <c r="Q34" i="13"/>
  <c r="P34" i="13"/>
  <c r="S33" i="13"/>
  <c r="R33" i="13"/>
  <c r="Q33" i="13"/>
  <c r="P33" i="13"/>
  <c r="S32" i="13"/>
  <c r="R32" i="13"/>
  <c r="Q32" i="13"/>
  <c r="P32" i="13"/>
  <c r="S31" i="13"/>
  <c r="R31" i="13"/>
  <c r="Q31" i="13"/>
  <c r="P31" i="13"/>
  <c r="S30" i="13"/>
  <c r="R30" i="13"/>
  <c r="Q30" i="13"/>
  <c r="P30" i="13"/>
  <c r="S29" i="13"/>
  <c r="R29" i="13"/>
  <c r="Q29" i="13"/>
  <c r="P29" i="13"/>
  <c r="S28" i="13"/>
  <c r="R28" i="13"/>
  <c r="Q28" i="13"/>
  <c r="P28" i="13"/>
  <c r="S27" i="13"/>
  <c r="R27" i="13"/>
  <c r="Q27" i="13"/>
  <c r="P27" i="13"/>
  <c r="S26" i="13"/>
  <c r="R26" i="13"/>
  <c r="Q26" i="13"/>
  <c r="P26" i="13"/>
  <c r="S25" i="13"/>
  <c r="R25" i="13"/>
  <c r="Q25" i="13"/>
  <c r="P25" i="13"/>
  <c r="S24" i="13"/>
  <c r="R24" i="13"/>
  <c r="Q24" i="13"/>
  <c r="P24" i="13"/>
  <c r="S23" i="13"/>
  <c r="R23" i="13"/>
  <c r="Q23" i="13"/>
  <c r="P23" i="13"/>
  <c r="S22" i="13"/>
  <c r="R22" i="13"/>
  <c r="Q22" i="13"/>
  <c r="P22" i="13"/>
  <c r="S21" i="13"/>
  <c r="R21" i="13"/>
  <c r="Q21" i="13"/>
  <c r="P21" i="13"/>
  <c r="S20" i="13"/>
  <c r="R20" i="13"/>
  <c r="Q20" i="13"/>
  <c r="P20" i="13"/>
  <c r="S19" i="13"/>
  <c r="R19" i="13"/>
  <c r="Q19" i="13"/>
  <c r="P19" i="13"/>
  <c r="S18" i="13"/>
  <c r="R18" i="13"/>
  <c r="Q18" i="13"/>
  <c r="P18" i="13"/>
  <c r="S17" i="13"/>
  <c r="R17" i="13"/>
  <c r="Q17" i="13"/>
  <c r="P17" i="13"/>
  <c r="S16" i="13"/>
  <c r="R16" i="13"/>
  <c r="Q16" i="13"/>
  <c r="S15" i="13"/>
  <c r="R15" i="13"/>
  <c r="Q15" i="13"/>
  <c r="S14" i="13"/>
  <c r="R14" i="13"/>
  <c r="Q14" i="13"/>
  <c r="Q13" i="13"/>
  <c r="Q12" i="13"/>
  <c r="Q11" i="13"/>
  <c r="Q10" i="13"/>
  <c r="Q9" i="13"/>
  <c r="Q8" i="13"/>
  <c r="Q7" i="13"/>
  <c r="Q6" i="13"/>
  <c r="R282" i="1"/>
  <c r="F6745" i="3"/>
  <c r="F6744" i="3"/>
  <c r="F6743" i="3"/>
  <c r="F6742" i="3"/>
  <c r="F6741" i="3"/>
  <c r="F6740" i="3"/>
  <c r="F6739" i="3"/>
  <c r="F6738" i="3"/>
  <c r="F6736" i="3"/>
  <c r="F6760" i="3" s="1"/>
  <c r="F6784" i="3" s="1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30" i="3"/>
  <c r="D6729" i="3"/>
  <c r="D6728" i="3"/>
  <c r="D6727" i="3"/>
  <c r="D6726" i="3"/>
  <c r="D6725" i="3"/>
  <c r="D6724" i="3"/>
  <c r="D6723" i="3"/>
  <c r="D6722" i="3"/>
  <c r="S282" i="1"/>
  <c r="W96" i="13" l="1"/>
  <c r="W98" i="13"/>
  <c r="W97" i="13"/>
  <c r="W100" i="13"/>
  <c r="E116" i="13"/>
  <c r="W101" i="13"/>
  <c r="R115" i="13"/>
  <c r="C107" i="13"/>
  <c r="S121" i="13"/>
  <c r="R121" i="13"/>
  <c r="P121" i="13"/>
  <c r="B113" i="13" l="1"/>
  <c r="W99" i="13" s="1"/>
  <c r="V107" i="13"/>
  <c r="W108" i="13" l="1"/>
  <c r="W103" i="13"/>
  <c r="W102" i="13"/>
  <c r="W105" i="13"/>
  <c r="W106" i="13"/>
  <c r="U113" i="13"/>
  <c r="W115" i="13"/>
  <c r="C113" i="13"/>
  <c r="C139" i="13" l="1"/>
  <c r="V113" i="13"/>
  <c r="W116" i="13" l="1"/>
  <c r="W111" i="13"/>
  <c r="W104" i="13"/>
  <c r="W109" i="13"/>
  <c r="W114" i="13"/>
  <c r="W110" i="13"/>
  <c r="W112" i="13"/>
  <c r="W120" i="13"/>
  <c r="W117" i="13"/>
  <c r="W121" i="13"/>
  <c r="W118" i="13"/>
  <c r="W122" i="13"/>
  <c r="W119" i="13"/>
  <c r="S139" i="13"/>
  <c r="R139" i="13"/>
  <c r="C116" i="13" l="1"/>
  <c r="P116" i="13" l="1"/>
  <c r="S116" i="13"/>
  <c r="R116" i="13"/>
  <c r="M277" i="1" l="1"/>
  <c r="M278" i="1"/>
  <c r="M279" i="1"/>
  <c r="M280" i="1"/>
  <c r="M281" i="1"/>
  <c r="S281" i="1"/>
  <c r="F6721" i="3"/>
  <c r="F6720" i="3"/>
  <c r="F6719" i="3"/>
  <c r="F6718" i="3"/>
  <c r="F6717" i="3"/>
  <c r="F6716" i="3"/>
  <c r="F6715" i="3"/>
  <c r="F6714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D6698" i="3"/>
  <c r="R281" i="1"/>
  <c r="F6675" i="3"/>
  <c r="F6679" i="3"/>
  <c r="F6683" i="3"/>
  <c r="F6687" i="3"/>
  <c r="F6691" i="3"/>
  <c r="F6695" i="3"/>
  <c r="F6697" i="3"/>
  <c r="F6696" i="3"/>
  <c r="F6694" i="3"/>
  <c r="F6693" i="3"/>
  <c r="F6692" i="3"/>
  <c r="F6690" i="3"/>
  <c r="F6688" i="3"/>
  <c r="F6686" i="3"/>
  <c r="F6685" i="3"/>
  <c r="F6684" i="3"/>
  <c r="F6682" i="3"/>
  <c r="F6681" i="3"/>
  <c r="F6680" i="3"/>
  <c r="F6678" i="3"/>
  <c r="F6677" i="3"/>
  <c r="F6676" i="3"/>
  <c r="D6697" i="3"/>
  <c r="D6696" i="3"/>
  <c r="D6695" i="3"/>
  <c r="D6694" i="3"/>
  <c r="D6693" i="3"/>
  <c r="D6692" i="3"/>
  <c r="D6691" i="3"/>
  <c r="D6690" i="3"/>
  <c r="D6689" i="3"/>
  <c r="D6688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R280" i="1"/>
  <c r="S280" i="1"/>
  <c r="F6673" i="3"/>
  <c r="F6672" i="3"/>
  <c r="F6671" i="3"/>
  <c r="F6670" i="3"/>
  <c r="F6669" i="3"/>
  <c r="F6668" i="3"/>
  <c r="F6667" i="3"/>
  <c r="F6666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R279" i="1"/>
  <c r="S279" i="1"/>
  <c r="R278" i="1"/>
  <c r="S278" i="1"/>
  <c r="M274" i="1"/>
  <c r="M275" i="1"/>
  <c r="M276" i="1"/>
  <c r="R277" i="1"/>
  <c r="S277" i="1"/>
  <c r="R276" i="1" l="1"/>
  <c r="S276" i="1"/>
  <c r="R275" i="1" l="1"/>
  <c r="S275" i="1"/>
  <c r="M273" i="1"/>
  <c r="R274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R273" i="1"/>
  <c r="S273" i="1"/>
  <c r="R272" i="1"/>
  <c r="S272" i="1"/>
  <c r="R271" i="1"/>
  <c r="S271" i="1"/>
  <c r="R270" i="1"/>
  <c r="S270" i="1"/>
  <c r="R269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R268" i="1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R267" i="1"/>
  <c r="S267" i="1"/>
  <c r="E6338" i="3"/>
  <c r="E6358" i="3"/>
  <c r="E6352" i="3"/>
  <c r="E6343" i="3"/>
  <c r="E6341" i="3"/>
  <c r="E6339" i="3"/>
  <c r="E6354" i="3"/>
  <c r="E6350" i="3"/>
  <c r="E6349" i="3"/>
  <c r="E6345" i="3"/>
  <c r="R266" i="1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R265" i="1"/>
  <c r="S265" i="1"/>
  <c r="R264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R263" i="1"/>
  <c r="S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R262" i="1"/>
  <c r="S262" i="1"/>
  <c r="E6241" i="3" l="1"/>
  <c r="E6238" i="3"/>
  <c r="E6237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R261" i="1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R260" i="1"/>
  <c r="S260" i="1"/>
  <c r="E6190" i="3"/>
  <c r="E6189" i="3"/>
  <c r="E6185" i="3"/>
  <c r="E6177" i="3"/>
  <c r="E6175" i="3"/>
  <c r="E6173" i="3"/>
  <c r="E6171" i="3"/>
  <c r="E6170" i="3"/>
  <c r="E6192" i="3"/>
  <c r="E6182" i="3"/>
  <c r="R259" i="1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R258" i="1"/>
  <c r="S258" i="1"/>
  <c r="M257" i="1"/>
  <c r="R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R256" i="1" l="1"/>
  <c r="S256" i="1"/>
  <c r="R255" i="1" l="1"/>
  <c r="S255" i="1" l="1"/>
  <c r="R254" i="1" l="1"/>
  <c r="S254" i="1"/>
  <c r="M252" i="1"/>
  <c r="M253" i="1"/>
  <c r="M250" i="1"/>
  <c r="M251" i="1"/>
  <c r="R253" i="1"/>
  <c r="S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R252" i="1"/>
  <c r="S252" i="1"/>
  <c r="R251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R250" i="1"/>
  <c r="S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65" i="3"/>
  <c r="F5564" i="3"/>
  <c r="F5588" i="3" s="1"/>
  <c r="F5562" i="3"/>
  <c r="F5552" i="3"/>
  <c r="F5576" i="3" s="1"/>
  <c r="F5600" i="3" s="1"/>
  <c r="F5546" i="3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M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J241" i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E5714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E5623" i="3"/>
  <c r="E5622" i="3"/>
  <c r="E5621" i="3"/>
  <c r="E5619" i="3"/>
  <c r="E5614" i="3"/>
  <c r="E5618" i="3"/>
  <c r="E5629" i="3"/>
  <c r="E5628" i="3"/>
  <c r="M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E5608" i="3"/>
  <c r="E5604" i="3"/>
  <c r="M234" i="1"/>
  <c r="E5593" i="3"/>
  <c r="E5591" i="3"/>
  <c r="E5590" i="3"/>
  <c r="E5589" i="3"/>
  <c r="F5589" i="3" s="1"/>
  <c r="F5613" i="3" s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E5592" i="3"/>
  <c r="E5581" i="3"/>
  <c r="E5580" i="3"/>
  <c r="E5574" i="3"/>
  <c r="J234" i="1"/>
  <c r="J235" i="1" s="1"/>
  <c r="J236" i="1" s="1"/>
  <c r="J237" i="1" s="1"/>
  <c r="J238" i="1" s="1"/>
  <c r="J239" i="1" s="1"/>
  <c r="F5610" i="3" l="1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M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74" i="3"/>
  <c r="E5493" i="3"/>
  <c r="L175" i="5" l="1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J225" i="1"/>
  <c r="J226" i="1" s="1"/>
  <c r="J227" i="1" s="1"/>
  <c r="J228" i="1" s="1"/>
  <c r="J229" i="1" s="1"/>
  <c r="J230" i="1" s="1"/>
  <c r="J231" i="1" s="1"/>
  <c r="M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J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M220" i="1"/>
  <c r="M219" i="1"/>
  <c r="C205" i="1" l="1"/>
  <c r="Q204" i="1"/>
  <c r="M218" i="1"/>
  <c r="E5138" i="3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206" i="1" l="1"/>
  <c r="Q205" i="1"/>
  <c r="C207" i="1" l="1"/>
  <c r="Q206" i="1"/>
  <c r="C208" i="1" l="1"/>
  <c r="Q207" i="1"/>
  <c r="C209" i="1" l="1"/>
  <c r="Q208" i="1"/>
  <c r="C210" i="1" l="1"/>
  <c r="Q209" i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211" i="1" l="1"/>
  <c r="Q210" i="1"/>
  <c r="M211" i="1"/>
  <c r="C212" i="1" l="1"/>
  <c r="Q211" i="1"/>
  <c r="M210" i="1"/>
  <c r="C213" i="1" l="1"/>
  <c r="Q212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214" i="1" l="1"/>
  <c r="Q213" i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15" i="1" l="1"/>
  <c r="Q214" i="1"/>
  <c r="M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216" i="1" l="1"/>
  <c r="Q215" i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217" i="1" l="1"/>
  <c r="Q216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J205" i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M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Q203" i="1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Q202" i="1"/>
  <c r="C218" i="1" l="1"/>
  <c r="Q217" i="1"/>
  <c r="C219" i="1" l="1"/>
  <c r="Q218" i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Q201" i="1"/>
  <c r="D201" i="1"/>
  <c r="D197" i="1"/>
  <c r="E4682" i="3"/>
  <c r="E4792" i="3"/>
  <c r="L200" i="1"/>
  <c r="K200" i="1"/>
  <c r="Q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Q199" i="1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Q197" i="1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Q196" i="1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Q195" i="1"/>
  <c r="D195" i="1"/>
  <c r="C220" i="1" l="1"/>
  <c r="Q219" i="1"/>
  <c r="E4643" i="3"/>
  <c r="Q220" i="1" l="1"/>
  <c r="C221" i="1"/>
  <c r="Q194" i="1"/>
  <c r="L194" i="1"/>
  <c r="K194" i="1" s="1"/>
  <c r="Q221" i="1" l="1"/>
  <c r="C222" i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223" i="1" l="1"/>
  <c r="Q222" i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224" i="1" l="1"/>
  <c r="Q22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Q193" i="1"/>
  <c r="D192" i="1"/>
  <c r="D193" i="1"/>
  <c r="L192" i="1"/>
  <c r="K192" i="1" s="1"/>
  <c r="C225" i="1" l="1"/>
  <c r="Q224" i="1"/>
  <c r="E4582" i="3"/>
  <c r="E4578" i="3"/>
  <c r="E4576" i="3"/>
  <c r="E4571" i="3"/>
  <c r="E4567" i="3"/>
  <c r="E4562" i="3"/>
  <c r="E4584" i="3"/>
  <c r="E4583" i="3"/>
  <c r="E4574" i="3"/>
  <c r="E4538" i="3"/>
  <c r="Q192" i="1"/>
  <c r="D191" i="1"/>
  <c r="L179" i="1"/>
  <c r="L180" i="1"/>
  <c r="L181" i="1"/>
  <c r="L182" i="1"/>
  <c r="L183" i="1"/>
  <c r="L184" i="1"/>
  <c r="K184" i="1" s="1"/>
  <c r="L185" i="1"/>
  <c r="L186" i="1"/>
  <c r="K186" i="1" s="1"/>
  <c r="L187" i="1"/>
  <c r="L188" i="1"/>
  <c r="K188" i="1" s="1"/>
  <c r="L189" i="1"/>
  <c r="L190" i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Q191" i="1"/>
  <c r="K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K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K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K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K182" i="1"/>
  <c r="E4323" i="3"/>
  <c r="E4343" i="3"/>
  <c r="E4337" i="3"/>
  <c r="E4329" i="3"/>
  <c r="E4327" i="3"/>
  <c r="E4342" i="3"/>
  <c r="E4334" i="3"/>
  <c r="E4325" i="3"/>
  <c r="E4338" i="3"/>
  <c r="E4336" i="3"/>
  <c r="K181" i="1"/>
  <c r="C226" i="1" l="1"/>
  <c r="Q225" i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Q226" i="1" l="1"/>
  <c r="C227" i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Q227" i="1" l="1"/>
  <c r="C228" i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229" i="1" l="1"/>
  <c r="Q228" i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230" i="1" l="1"/>
  <c r="Q229" i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231" i="1" l="1"/>
  <c r="Q230" i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232" i="1" l="1"/>
  <c r="Q231" i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233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Q233" i="1" l="1"/>
  <c r="C234" i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Q234" i="1" l="1"/>
  <c r="C235" i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236" i="1" l="1"/>
  <c r="Q235" i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Q236" i="1" l="1"/>
  <c r="C237" i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238" i="1" l="1"/>
  <c r="Q237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239" i="1" l="1"/>
  <c r="Q238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Q239" i="1" l="1"/>
  <c r="C240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241" i="1" l="1"/>
  <c r="Q240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Q241" i="1" l="1"/>
  <c r="C242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243" i="1" l="1"/>
  <c r="Q242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244" i="1" l="1"/>
  <c r="Q243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245" i="1" l="1"/>
  <c r="Q244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46" i="1" l="1"/>
  <c r="Q245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47" i="1" l="1"/>
  <c r="Q246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48" i="1" l="1"/>
  <c r="Q247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49" i="1" l="1"/>
  <c r="Q248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50" i="1" l="1"/>
  <c r="Q249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C251" i="1" l="1"/>
  <c r="Q250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52" i="1" l="1"/>
  <c r="Q251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53" i="1" l="1"/>
  <c r="Q252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54" i="1" l="1"/>
  <c r="Q253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Q254" i="1" l="1"/>
  <c r="C255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Q255" i="1" l="1"/>
  <c r="C256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57" i="1" l="1"/>
  <c r="Q256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58" i="1" l="1"/>
  <c r="Q257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C259" i="1" l="1"/>
  <c r="Q258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Q259" i="1" l="1"/>
  <c r="C260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Q260" i="1" l="1"/>
  <c r="C261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Q261" i="1" l="1"/>
  <c r="C262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Q262" i="1" l="1"/>
  <c r="C263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64" i="1" l="1"/>
  <c r="Q263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Q264" i="1" l="1"/>
  <c r="C265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66" i="1" l="1"/>
  <c r="Q265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K179" i="1"/>
  <c r="Q266" i="1" l="1"/>
  <c r="C267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Q267" i="1" l="1"/>
  <c r="C268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68" i="1" l="1"/>
  <c r="C269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78" i="3"/>
  <c r="E4199" i="3"/>
  <c r="F4199" i="3" s="1"/>
  <c r="E4145" i="3"/>
  <c r="Q269" i="1" l="1"/>
  <c r="C270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Q270" i="1" l="1"/>
  <c r="C271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Q271" i="1" l="1"/>
  <c r="C272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72" i="1" l="1"/>
  <c r="C273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Q273" i="1" l="1"/>
  <c r="C274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Q274" i="1" l="1"/>
  <c r="C275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Q275" i="1" l="1"/>
  <c r="C276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77" i="1" l="1"/>
  <c r="Q276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L165" i="1"/>
  <c r="K165" i="1" s="1"/>
  <c r="C278" i="1" l="1"/>
  <c r="Q278" i="1" s="1"/>
  <c r="Q277" i="1"/>
  <c r="C279" i="1"/>
  <c r="Q279" i="1" s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80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Q164" i="1"/>
  <c r="D164" i="1"/>
  <c r="C281" i="1" l="1"/>
  <c r="Q280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C282" i="1" l="1"/>
  <c r="Q281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83" i="1" l="1"/>
  <c r="Q282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E3822" i="3"/>
  <c r="C284" i="1" l="1"/>
  <c r="Q283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C285" i="1" l="1"/>
  <c r="C286" i="1" s="1"/>
  <c r="Q284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L154" i="1"/>
  <c r="K154" i="1" s="1"/>
  <c r="Q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L147" i="1"/>
  <c r="K147" i="1" s="1"/>
  <c r="Q147" i="1"/>
  <c r="Q146" i="1"/>
  <c r="L146" i="1"/>
  <c r="K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J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S161" i="1" s="1"/>
  <c r="E3438" i="3"/>
  <c r="E3434" i="3"/>
  <c r="D145" i="1"/>
  <c r="Q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T162" i="1" l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Q144" i="1"/>
  <c r="D144" i="1"/>
  <c r="S163" i="1" l="1"/>
  <c r="T163" i="1"/>
  <c r="F3225" i="3"/>
  <c r="F3226" i="3"/>
  <c r="E164" i="1"/>
  <c r="J143" i="1"/>
  <c r="E3390" i="3"/>
  <c r="E3386" i="3"/>
  <c r="Q143" i="1"/>
  <c r="S164" i="1" l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3249" i="3"/>
  <c r="E165" i="1"/>
  <c r="S165" i="1" l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T166" i="1" l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C139" i="1" s="1"/>
  <c r="C140" i="1" s="1"/>
  <c r="S167" i="1" l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S168" i="1" l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Q140" i="1"/>
  <c r="E170" i="1" l="1"/>
  <c r="E171" i="1" s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2" i="1" l="1"/>
  <c r="S171" i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T143" i="1"/>
  <c r="S143" i="1"/>
  <c r="Q138" i="1"/>
  <c r="L137" i="1"/>
  <c r="K137" i="1" s="1"/>
  <c r="Q137" i="1"/>
  <c r="S173" i="1" l="1"/>
  <c r="T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S138" i="1"/>
  <c r="T138" i="1"/>
  <c r="E145" i="1"/>
  <c r="T144" i="1"/>
  <c r="S144" i="1"/>
  <c r="L136" i="1"/>
  <c r="T174" i="1" l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T145" i="1"/>
  <c r="S145" i="1"/>
  <c r="S139" i="1"/>
  <c r="T139" i="1"/>
  <c r="L135" i="1"/>
  <c r="S175" i="1" l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T146" i="1"/>
  <c r="S146" i="1"/>
  <c r="T140" i="1"/>
  <c r="S140" i="1"/>
  <c r="S136" i="1"/>
  <c r="T136" i="1"/>
  <c r="T149" i="1"/>
  <c r="S149" i="1"/>
  <c r="Q135" i="1"/>
  <c r="L134" i="1"/>
  <c r="Q134" i="1"/>
  <c r="S176" i="1" l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S150" i="1"/>
  <c r="T150" i="1"/>
  <c r="E148" i="1"/>
  <c r="T147" i="1"/>
  <c r="S147" i="1"/>
  <c r="M133" i="1"/>
  <c r="S177" i="1" l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T148" i="1"/>
  <c r="S148" i="1"/>
  <c r="S151" i="1"/>
  <c r="T151" i="1"/>
  <c r="Q133" i="1"/>
  <c r="M132" i="1"/>
  <c r="T178" i="1" l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S152" i="1"/>
  <c r="T152" i="1"/>
  <c r="M131" i="1"/>
  <c r="S179" i="1" l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T153" i="1"/>
  <c r="S153" i="1"/>
  <c r="Q130" i="1"/>
  <c r="S180" i="1" l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S154" i="1"/>
  <c r="T154" i="1"/>
  <c r="Q129" i="1"/>
  <c r="E182" i="1" l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E183" i="1"/>
  <c r="S155" i="1"/>
  <c r="T155" i="1"/>
  <c r="S183" i="1" l="1"/>
  <c r="T183" i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S156" i="1"/>
  <c r="T156" i="1"/>
  <c r="L127" i="1"/>
  <c r="S184" i="1" l="1"/>
  <c r="T184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S157" i="1"/>
  <c r="T157" i="1"/>
  <c r="S185" i="1" l="1"/>
  <c r="T185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S158" i="1"/>
  <c r="T158" i="1"/>
  <c r="T186" i="1" l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E187" i="1"/>
  <c r="S159" i="1"/>
  <c r="T159" i="1"/>
  <c r="M124" i="1"/>
  <c r="S187" i="1" l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S160" i="1"/>
  <c r="T160" i="1"/>
  <c r="L123" i="1"/>
  <c r="K123" i="1" s="1"/>
  <c r="S188" i="1" l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T161" i="1"/>
  <c r="E122" i="1"/>
  <c r="L121" i="1"/>
  <c r="L120" i="1"/>
  <c r="S189" i="1" l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S122" i="1"/>
  <c r="T122" i="1"/>
  <c r="E123" i="1"/>
  <c r="T190" i="1" l="1"/>
  <c r="S190" i="1"/>
  <c r="F3801" i="3"/>
  <c r="F3827" i="3"/>
  <c r="F3851" i="3" s="1"/>
  <c r="F3875" i="3" s="1"/>
  <c r="E191" i="1"/>
  <c r="T123" i="1"/>
  <c r="S123" i="1"/>
  <c r="E124" i="1"/>
  <c r="E192" i="1" l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S193" i="1" l="1"/>
  <c r="T193" i="1"/>
  <c r="E194" i="1"/>
  <c r="S192" i="1"/>
  <c r="T192" i="1"/>
  <c r="E120" i="1"/>
  <c r="T119" i="1"/>
  <c r="E126" i="1"/>
  <c r="T125" i="1"/>
  <c r="S119" i="1"/>
  <c r="S125" i="1"/>
  <c r="S120" i="1"/>
  <c r="T194" i="1" l="1"/>
  <c r="S194" i="1"/>
  <c r="E195" i="1"/>
  <c r="T126" i="1"/>
  <c r="S126" i="1"/>
  <c r="T120" i="1"/>
  <c r="S195" i="1" l="1"/>
  <c r="T195" i="1"/>
  <c r="E196" i="1"/>
  <c r="E113" i="1"/>
  <c r="S196" i="1" l="1"/>
  <c r="T196" i="1"/>
  <c r="E197" i="1"/>
  <c r="T113" i="1"/>
  <c r="S113" i="1"/>
  <c r="E114" i="1"/>
  <c r="T197" i="1" l="1"/>
  <c r="S197" i="1"/>
  <c r="E198" i="1"/>
  <c r="T114" i="1"/>
  <c r="S114" i="1"/>
  <c r="T198" i="1" l="1"/>
  <c r="S198" i="1"/>
  <c r="E199" i="1"/>
  <c r="Q171" i="1"/>
  <c r="T199" i="1" l="1"/>
  <c r="S199" i="1"/>
  <c r="E200" i="1"/>
  <c r="Q172" i="1"/>
  <c r="T200" i="1" l="1"/>
  <c r="S200" i="1"/>
  <c r="E201" i="1"/>
  <c r="Q173" i="1"/>
  <c r="T201" i="1" l="1"/>
  <c r="S201" i="1"/>
  <c r="E202" i="1"/>
  <c r="Q174" i="1"/>
  <c r="T202" i="1" l="1"/>
  <c r="S202" i="1"/>
  <c r="E203" i="1"/>
  <c r="Q175" i="1"/>
  <c r="T203" i="1" l="1"/>
  <c r="S203" i="1"/>
  <c r="E204" i="1"/>
  <c r="Q176" i="1"/>
  <c r="T204" i="1" l="1"/>
  <c r="E205" i="1"/>
  <c r="S204" i="1"/>
  <c r="Q177" i="1"/>
  <c r="T205" i="1" l="1"/>
  <c r="S205" i="1"/>
  <c r="E206" i="1"/>
  <c r="Q178" i="1"/>
  <c r="T206" i="1" l="1"/>
  <c r="S206" i="1"/>
  <c r="E207" i="1"/>
  <c r="Q179" i="1"/>
  <c r="T207" i="1" l="1"/>
  <c r="S207" i="1"/>
  <c r="E208" i="1"/>
  <c r="Q180" i="1"/>
  <c r="E209" i="1" l="1"/>
  <c r="S208" i="1"/>
  <c r="T208" i="1"/>
  <c r="Q181" i="1"/>
  <c r="E210" i="1" l="1"/>
  <c r="S209" i="1"/>
  <c r="T209" i="1"/>
  <c r="Q182" i="1"/>
  <c r="T210" i="1" l="1"/>
  <c r="S210" i="1"/>
  <c r="E211" i="1"/>
  <c r="Q183" i="1"/>
  <c r="T211" i="1" l="1"/>
  <c r="E212" i="1"/>
  <c r="S211" i="1"/>
  <c r="Q184" i="1"/>
  <c r="T212" i="1" l="1"/>
  <c r="S212" i="1"/>
  <c r="E213" i="1"/>
  <c r="Q185" i="1"/>
  <c r="T213" i="1" l="1"/>
  <c r="S213" i="1"/>
  <c r="E214" i="1"/>
  <c r="Q186" i="1"/>
  <c r="T214" i="1" l="1"/>
  <c r="E215" i="1"/>
  <c r="S214" i="1"/>
  <c r="Q187" i="1"/>
  <c r="E216" i="1" l="1"/>
  <c r="T215" i="1"/>
  <c r="S215" i="1"/>
  <c r="Q188" i="1"/>
  <c r="T216" i="1" l="1"/>
  <c r="E217" i="1"/>
  <c r="S216" i="1"/>
  <c r="Q189" i="1"/>
  <c r="T217" i="1" l="1"/>
  <c r="E218" i="1"/>
  <c r="S217" i="1"/>
  <c r="Q190" i="1"/>
  <c r="T218" i="1" l="1"/>
  <c r="E219" i="1"/>
  <c r="S218" i="1"/>
  <c r="T219" i="1" l="1"/>
  <c r="E220" i="1"/>
  <c r="S219" i="1"/>
  <c r="T220" i="1" l="1"/>
  <c r="E221" i="1"/>
  <c r="S220" i="1"/>
  <c r="T221" i="1" l="1"/>
  <c r="E222" i="1"/>
  <c r="S221" i="1"/>
  <c r="S222" i="1" l="1"/>
  <c r="T222" i="1"/>
  <c r="E223" i="1"/>
  <c r="T223" i="1" l="1"/>
  <c r="E224" i="1"/>
  <c r="S223" i="1"/>
  <c r="T224" i="1" l="1"/>
  <c r="E225" i="1"/>
  <c r="S224" i="1"/>
  <c r="T225" i="1" l="1"/>
  <c r="E226" i="1"/>
  <c r="S225" i="1"/>
  <c r="E227" i="1" l="1"/>
  <c r="T226" i="1"/>
  <c r="S226" i="1"/>
  <c r="T227" i="1" l="1"/>
  <c r="E228" i="1"/>
  <c r="S227" i="1"/>
  <c r="E229" i="1" l="1"/>
  <c r="T228" i="1"/>
  <c r="S228" i="1"/>
  <c r="T229" i="1" l="1"/>
  <c r="E230" i="1"/>
  <c r="S229" i="1"/>
  <c r="E231" i="1" l="1"/>
  <c r="T230" i="1"/>
  <c r="S230" i="1"/>
  <c r="T231" i="1" l="1"/>
  <c r="E232" i="1"/>
  <c r="S231" i="1"/>
  <c r="E233" i="1" l="1"/>
  <c r="T232" i="1"/>
  <c r="S232" i="1"/>
  <c r="T233" i="1" l="1"/>
  <c r="E234" i="1"/>
  <c r="S233" i="1"/>
  <c r="T234" i="1" l="1"/>
  <c r="E235" i="1"/>
  <c r="S234" i="1"/>
  <c r="E236" i="1" l="1"/>
  <c r="T235" i="1"/>
  <c r="S235" i="1"/>
  <c r="T236" i="1" l="1"/>
  <c r="E237" i="1"/>
  <c r="S236" i="1"/>
  <c r="E238" i="1" l="1"/>
  <c r="T237" i="1"/>
  <c r="S237" i="1"/>
  <c r="E239" i="1" l="1"/>
  <c r="T238" i="1"/>
  <c r="S238" i="1"/>
  <c r="E240" i="1" l="1"/>
  <c r="T239" i="1"/>
  <c r="S239" i="1"/>
  <c r="E241" i="1" l="1"/>
  <c r="T240" i="1"/>
  <c r="S240" i="1"/>
  <c r="E242" i="1" l="1"/>
  <c r="T241" i="1"/>
  <c r="S241" i="1"/>
  <c r="E243" i="1" l="1"/>
  <c r="T242" i="1"/>
  <c r="S242" i="1"/>
  <c r="E244" i="1" l="1"/>
  <c r="T243" i="1"/>
  <c r="S243" i="1"/>
  <c r="E245" i="1" l="1"/>
  <c r="T244" i="1"/>
  <c r="S244" i="1"/>
  <c r="E246" i="1" l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T278" i="1" s="1"/>
  <c r="T245" i="1"/>
  <c r="S245" i="1"/>
  <c r="E279" i="1" l="1"/>
  <c r="T279" i="1" s="1"/>
  <c r="E280" i="1" l="1"/>
  <c r="T280" i="1" l="1"/>
  <c r="E281" i="1"/>
  <c r="C125" i="13"/>
  <c r="E282" i="1" l="1"/>
  <c r="T281" i="1"/>
  <c r="P125" i="13"/>
  <c r="C126" i="13"/>
  <c r="T282" i="1" l="1"/>
  <c r="E283" i="1"/>
  <c r="C127" i="13"/>
  <c r="P126" i="13"/>
  <c r="T283" i="1" l="1"/>
  <c r="E284" i="1"/>
  <c r="C122" i="13"/>
  <c r="C128" i="13"/>
  <c r="P127" i="13"/>
  <c r="T284" i="1" l="1"/>
  <c r="E285" i="1"/>
  <c r="U138" i="13"/>
  <c r="U135" i="13"/>
  <c r="P128" i="13"/>
  <c r="U129" i="13"/>
  <c r="B123" i="13"/>
  <c r="C123" i="13"/>
  <c r="P122" i="13"/>
  <c r="T285" i="1" l="1"/>
  <c r="E286" i="1"/>
  <c r="V123" i="13"/>
  <c r="U130" i="13"/>
  <c r="W124" i="13"/>
  <c r="W128" i="13"/>
  <c r="W125" i="13"/>
  <c r="W129" i="13"/>
  <c r="W126" i="13"/>
  <c r="W127" i="13"/>
  <c r="U123" i="13"/>
  <c r="T286" i="1" l="1"/>
  <c r="E287" i="1"/>
  <c r="E122" i="13"/>
  <c r="I238" i="13"/>
  <c r="I237" i="13"/>
  <c r="I244" i="13"/>
  <c r="I172" i="13"/>
  <c r="I173" i="13" s="1"/>
  <c r="I159" i="13" s="1"/>
  <c r="I166" i="13"/>
  <c r="R122" i="13"/>
  <c r="S122" i="13"/>
  <c r="U132" i="13"/>
  <c r="U140" i="13"/>
  <c r="U139" i="13"/>
  <c r="C142" i="13"/>
  <c r="S142" i="13" s="1"/>
  <c r="C141" i="13"/>
  <c r="S141" i="13" s="1"/>
  <c r="U136" i="13"/>
  <c r="U131" i="13"/>
  <c r="E288" i="1" l="1"/>
  <c r="T287" i="1"/>
  <c r="C143" i="13"/>
  <c r="E144" i="13"/>
  <c r="U134" i="13"/>
  <c r="R141" i="13"/>
  <c r="R142" i="13"/>
  <c r="U133" i="13"/>
  <c r="I160" i="13"/>
  <c r="E289" i="1" l="1"/>
  <c r="T288" i="1"/>
  <c r="R143" i="13"/>
  <c r="S143" i="13"/>
  <c r="R144" i="13"/>
  <c r="S144" i="13"/>
  <c r="U141" i="13"/>
  <c r="C145" i="13"/>
  <c r="C146" i="13" s="1"/>
  <c r="U145" i="13"/>
  <c r="E154" i="13"/>
  <c r="E155" i="13" s="1"/>
  <c r="E157" i="13"/>
  <c r="E158" i="13" s="1"/>
  <c r="U142" i="13"/>
  <c r="U143" i="13"/>
  <c r="U144" i="13"/>
  <c r="T289" i="1" l="1"/>
  <c r="E290" i="1"/>
  <c r="T290" i="1" s="1"/>
  <c r="C147" i="13"/>
  <c r="U146" i="13"/>
  <c r="E159" i="13"/>
  <c r="C148" i="13" l="1"/>
  <c r="U147" i="13"/>
  <c r="E160" i="13"/>
  <c r="E161" i="13" l="1"/>
  <c r="C149" i="13"/>
  <c r="U148" i="13"/>
  <c r="C150" i="13" l="1"/>
  <c r="U149" i="13"/>
  <c r="E162" i="13"/>
  <c r="E163" i="13" l="1"/>
  <c r="C151" i="13"/>
  <c r="U150" i="13"/>
  <c r="C152" i="13" l="1"/>
  <c r="U151" i="13"/>
  <c r="E164" i="13"/>
  <c r="E165" i="13" l="1"/>
  <c r="U152" i="13"/>
  <c r="S152" i="13"/>
  <c r="R152" i="13"/>
  <c r="C153" i="13"/>
  <c r="U153" i="13" l="1"/>
  <c r="R153" i="13"/>
  <c r="C154" i="13"/>
  <c r="S153" i="13"/>
  <c r="E166" i="13"/>
  <c r="C155" i="13" l="1"/>
  <c r="S154" i="13"/>
  <c r="R154" i="13"/>
  <c r="U154" i="13"/>
  <c r="E167" i="13"/>
  <c r="E168" i="13" l="1"/>
  <c r="C156" i="13"/>
  <c r="R155" i="13"/>
  <c r="U155" i="13"/>
  <c r="S155" i="13"/>
  <c r="R156" i="13" l="1"/>
  <c r="C157" i="13"/>
  <c r="U156" i="13"/>
  <c r="S156" i="13"/>
  <c r="E169" i="13"/>
  <c r="U157" i="13" l="1"/>
  <c r="C158" i="13"/>
  <c r="S157" i="13"/>
  <c r="R157" i="13"/>
  <c r="E170" i="13"/>
  <c r="C159" i="13" l="1"/>
  <c r="U158" i="13"/>
  <c r="R158" i="13"/>
  <c r="S158" i="13"/>
  <c r="E171" i="13"/>
  <c r="E172" i="13" l="1"/>
  <c r="C160" i="13"/>
  <c r="R159" i="13"/>
  <c r="U159" i="13"/>
  <c r="S159" i="13"/>
  <c r="C161" i="13" l="1"/>
  <c r="R160" i="13"/>
  <c r="U160" i="13"/>
  <c r="S160" i="13"/>
  <c r="E173" i="13"/>
  <c r="E174" i="13" l="1"/>
  <c r="C162" i="13"/>
  <c r="U161" i="13"/>
  <c r="R161" i="13"/>
  <c r="S161" i="13"/>
  <c r="C163" i="13" l="1"/>
  <c r="R162" i="13"/>
  <c r="U162" i="13"/>
  <c r="S162" i="13"/>
  <c r="E175" i="13"/>
  <c r="E176" i="13" l="1"/>
  <c r="C164" i="13"/>
  <c r="R163" i="13"/>
  <c r="U163" i="13"/>
  <c r="S163" i="13"/>
  <c r="E177" i="13" l="1"/>
  <c r="C165" i="13"/>
  <c r="U164" i="13"/>
  <c r="R164" i="13"/>
  <c r="S164" i="13"/>
  <c r="C166" i="13" l="1"/>
  <c r="R165" i="13"/>
  <c r="U165" i="13"/>
  <c r="S165" i="13"/>
  <c r="E178" i="13"/>
  <c r="E179" i="13" l="1"/>
  <c r="C167" i="13"/>
  <c r="R166" i="13"/>
  <c r="U166" i="13"/>
  <c r="S166" i="13"/>
  <c r="C168" i="13" l="1"/>
  <c r="U167" i="13"/>
  <c r="R167" i="13"/>
  <c r="S167" i="13"/>
  <c r="E180" i="13"/>
  <c r="E181" i="13" l="1"/>
  <c r="C169" i="13"/>
  <c r="R168" i="13"/>
  <c r="U168" i="13"/>
  <c r="S168" i="13"/>
  <c r="E182" i="13" l="1"/>
  <c r="C170" i="13"/>
  <c r="R169" i="13"/>
  <c r="U169" i="13"/>
  <c r="S169" i="13"/>
  <c r="C171" i="13" l="1"/>
  <c r="R170" i="13"/>
  <c r="U170" i="13"/>
  <c r="S170" i="13"/>
  <c r="E183" i="13"/>
  <c r="E184" i="13" l="1"/>
  <c r="C172" i="13"/>
  <c r="R171" i="13"/>
  <c r="U171" i="13"/>
  <c r="S171" i="13"/>
  <c r="C173" i="13" l="1"/>
  <c r="U172" i="13"/>
  <c r="R172" i="13"/>
  <c r="S172" i="13"/>
  <c r="E185" i="13"/>
  <c r="E186" i="13" l="1"/>
  <c r="C174" i="13"/>
  <c r="U173" i="13"/>
  <c r="R173" i="13"/>
  <c r="S173" i="13"/>
  <c r="C175" i="13" l="1"/>
  <c r="U174" i="13"/>
  <c r="R174" i="13"/>
  <c r="P174" i="13"/>
  <c r="S174" i="13"/>
  <c r="E187" i="13"/>
  <c r="E188" i="13" l="1"/>
  <c r="C176" i="13"/>
  <c r="U175" i="13"/>
  <c r="R175" i="13"/>
  <c r="P175" i="13"/>
  <c r="S175" i="13"/>
  <c r="C177" i="13" l="1"/>
  <c r="R176" i="13"/>
  <c r="P176" i="13"/>
  <c r="U176" i="13"/>
  <c r="S176" i="13"/>
  <c r="E189" i="13"/>
  <c r="E190" i="13" l="1"/>
  <c r="C178" i="13"/>
  <c r="R177" i="13"/>
  <c r="P177" i="13"/>
  <c r="U177" i="13"/>
  <c r="S177" i="13"/>
  <c r="C179" i="13" l="1"/>
  <c r="P178" i="13"/>
  <c r="R178" i="13"/>
  <c r="U178" i="13"/>
  <c r="S178" i="13"/>
  <c r="E191" i="13"/>
  <c r="E192" i="13" l="1"/>
  <c r="C180" i="13"/>
  <c r="U179" i="13"/>
  <c r="R179" i="13"/>
  <c r="P179" i="13"/>
  <c r="S179" i="13"/>
  <c r="C181" i="13" l="1"/>
  <c r="P180" i="13"/>
  <c r="U180" i="13"/>
  <c r="R180" i="13"/>
  <c r="S180" i="13"/>
  <c r="E193" i="13"/>
  <c r="E194" i="13" l="1"/>
  <c r="C182" i="13"/>
  <c r="R181" i="13"/>
  <c r="P181" i="13"/>
  <c r="U181" i="13"/>
  <c r="S181" i="13"/>
  <c r="C183" i="13" l="1"/>
  <c r="R182" i="13"/>
  <c r="P182" i="13"/>
  <c r="U182" i="13"/>
  <c r="S182" i="13"/>
  <c r="E195" i="13"/>
  <c r="E196" i="13" l="1"/>
  <c r="C184" i="13"/>
  <c r="U183" i="13"/>
  <c r="P183" i="13"/>
  <c r="R183" i="13"/>
  <c r="S183" i="13"/>
  <c r="C185" i="13" l="1"/>
  <c r="P184" i="13"/>
  <c r="U184" i="13"/>
  <c r="R184" i="13"/>
  <c r="S184" i="13"/>
  <c r="E197" i="13"/>
  <c r="E198" i="13" l="1"/>
  <c r="C186" i="13"/>
  <c r="U185" i="13"/>
  <c r="P185" i="13"/>
  <c r="R185" i="13"/>
  <c r="S185" i="13"/>
  <c r="C187" i="13" l="1"/>
  <c r="R186" i="13"/>
  <c r="P186" i="13"/>
  <c r="U186" i="13"/>
  <c r="S186" i="13"/>
  <c r="E199" i="13"/>
  <c r="E200" i="13" l="1"/>
  <c r="C188" i="13"/>
  <c r="R187" i="13"/>
  <c r="P187" i="13"/>
  <c r="U187" i="13"/>
  <c r="S187" i="13"/>
  <c r="C189" i="13" l="1"/>
  <c r="R188" i="13"/>
  <c r="U188" i="13"/>
  <c r="P188" i="13"/>
  <c r="S188" i="13"/>
  <c r="E201" i="13"/>
  <c r="E202" i="13" l="1"/>
  <c r="C190" i="13"/>
  <c r="U189" i="13"/>
  <c r="R189" i="13"/>
  <c r="P189" i="13"/>
  <c r="S189" i="13"/>
  <c r="E203" i="13" l="1"/>
  <c r="C191" i="13"/>
  <c r="R190" i="13"/>
  <c r="P190" i="13"/>
  <c r="U190" i="13"/>
  <c r="S190" i="13"/>
  <c r="S200" i="13"/>
  <c r="C192" i="13" l="1"/>
  <c r="R191" i="13"/>
  <c r="P191" i="13"/>
  <c r="U191" i="13"/>
  <c r="S191" i="13"/>
  <c r="S201" i="13"/>
  <c r="E204" i="13"/>
  <c r="E205" i="13" l="1"/>
  <c r="C193" i="13"/>
  <c r="R192" i="13"/>
  <c r="P192" i="13"/>
  <c r="U192" i="13"/>
  <c r="S192" i="13"/>
  <c r="S202" i="13"/>
  <c r="C194" i="13" l="1"/>
  <c r="R193" i="13"/>
  <c r="P193" i="13"/>
  <c r="U193" i="13"/>
  <c r="S193" i="13"/>
  <c r="S203" i="13"/>
  <c r="E206" i="13"/>
  <c r="E207" i="13" l="1"/>
  <c r="C195" i="13"/>
  <c r="P194" i="13"/>
  <c r="U194" i="13"/>
  <c r="R194" i="13"/>
  <c r="S194" i="13"/>
  <c r="S204" i="13"/>
  <c r="C196" i="13" l="1"/>
  <c r="P195" i="13"/>
  <c r="U195" i="13"/>
  <c r="R195" i="13"/>
  <c r="S195" i="13"/>
  <c r="S205" i="13"/>
  <c r="E208" i="13"/>
  <c r="E209" i="13" l="1"/>
  <c r="C197" i="13"/>
  <c r="U196" i="13"/>
  <c r="R196" i="13"/>
  <c r="P196" i="13"/>
  <c r="S196" i="13"/>
  <c r="S206" i="13"/>
  <c r="E210" i="13" l="1"/>
  <c r="C198" i="13"/>
  <c r="P197" i="13"/>
  <c r="U197" i="13"/>
  <c r="R197" i="13"/>
  <c r="S197" i="13"/>
  <c r="S207" i="13"/>
  <c r="C199" i="13" l="1"/>
  <c r="U198" i="13"/>
  <c r="R198" i="13"/>
  <c r="P198" i="13"/>
  <c r="S198" i="13"/>
  <c r="S208" i="13"/>
  <c r="E211" i="13"/>
  <c r="E212" i="13" l="1"/>
  <c r="C200" i="13"/>
  <c r="R199" i="13"/>
  <c r="P199" i="13"/>
  <c r="U199" i="13"/>
  <c r="S199" i="13"/>
  <c r="S209" i="13"/>
  <c r="C201" i="13" l="1"/>
  <c r="U200" i="13"/>
  <c r="R200" i="13"/>
  <c r="P200" i="13"/>
  <c r="S210" i="13"/>
  <c r="E213" i="13"/>
  <c r="E214" i="13" l="1"/>
  <c r="C202" i="13"/>
  <c r="U201" i="13"/>
  <c r="R201" i="13"/>
  <c r="P201" i="13"/>
  <c r="S211" i="13"/>
  <c r="C203" i="13" l="1"/>
  <c r="U202" i="13"/>
  <c r="P202" i="13"/>
  <c r="R202" i="13"/>
  <c r="S212" i="13"/>
  <c r="E215" i="13"/>
  <c r="S215" i="13" l="1"/>
  <c r="E216" i="13"/>
  <c r="C204" i="13"/>
  <c r="R203" i="13"/>
  <c r="P203" i="13"/>
  <c r="U203" i="13"/>
  <c r="S213" i="13"/>
  <c r="C205" i="13" l="1"/>
  <c r="U204" i="13"/>
  <c r="P204" i="13"/>
  <c r="R204" i="13"/>
  <c r="S214" i="13"/>
  <c r="E217" i="13"/>
  <c r="S216" i="13"/>
  <c r="E218" i="13" l="1"/>
  <c r="S217" i="13"/>
  <c r="C206" i="13"/>
  <c r="U205" i="13"/>
  <c r="P205" i="13"/>
  <c r="R205" i="13"/>
  <c r="C207" i="13" l="1"/>
  <c r="R206" i="13"/>
  <c r="P206" i="13"/>
  <c r="U206" i="13"/>
  <c r="S218" i="13"/>
  <c r="E219" i="13"/>
  <c r="S219" i="13" s="1"/>
  <c r="C208" i="13" l="1"/>
  <c r="U207" i="13"/>
  <c r="P207" i="13"/>
  <c r="R207" i="13"/>
  <c r="C209" i="13" l="1"/>
  <c r="R208" i="13"/>
  <c r="U208" i="13"/>
  <c r="P208" i="13"/>
  <c r="U209" i="13" l="1"/>
  <c r="P209" i="13"/>
  <c r="C210" i="13"/>
  <c r="R209" i="13"/>
  <c r="C211" i="13" l="1"/>
  <c r="U210" i="13"/>
  <c r="R210" i="13"/>
  <c r="P210" i="13"/>
  <c r="P211" i="13" l="1"/>
  <c r="U211" i="13"/>
  <c r="R211" i="13"/>
  <c r="C212" i="13"/>
  <c r="C213" i="13" l="1"/>
  <c r="U212" i="13"/>
  <c r="P212" i="13"/>
  <c r="R212" i="13"/>
  <c r="C214" i="13" l="1"/>
  <c r="P213" i="13"/>
  <c r="R213" i="13"/>
  <c r="U213" i="13"/>
  <c r="C215" i="13" l="1"/>
  <c r="U214" i="13"/>
  <c r="P214" i="13"/>
  <c r="R214" i="13"/>
  <c r="C216" i="13" l="1"/>
  <c r="U215" i="13"/>
  <c r="P215" i="13"/>
  <c r="R215" i="13"/>
  <c r="C217" i="13" l="1"/>
  <c r="P216" i="13"/>
  <c r="U216" i="13"/>
  <c r="R216" i="13"/>
  <c r="C218" i="13" l="1"/>
  <c r="U217" i="13"/>
  <c r="P217" i="13"/>
  <c r="R217" i="13"/>
  <c r="U218" i="13" l="1"/>
  <c r="P218" i="13"/>
  <c r="C219" i="13"/>
  <c r="R218" i="13"/>
  <c r="U219" i="13" l="1"/>
  <c r="P219" i="13"/>
  <c r="R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U285" i="13"/>
  <c r="V285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S285" i="13"/>
  <c r="E145" i="13"/>
  <c r="E146" i="13"/>
  <c r="E147" i="13"/>
  <c r="E148" i="13"/>
  <c r="E149" i="13"/>
  <c r="E150" i="13"/>
  <c r="E151" i="13"/>
  <c r="R151" i="13"/>
  <c r="S151" i="13"/>
  <c r="V283" i="13"/>
  <c r="U270" i="13"/>
  <c r="P270" i="13"/>
  <c r="P264" i="13"/>
  <c r="U264" i="13"/>
  <c r="V277" i="13"/>
  <c r="U261" i="13"/>
  <c r="P261" i="13"/>
  <c r="V274" i="13"/>
  <c r="U263" i="13"/>
  <c r="P263" i="13"/>
  <c r="V276" i="13"/>
  <c r="R226" i="13"/>
  <c r="U226" i="13"/>
  <c r="P226" i="13"/>
  <c r="U257" i="13"/>
  <c r="P257" i="13"/>
  <c r="V270" i="13"/>
  <c r="R247" i="13"/>
  <c r="U247" i="13"/>
  <c r="V260" i="13"/>
  <c r="P247" i="13"/>
  <c r="S225" i="13"/>
  <c r="S230" i="13"/>
  <c r="U275" i="13"/>
  <c r="P275" i="13"/>
  <c r="P279" i="13"/>
  <c r="U279" i="13"/>
  <c r="P274" i="13"/>
  <c r="U274" i="13"/>
  <c r="S281" i="13"/>
  <c r="P281" i="13"/>
  <c r="U281" i="13"/>
  <c r="P280" i="13"/>
  <c r="U280" i="13"/>
  <c r="U266" i="13"/>
  <c r="P266" i="13"/>
  <c r="V279" i="13"/>
  <c r="P276" i="13"/>
  <c r="U276" i="13"/>
  <c r="P248" i="13"/>
  <c r="R248" i="13"/>
  <c r="U248" i="13"/>
  <c r="V261" i="13"/>
  <c r="R227" i="13"/>
  <c r="P227" i="13"/>
  <c r="U227" i="13"/>
  <c r="U260" i="13"/>
  <c r="V273" i="13"/>
  <c r="P260" i="13"/>
  <c r="R229" i="13"/>
  <c r="P229" i="13"/>
  <c r="U229" i="13"/>
  <c r="U258" i="13"/>
  <c r="V271" i="13"/>
  <c r="P258" i="13"/>
  <c r="V268" i="13"/>
  <c r="U255" i="13"/>
  <c r="P255" i="13"/>
  <c r="E125" i="13"/>
  <c r="E126" i="13"/>
  <c r="E127" i="13"/>
  <c r="E128" i="13"/>
  <c r="E129" i="13"/>
  <c r="S129" i="13"/>
  <c r="R129" i="13"/>
  <c r="S227" i="13"/>
  <c r="S246" i="13"/>
  <c r="S239" i="13"/>
  <c r="S228" i="13"/>
  <c r="S240" i="13"/>
  <c r="P283" i="13"/>
  <c r="S283" i="13"/>
  <c r="U283" i="13"/>
  <c r="V282" i="13"/>
  <c r="U269" i="13"/>
  <c r="P269" i="13"/>
  <c r="P277" i="13"/>
  <c r="U277" i="13"/>
  <c r="P273" i="13"/>
  <c r="U273" i="13"/>
  <c r="U282" i="13"/>
  <c r="S282" i="13"/>
  <c r="P282" i="13"/>
  <c r="P272" i="13"/>
  <c r="U272" i="13"/>
  <c r="P267" i="13"/>
  <c r="U267" i="13"/>
  <c r="V280" i="13"/>
  <c r="U265" i="13"/>
  <c r="P265" i="13"/>
  <c r="V278" i="13"/>
  <c r="P249" i="13"/>
  <c r="V262" i="13"/>
  <c r="U249" i="13"/>
  <c r="P225" i="13"/>
  <c r="R225" i="13"/>
  <c r="U225" i="13"/>
  <c r="P256" i="13"/>
  <c r="U256" i="13"/>
  <c r="V269" i="13"/>
  <c r="P230" i="13"/>
  <c r="R230" i="13"/>
  <c r="U230" i="13"/>
  <c r="P254" i="13"/>
  <c r="V267" i="13"/>
  <c r="U254" i="13"/>
  <c r="S229" i="13"/>
  <c r="S231" i="13"/>
  <c r="S224" i="13"/>
  <c r="S248" i="13"/>
  <c r="S226" i="13"/>
  <c r="S247" i="13"/>
  <c r="S245" i="13"/>
  <c r="P284" i="13"/>
  <c r="S284" i="13"/>
  <c r="U284" i="13"/>
  <c r="U271" i="13"/>
  <c r="V284" i="13"/>
  <c r="P271" i="13"/>
  <c r="P278" i="13"/>
  <c r="U278" i="13"/>
  <c r="P268" i="13"/>
  <c r="V281" i="13"/>
  <c r="U268" i="13"/>
  <c r="V275" i="13"/>
  <c r="U262" i="13"/>
  <c r="P262" i="13"/>
  <c r="U253" i="13"/>
  <c r="V266" i="13"/>
  <c r="P253" i="13"/>
  <c r="V265" i="13"/>
  <c r="U252" i="13"/>
  <c r="P252" i="13"/>
  <c r="U228" i="13"/>
  <c r="P228" i="13"/>
  <c r="R228" i="13"/>
  <c r="P259" i="13"/>
  <c r="V272" i="13"/>
  <c r="U259" i="13"/>
  <c r="I162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170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239" i="13"/>
  <c r="I240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S128" i="13"/>
  <c r="R128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R146" i="13"/>
  <c r="S146" i="13"/>
  <c r="R149" i="13"/>
  <c r="S149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28" i="13"/>
  <c r="I241" i="13"/>
  <c r="I242" i="13"/>
  <c r="R150" i="13"/>
  <c r="S150" i="13"/>
  <c r="I229" i="13"/>
  <c r="I265" i="13"/>
  <c r="I266" i="13"/>
  <c r="I205" i="13"/>
  <c r="I267" i="13"/>
  <c r="I230" i="13"/>
  <c r="I231" i="13"/>
  <c r="I232" i="13"/>
  <c r="S125" i="13"/>
  <c r="R125" i="13"/>
  <c r="R147" i="13"/>
  <c r="S147" i="13"/>
  <c r="I233" i="13"/>
  <c r="I225" i="13"/>
  <c r="I234" i="13"/>
  <c r="S145" i="13"/>
  <c r="R145" i="13"/>
  <c r="R148" i="13"/>
  <c r="S148" i="13"/>
  <c r="S127" i="13"/>
  <c r="R127" i="13"/>
  <c r="I226" i="13"/>
  <c r="R126" i="13"/>
  <c r="S126" i="13"/>
  <c r="S244" i="13"/>
  <c r="S233" i="13"/>
  <c r="S243" i="13"/>
  <c r="S232" i="13"/>
  <c r="S238" i="13"/>
  <c r="S236" i="13"/>
  <c r="S242" i="13"/>
  <c r="S241" i="13"/>
  <c r="S237" i="13"/>
  <c r="S235" i="13"/>
  <c r="S234" i="13"/>
  <c r="S223" i="13"/>
  <c r="S222" i="13"/>
  <c r="S221" i="13"/>
  <c r="S220" i="13"/>
  <c r="V252" i="13"/>
  <c r="R239" i="13"/>
  <c r="P239" i="13"/>
  <c r="U239" i="13"/>
  <c r="R246" i="13"/>
  <c r="P246" i="13"/>
  <c r="U246" i="13"/>
  <c r="V259" i="13"/>
  <c r="V264" i="13"/>
  <c r="U251" i="13"/>
  <c r="P251" i="13"/>
  <c r="U250" i="13"/>
  <c r="P250" i="13"/>
  <c r="V263" i="13"/>
  <c r="V258" i="13"/>
  <c r="R245" i="13"/>
  <c r="P245" i="13"/>
  <c r="U245" i="13"/>
  <c r="R224" i="13"/>
  <c r="P224" i="13"/>
  <c r="U224" i="13"/>
  <c r="V253" i="13"/>
  <c r="R240" i="13"/>
  <c r="P240" i="13"/>
  <c r="U240" i="13"/>
  <c r="R244" i="13"/>
  <c r="V257" i="13"/>
  <c r="U244" i="13"/>
  <c r="P244" i="13"/>
  <c r="V245" i="13"/>
  <c r="R232" i="13"/>
  <c r="U232" i="13"/>
  <c r="P232" i="13"/>
  <c r="R243" i="13"/>
  <c r="P243" i="13"/>
  <c r="U243" i="13"/>
  <c r="V256" i="13"/>
  <c r="R242" i="13"/>
  <c r="V255" i="13"/>
  <c r="U242" i="13"/>
  <c r="P242" i="13"/>
  <c r="P241" i="13"/>
  <c r="V254" i="13"/>
  <c r="R241" i="13"/>
  <c r="U241" i="13"/>
  <c r="R233" i="13"/>
  <c r="U233" i="13"/>
  <c r="P233" i="13"/>
  <c r="V246" i="13"/>
  <c r="V250" i="13"/>
  <c r="R237" i="13"/>
  <c r="P237" i="13"/>
  <c r="U237" i="13"/>
  <c r="R235" i="13"/>
  <c r="V248" i="13"/>
  <c r="U235" i="13"/>
  <c r="R238" i="13"/>
  <c r="U238" i="13"/>
  <c r="P238" i="13"/>
  <c r="V251" i="13"/>
  <c r="V249" i="13"/>
  <c r="R236" i="13"/>
  <c r="P236" i="13"/>
  <c r="U236" i="13"/>
  <c r="P234" i="13"/>
  <c r="V247" i="13"/>
  <c r="U234" i="13"/>
  <c r="R234" i="13"/>
  <c r="P231" i="13"/>
  <c r="U231" i="13"/>
  <c r="R231" i="13"/>
  <c r="V244" i="13"/>
  <c r="R223" i="13"/>
  <c r="U223" i="13"/>
  <c r="P223" i="13"/>
  <c r="R222" i="13"/>
  <c r="P222" i="13"/>
  <c r="U222" i="13"/>
  <c r="R221" i="13"/>
  <c r="P221" i="13"/>
  <c r="U221" i="13"/>
  <c r="R220" i="13"/>
  <c r="P220" i="13"/>
  <c r="U220" i="13"/>
  <c r="D7063" i="3"/>
  <c r="D7087" i="3" l="1"/>
</calcChain>
</file>

<file path=xl/sharedStrings.xml><?xml version="1.0" encoding="utf-8"?>
<sst xmlns="http://schemas.openxmlformats.org/spreadsheetml/2006/main" count="12360" uniqueCount="160">
  <si>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</si>
  <si>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</si>
  <si>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</si>
  <si>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</si>
  <si>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</si>
  <si>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</si>
  <si>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</si>
  <si>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</si>
  <si>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</si>
  <si>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</si>
  <si>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</si>
  <si>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</si>
  <si>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</si>
  <si>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</si>
  <si>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</si>
  <si>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</si>
  <si>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</si>
  <si>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</si>
  <si>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</si>
  <si>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</si>
  <si>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</si>
  <si>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</si>
  <si>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</si>
  <si>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</si>
  <si>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</si>
  <si>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</si>
  <si>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</si>
  <si>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</si>
  <si>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</si>
  <si>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</si>
  <si>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</si>
  <si>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</si>
  <si>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</si>
  <si>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</si>
  <si>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</si>
  <si>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</si>
  <si>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</si>
  <si>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</si>
  <si>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</si>
  <si>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</si>
  <si>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</si>
  <si>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</si>
  <si>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</si>
  <si>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</si>
  <si>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</si>
  <si>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</si>
  <si>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</si>
  <si>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</si>
  <si>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</si>
  <si>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</si>
  <si>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</si>
  <si>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</si>
  <si>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</si>
  <si>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</si>
  <si>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</si>
  <si>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</si>
  <si>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</si>
  <si>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</si>
  <si>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</si>
  <si>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</si>
  <si>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</si>
  <si>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</si>
  <si>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</si>
  <si>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</si>
  <si>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</si>
  <si>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</si>
  <si>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</si>
  <si>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</si>
  <si>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</si>
  <si>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</si>
  <si>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</si>
  <si>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</si>
  <si>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</si>
  <si>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</si>
  <si>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</si>
  <si>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</si>
  <si>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</si>
  <si>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</si>
  <si>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</si>
  <si>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</si>
  <si>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</si>
  <si>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</si>
  <si>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</si>
  <si>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</si>
  <si>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</si>
  <si>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</si>
  <si>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</si>
  <si>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</si>
  <si>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</si>
  <si>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</si>
  <si>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</si>
  <si>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</si>
  <si>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</si>
  <si>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</si>
  <si>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</si>
  <si>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</si>
  <si>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</si>
  <si>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</si>
  <si>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</si>
  <si>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</si>
  <si>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</si>
  <si>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</si>
  <si>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</si>
  <si>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</si>
  <si>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</si>
  <si>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</si>
  <si>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</si>
  <si>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</si>
  <si>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</si>
  <si>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</si>
  <si>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</si>
  <si>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</si>
  <si>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</si>
  <si>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</si>
  <si>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</si>
  <si>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</si>
  <si>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</si>
  <si>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</si>
  <si>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</si>
  <si>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</si>
  <si>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</si>
  <si>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</si>
  <si>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</si>
  <si>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</si>
  <si>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</si>
  <si>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</si>
  <si>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</si>
  <si>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</si>
  <si>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</si>
  <si>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</si>
  <si>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</si>
  <si>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</si>
  <si>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</si>
  <si>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</si>
  <si>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</si>
  <si>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</si>
  <si>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</si>
  <si>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</si>
  <si>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</si>
  <si>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</si>
  <si>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</si>
  <si>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</si>
  <si>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</si>
  <si>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</si>
  <si>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</si>
  <si>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</si>
  <si>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</si>
  <si>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</si>
  <si>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</si>
  <si>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</si>
  <si>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</si>
  <si>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REC_N</t>
  </si>
  <si>
    <t>prom diario</t>
  </si>
  <si>
    <t>muertos esperados</t>
  </si>
  <si>
    <t>crecimiento semanal</t>
  </si>
  <si>
    <t>letalidad hoy</t>
  </si>
  <si>
    <t>muertos promedio</t>
  </si>
  <si>
    <t>Altas</t>
  </si>
  <si>
    <t>DIF_uti</t>
  </si>
  <si>
    <t>DIF 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</si>
</sst>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3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1" fontId="0" fillId="0" borderId="1" xfId="43" applyNumberFormat="1" applyFont="1" applyBorder="1" applyAlignment="1">
      <alignment horizontal="center" vertic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3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3" fontId="0" fillId="2" borderId="0" xfId="0" applyNumberFormat="1" applyFill="1" applyAlignment="1">
      <alignment horizontal="center"/>
    </xf>
    <xf numFmtId="3" fontId="17" fillId="38" borderId="0" xfId="0" applyNumberFormat="1" applyFont="1" applyFill="1" applyAlignment="1">
      <alignment horizontal="center"/>
    </xf>
    <xf numFmtId="14" fontId="38" fillId="38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/>
    </xf>
    <xf numFmtId="3" fontId="4" fillId="0" borderId="55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14" fontId="0" fillId="0" borderId="39" xfId="0" applyNumberFormat="1" applyFill="1" applyBorder="1" applyAlignment="1">
      <alignment horizontal="center" vertical="center"/>
    </xf>
    <xf numFmtId="14" fontId="0" fillId="0" borderId="55" xfId="0" applyNumberFormat="1" applyFill="1" applyBorder="1" applyAlignment="1">
      <alignment horizontal="center" vertical="center"/>
    </xf>
    <xf numFmtId="14" fontId="37" fillId="0" borderId="0" xfId="0" applyNumberFormat="1" applyFont="1" applyFill="1" applyBorder="1" applyAlignment="1">
      <alignment horizontal="center" vertical="center"/>
    </xf>
    <xf numFmtId="0" fontId="35" fillId="0" borderId="39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3" fontId="0" fillId="0" borderId="2" xfId="43" applyNumberFormat="1" applyFont="1" applyBorder="1" applyAlignment="1">
      <alignment horizontal="center" vertical="center"/>
    </xf>
    <xf numFmtId="3" fontId="1" fillId="0" borderId="0" xfId="43" applyNumberFormat="1" applyFont="1" applyBorder="1" applyAlignment="1">
      <alignment horizontal="center" vertical="center"/>
    </xf>
    <xf numFmtId="3" fontId="2" fillId="0" borderId="5" xfId="43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" fontId="17" fillId="38" borderId="0" xfId="0" applyNumberFormat="1" applyFont="1" applyFill="1" applyAlignment="1">
      <alignment horizontal="center"/>
    </xf>
    <xf numFmtId="14" fontId="37" fillId="42" borderId="1" xfId="0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4" fontId="37" fillId="43" borderId="1" xfId="0" applyNumberFormat="1" applyFont="1" applyFill="1" applyBorder="1" applyAlignment="1">
      <alignment horizontal="center" vertical="center"/>
    </xf>
    <xf numFmtId="14" fontId="37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7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60" xfId="0" applyBorder="1" applyAlignment="1">
      <alignment horizontal="center"/>
    </xf>
    <xf numFmtId="1" fontId="0" fillId="0" borderId="60" xfId="0" applyNumberFormat="1" applyBorder="1" applyAlignment="1">
      <alignment horizontal="center"/>
    </xf>
    <xf numFmtId="3" fontId="1" fillId="0" borderId="60" xfId="43" applyNumberFormat="1" applyFont="1" applyBorder="1" applyAlignment="1">
      <alignment horizontal="center" vertic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4" fontId="37" fillId="42" borderId="61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3" fontId="0" fillId="0" borderId="61" xfId="0" applyNumberFormat="1" applyBorder="1" applyAlignment="1">
      <alignment horizontal="center"/>
    </xf>
    <xf numFmtId="14" fontId="37" fillId="42" borderId="5" xfId="0" applyNumberFormat="1" applyFont="1" applyFill="1" applyBorder="1" applyAlignment="1">
      <alignment horizontal="center" vertical="center"/>
    </xf>
    <xf numFmtId="1" fontId="0" fillId="0" borderId="62" xfId="0" applyNumberFormat="1" applyBorder="1" applyAlignment="1">
      <alignment horizontal="center"/>
    </xf>
    <xf numFmtId="1" fontId="0" fillId="0" borderId="61" xfId="0" applyNumberFormat="1" applyBorder="1" applyAlignment="1">
      <alignment horizontal="center"/>
    </xf>
    <xf numFmtId="3" fontId="1" fillId="0" borderId="61" xfId="43" applyNumberFormat="1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197</xdr:row>
      <xdr:rowOff>0</xdr:rowOff>
    </xdr:from>
    <xdr:to>
      <xdr:col>2</xdr:col>
      <xdr:colOff>304800</xdr:colOff>
      <xdr:row>198</xdr:row>
      <xdr:rowOff>96982</xdr:rowOff>
    </xdr:to>
    <xdr:sp macro="" textlink="">
      <xdr:nvSpPr>
        <xdr:cNvPr id="2" name="AutoShape 18" descr="Bandera triangular en poste">
          <a:extLst>
            <a:ext uri="{FF2B5EF4-FFF2-40B4-BE49-F238E27FC236}">
              <a16:creationId xmlns:a16="http://schemas.microsoft.com/office/drawing/2014/main" id="{33378121-269A-4F8D-A916-E9E5E3C02F0E}"/>
            </a:ext>
          </a:extLst>
        </xdr:cNvPr>
        <xdr:cNvSpPr>
          <a:spLocks noChangeAspect="1" noChangeArrowheads="1"/>
        </xdr:cNvSpPr>
      </xdr:nvSpPr>
      <xdr:spPr bwMode="auto">
        <a:xfrm>
          <a:off x="1628775" y="3697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198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AA420870-065A-4A02-85BF-E5B1FE8ABE9C}"/>
            </a:ext>
          </a:extLst>
        </xdr:cNvPr>
        <xdr:cNvSpPr>
          <a:spLocks noChangeAspect="1" noChangeArrowheads="1"/>
        </xdr:cNvSpPr>
      </xdr:nvSpPr>
      <xdr:spPr bwMode="auto">
        <a:xfrm>
          <a:off x="1628775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199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C502FD12-71FE-4BDB-A7DC-74377B1D6937}"/>
            </a:ext>
          </a:extLst>
        </xdr:cNvPr>
        <xdr:cNvSpPr>
          <a:spLocks noChangeAspect="1" noChangeArrowheads="1"/>
        </xdr:cNvSpPr>
      </xdr:nvSpPr>
      <xdr:spPr bwMode="auto">
        <a:xfrm>
          <a:off x="1628775" y="373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01"/>
  <sheetViews>
    <sheetView topLeftCell="Q1" zoomScale="70" zoomScaleNormal="70" workbookViewId="0">
      <pane ySplit="1" topLeftCell="A285" activePane="bottomLeft" state="frozen"/>
      <selection pane="bottomLeft" activeCell="R300" sqref="R300:T301"/>
    </sheetView>
  </sheetViews>
  <sheetFormatPr baseColWidth="10" defaultRowHeight="15" x14ac:dyDescent="0.25"/>
  <cols>
    <col min="1" max="1" width="12.42578125" style="74" customWidth="1"/>
    <col min="2" max="2" width="12" style="95" bestFit="1" customWidth="1"/>
    <col min="3" max="3" width="13.140625" style="95" bestFit="1" customWidth="1"/>
    <col min="4" max="4" width="9.140625" style="95" customWidth="1"/>
    <col min="5" max="6" width="10" style="95" customWidth="1"/>
    <col min="7" max="7" width="13.140625" style="83" customWidth="1"/>
    <col min="8" max="8" width="9.42578125" style="95" customWidth="1"/>
    <col min="9" max="9" width="11.5703125" style="95" bestFit="1" customWidth="1"/>
    <col min="10" max="10" width="13.140625" style="95" bestFit="1" customWidth="1"/>
    <col min="11" max="11" width="12" style="36" customWidth="1"/>
    <col min="12" max="12" width="13.140625" style="36" customWidth="1"/>
    <col min="13" max="13" width="14.140625" style="95" customWidth="1"/>
    <col min="14" max="17" width="11.5703125" style="95" bestFit="1" customWidth="1"/>
    <col min="18" max="18" width="12.5703125" style="95" customWidth="1"/>
    <col min="19" max="19" width="10" style="25" customWidth="1"/>
    <col min="20" max="20" width="10" style="6" customWidth="1"/>
    <col min="21" max="23" width="11.42578125" style="6"/>
    <col min="24" max="24" width="13.7109375" style="6" customWidth="1"/>
    <col min="25" max="16384" width="11.42578125" style="6"/>
  </cols>
  <sheetData>
    <row r="1" spans="1:20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157</v>
      </c>
      <c r="G1" s="79" t="s">
        <v>4</v>
      </c>
      <c r="H1" s="1" t="s">
        <v>5</v>
      </c>
      <c r="I1" s="1" t="s">
        <v>6</v>
      </c>
      <c r="J1" s="1" t="s">
        <v>7</v>
      </c>
      <c r="K1" s="21" t="s">
        <v>8</v>
      </c>
      <c r="L1" s="2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151</v>
      </c>
      <c r="S1" s="1" t="s">
        <v>158</v>
      </c>
      <c r="T1" s="4" t="s">
        <v>159</v>
      </c>
    </row>
    <row r="2" spans="1:2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/>
      <c r="G2" s="79">
        <v>0</v>
      </c>
      <c r="H2" s="1"/>
      <c r="I2" s="1"/>
      <c r="J2" s="1"/>
      <c r="K2" s="21"/>
      <c r="L2" s="21"/>
      <c r="M2" s="1"/>
      <c r="N2" s="1">
        <v>1</v>
      </c>
      <c r="O2" s="1">
        <v>0</v>
      </c>
      <c r="P2" s="1">
        <v>0</v>
      </c>
      <c r="Q2" s="1">
        <v>0</v>
      </c>
      <c r="R2" s="22"/>
      <c r="S2" s="1"/>
      <c r="T2" s="4"/>
    </row>
    <row r="3" spans="1:2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6">
        <f t="shared" ref="F3:F66" si="0">G3-G2</f>
        <v>0</v>
      </c>
      <c r="G3" s="79">
        <v>0</v>
      </c>
      <c r="H3" s="1"/>
      <c r="I3" s="1"/>
      <c r="J3" s="1"/>
      <c r="K3" s="21"/>
      <c r="L3" s="21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6">
        <f t="shared" si="0"/>
        <v>0</v>
      </c>
      <c r="G4" s="79">
        <v>0</v>
      </c>
      <c r="H4" s="1"/>
      <c r="I4" s="1"/>
      <c r="J4" s="1"/>
      <c r="K4" s="21"/>
      <c r="L4" s="21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6">
        <f t="shared" si="0"/>
        <v>0</v>
      </c>
      <c r="G5" s="79">
        <v>0</v>
      </c>
      <c r="H5" s="1"/>
      <c r="I5" s="1"/>
      <c r="J5" s="1"/>
      <c r="K5" s="21"/>
      <c r="L5" s="21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6">
        <f t="shared" si="0"/>
        <v>0</v>
      </c>
      <c r="G6" s="79">
        <v>0</v>
      </c>
      <c r="H6" s="1"/>
      <c r="I6" s="1"/>
      <c r="J6" s="1"/>
      <c r="K6" s="21"/>
      <c r="L6" s="21"/>
      <c r="M6" s="1"/>
      <c r="N6" s="1">
        <v>9</v>
      </c>
      <c r="O6" s="1">
        <v>0</v>
      </c>
      <c r="P6" s="1">
        <v>0</v>
      </c>
      <c r="Q6" s="1">
        <v>0</v>
      </c>
      <c r="R6" s="29">
        <f t="shared" ref="R6:R69" si="1">G6-G5</f>
        <v>0</v>
      </c>
      <c r="S6" s="1"/>
      <c r="T6" s="4"/>
    </row>
    <row r="7" spans="1:2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6">
        <f t="shared" si="0"/>
        <v>0</v>
      </c>
      <c r="G7" s="79">
        <v>0</v>
      </c>
      <c r="H7" s="1"/>
      <c r="I7" s="1"/>
      <c r="J7" s="1"/>
      <c r="K7" s="21"/>
      <c r="L7" s="21"/>
      <c r="M7" s="1"/>
      <c r="N7" s="1">
        <v>12</v>
      </c>
      <c r="O7" s="1">
        <v>0</v>
      </c>
      <c r="P7" s="1">
        <v>0</v>
      </c>
      <c r="Q7" s="1">
        <v>0</v>
      </c>
      <c r="R7" s="29">
        <f t="shared" si="1"/>
        <v>0</v>
      </c>
      <c r="S7" s="1"/>
      <c r="T7" s="4"/>
    </row>
    <row r="8" spans="1:2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6">
        <f t="shared" si="0"/>
        <v>0</v>
      </c>
      <c r="G8" s="79">
        <v>0</v>
      </c>
      <c r="H8" s="1"/>
      <c r="I8" s="1"/>
      <c r="J8" s="1"/>
      <c r="K8" s="21"/>
      <c r="L8" s="21"/>
      <c r="M8" s="1"/>
      <c r="N8" s="1">
        <v>17</v>
      </c>
      <c r="O8" s="1">
        <v>0</v>
      </c>
      <c r="P8" s="1">
        <v>0</v>
      </c>
      <c r="Q8" s="1">
        <v>0</v>
      </c>
      <c r="R8" s="29">
        <f t="shared" si="1"/>
        <v>0</v>
      </c>
      <c r="S8" s="1"/>
      <c r="T8" s="4"/>
    </row>
    <row r="9" spans="1:2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6">
        <f t="shared" si="0"/>
        <v>0</v>
      </c>
      <c r="G9" s="79">
        <v>0</v>
      </c>
      <c r="H9" s="1"/>
      <c r="I9" s="1"/>
      <c r="J9" s="1"/>
      <c r="K9" s="21"/>
      <c r="L9" s="21"/>
      <c r="M9" s="1"/>
      <c r="N9" s="1">
        <v>19</v>
      </c>
      <c r="O9" s="1">
        <v>0</v>
      </c>
      <c r="P9" s="1">
        <v>0</v>
      </c>
      <c r="Q9" s="1">
        <v>0</v>
      </c>
      <c r="R9" s="29">
        <f t="shared" si="1"/>
        <v>0</v>
      </c>
      <c r="S9" s="1"/>
      <c r="T9" s="4"/>
    </row>
    <row r="10" spans="1:2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6">
        <f t="shared" si="0"/>
        <v>0</v>
      </c>
      <c r="G10" s="79">
        <v>0</v>
      </c>
      <c r="H10" s="1"/>
      <c r="I10" s="1"/>
      <c r="J10" s="1"/>
      <c r="K10" s="21"/>
      <c r="L10" s="21"/>
      <c r="M10" s="1"/>
      <c r="N10" s="1">
        <v>21</v>
      </c>
      <c r="O10" s="1">
        <v>0</v>
      </c>
      <c r="P10" s="1">
        <v>0</v>
      </c>
      <c r="Q10" s="1">
        <v>0</v>
      </c>
      <c r="R10" s="29">
        <f t="shared" si="1"/>
        <v>0</v>
      </c>
      <c r="S10" s="1"/>
      <c r="T10" s="4"/>
    </row>
    <row r="11" spans="1:2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6">
        <f t="shared" si="0"/>
        <v>0</v>
      </c>
      <c r="G11" s="79">
        <v>0</v>
      </c>
      <c r="H11" s="1"/>
      <c r="I11" s="1"/>
      <c r="J11" s="1"/>
      <c r="K11" s="21"/>
      <c r="L11" s="21"/>
      <c r="M11" s="1"/>
      <c r="N11" s="1">
        <v>28</v>
      </c>
      <c r="O11" s="1">
        <v>3</v>
      </c>
      <c r="P11" s="1">
        <v>0</v>
      </c>
      <c r="Q11" s="1">
        <v>0</v>
      </c>
      <c r="R11" s="29">
        <f t="shared" si="1"/>
        <v>0</v>
      </c>
      <c r="S11" s="1"/>
      <c r="T11" s="4"/>
    </row>
    <row r="12" spans="1:2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6">
        <f t="shared" si="0"/>
        <v>0</v>
      </c>
      <c r="G12" s="79">
        <v>0</v>
      </c>
      <c r="H12" s="1"/>
      <c r="I12" s="1"/>
      <c r="J12" s="1"/>
      <c r="K12" s="21"/>
      <c r="L12" s="21"/>
      <c r="M12" s="1"/>
      <c r="N12" s="1">
        <v>30</v>
      </c>
      <c r="O12" s="1">
        <v>4</v>
      </c>
      <c r="P12" s="1">
        <v>0</v>
      </c>
      <c r="Q12" s="1">
        <v>0</v>
      </c>
      <c r="R12" s="29">
        <f t="shared" si="1"/>
        <v>0</v>
      </c>
      <c r="S12" s="1"/>
      <c r="T12" s="4"/>
    </row>
    <row r="13" spans="1:2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6">
        <f t="shared" si="0"/>
        <v>0</v>
      </c>
      <c r="G13" s="79">
        <v>0</v>
      </c>
      <c r="H13" s="1"/>
      <c r="I13" s="1"/>
      <c r="J13" s="1"/>
      <c r="K13" s="21"/>
      <c r="L13" s="21"/>
      <c r="M13" s="1"/>
      <c r="N13" s="1">
        <v>40</v>
      </c>
      <c r="O13" s="1">
        <v>5</v>
      </c>
      <c r="P13" s="1">
        <v>0</v>
      </c>
      <c r="Q13" s="1">
        <v>0</v>
      </c>
      <c r="R13" s="29">
        <f t="shared" si="1"/>
        <v>0</v>
      </c>
      <c r="S13" s="1"/>
      <c r="T13" s="4"/>
    </row>
    <row r="14" spans="1:2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6">
        <f t="shared" si="0"/>
        <v>0</v>
      </c>
      <c r="G14" s="79">
        <v>0</v>
      </c>
      <c r="H14" s="1"/>
      <c r="I14" s="1"/>
      <c r="J14" s="1"/>
      <c r="K14" s="21"/>
      <c r="L14" s="21"/>
      <c r="M14" s="1"/>
      <c r="N14" s="1">
        <v>48</v>
      </c>
      <c r="O14" s="1">
        <v>8</v>
      </c>
      <c r="P14" s="1">
        <v>0</v>
      </c>
      <c r="Q14" s="1">
        <v>0</v>
      </c>
      <c r="R14" s="29">
        <f t="shared" si="1"/>
        <v>0</v>
      </c>
      <c r="S14" s="72">
        <f t="shared" ref="S14:S77" si="2">H14/(C14-E14-G14)</f>
        <v>0</v>
      </c>
      <c r="T14" s="62">
        <f>E14/C14</f>
        <v>3.5714285714285712E-2</v>
      </c>
    </row>
    <row r="15" spans="1:2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6">
        <f t="shared" si="0"/>
        <v>0</v>
      </c>
      <c r="G15" s="79">
        <v>0</v>
      </c>
      <c r="H15" s="1"/>
      <c r="I15" s="1"/>
      <c r="J15" s="1"/>
      <c r="K15" s="21"/>
      <c r="L15" s="21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9">
        <f t="shared" si="1"/>
        <v>0</v>
      </c>
      <c r="S15" s="72">
        <f t="shared" si="2"/>
        <v>0</v>
      </c>
      <c r="T15" s="62">
        <f t="shared" ref="T15:T78" si="3">E15/C15</f>
        <v>3.0769230769230771E-2</v>
      </c>
    </row>
    <row r="16" spans="1:2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6">
        <f t="shared" si="0"/>
        <v>0</v>
      </c>
      <c r="G16" s="79">
        <v>0</v>
      </c>
      <c r="H16" s="1"/>
      <c r="I16" s="1"/>
      <c r="J16" s="1"/>
      <c r="K16" s="21">
        <v>686</v>
      </c>
      <c r="L16" s="21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9">
        <f t="shared" si="1"/>
        <v>0</v>
      </c>
      <c r="S16" s="72">
        <f t="shared" si="2"/>
        <v>0</v>
      </c>
      <c r="T16" s="62">
        <f t="shared" si="3"/>
        <v>2.564102564102564E-2</v>
      </c>
    </row>
    <row r="17" spans="1:2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6">
        <f t="shared" si="0"/>
        <v>18</v>
      </c>
      <c r="G17" s="79">
        <v>18</v>
      </c>
      <c r="H17" s="1"/>
      <c r="I17" s="1"/>
      <c r="J17" s="1"/>
      <c r="K17" s="21"/>
      <c r="L17" s="21">
        <v>562</v>
      </c>
      <c r="M17" s="1">
        <v>562</v>
      </c>
      <c r="N17" s="1">
        <v>80</v>
      </c>
      <c r="O17" s="1">
        <v>16</v>
      </c>
      <c r="P17" s="1">
        <v>0</v>
      </c>
      <c r="Q17" s="16">
        <f t="shared" ref="Q17:Q80" si="4">C17-P17-O17-N17</f>
        <v>1</v>
      </c>
      <c r="R17" s="29">
        <f t="shared" si="1"/>
        <v>18</v>
      </c>
      <c r="S17" s="72">
        <f t="shared" si="2"/>
        <v>0</v>
      </c>
      <c r="T17" s="62">
        <f t="shared" si="3"/>
        <v>3.0927835051546393E-2</v>
      </c>
    </row>
    <row r="18" spans="1:2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6">
        <f t="shared" si="0"/>
        <v>5</v>
      </c>
      <c r="G18" s="79">
        <v>23</v>
      </c>
      <c r="H18" s="1"/>
      <c r="I18" s="1"/>
      <c r="J18" s="1"/>
      <c r="K18" s="21"/>
      <c r="L18" s="21">
        <v>705</v>
      </c>
      <c r="M18" s="1">
        <v>705</v>
      </c>
      <c r="N18" s="1">
        <v>100</v>
      </c>
      <c r="O18" s="1">
        <v>22</v>
      </c>
      <c r="P18" s="1">
        <v>0</v>
      </c>
      <c r="Q18" s="16">
        <f t="shared" si="4"/>
        <v>6</v>
      </c>
      <c r="R18" s="29">
        <f t="shared" si="1"/>
        <v>5</v>
      </c>
      <c r="S18" s="72">
        <f t="shared" si="2"/>
        <v>0</v>
      </c>
      <c r="T18" s="62">
        <f t="shared" si="3"/>
        <v>2.34375E-2</v>
      </c>
    </row>
    <row r="19" spans="1:2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6">
        <f t="shared" si="0"/>
        <v>4</v>
      </c>
      <c r="G19" s="79">
        <v>27</v>
      </c>
      <c r="H19" s="1"/>
      <c r="I19" s="1"/>
      <c r="J19" s="1"/>
      <c r="K19" s="21"/>
      <c r="L19" s="21">
        <v>872</v>
      </c>
      <c r="M19" s="1">
        <v>872</v>
      </c>
      <c r="N19" s="1">
        <v>122</v>
      </c>
      <c r="O19" s="1">
        <v>26</v>
      </c>
      <c r="P19" s="1">
        <v>0</v>
      </c>
      <c r="Q19" s="16">
        <f t="shared" si="4"/>
        <v>10</v>
      </c>
      <c r="R19" s="29">
        <f t="shared" si="1"/>
        <v>4</v>
      </c>
      <c r="S19" s="72">
        <f t="shared" si="2"/>
        <v>0</v>
      </c>
      <c r="T19" s="62">
        <f t="shared" si="3"/>
        <v>1.8987341772151899E-2</v>
      </c>
    </row>
    <row r="20" spans="1:2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6">
        <f t="shared" si="0"/>
        <v>4</v>
      </c>
      <c r="G20" s="79">
        <v>31</v>
      </c>
      <c r="H20" s="1"/>
      <c r="I20" s="1"/>
      <c r="J20" s="1"/>
      <c r="K20" s="21"/>
      <c r="L20" s="21">
        <v>1028</v>
      </c>
      <c r="M20" s="1">
        <v>1028</v>
      </c>
      <c r="N20" s="1">
        <v>167</v>
      </c>
      <c r="O20" s="1">
        <v>38</v>
      </c>
      <c r="P20" s="1">
        <v>0</v>
      </c>
      <c r="Q20" s="16">
        <f t="shared" si="4"/>
        <v>20</v>
      </c>
      <c r="R20" s="29">
        <f t="shared" si="1"/>
        <v>4</v>
      </c>
      <c r="S20" s="72">
        <f t="shared" si="2"/>
        <v>0</v>
      </c>
      <c r="T20" s="62">
        <f t="shared" si="3"/>
        <v>1.7777777777777778E-2</v>
      </c>
    </row>
    <row r="21" spans="1:2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6">
        <f t="shared" si="0"/>
        <v>20</v>
      </c>
      <c r="G21" s="79">
        <v>51</v>
      </c>
      <c r="H21" s="1"/>
      <c r="I21" s="1"/>
      <c r="J21" s="1"/>
      <c r="K21" s="21"/>
      <c r="L21" s="21">
        <v>1271</v>
      </c>
      <c r="M21" s="1">
        <v>1271</v>
      </c>
      <c r="N21" s="1">
        <v>189</v>
      </c>
      <c r="O21" s="1">
        <v>59</v>
      </c>
      <c r="P21" s="1">
        <v>1</v>
      </c>
      <c r="Q21" s="16">
        <f t="shared" si="4"/>
        <v>17</v>
      </c>
      <c r="R21" s="29">
        <f t="shared" si="1"/>
        <v>20</v>
      </c>
      <c r="S21" s="72">
        <f t="shared" si="2"/>
        <v>0</v>
      </c>
      <c r="T21" s="62">
        <f t="shared" si="3"/>
        <v>1.5037593984962405E-2</v>
      </c>
    </row>
    <row r="22" spans="1:20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16">
        <f t="shared" si="0"/>
        <v>1</v>
      </c>
      <c r="G22" s="79">
        <v>52</v>
      </c>
      <c r="H22" s="1"/>
      <c r="I22" s="1"/>
      <c r="J22" s="1"/>
      <c r="K22" s="21"/>
      <c r="L22" s="21">
        <v>1453</v>
      </c>
      <c r="M22" s="1">
        <v>1453</v>
      </c>
      <c r="N22" s="1">
        <v>206</v>
      </c>
      <c r="O22" s="1">
        <v>64</v>
      </c>
      <c r="P22" s="1">
        <v>1</v>
      </c>
      <c r="Q22" s="16">
        <f t="shared" si="4"/>
        <v>30</v>
      </c>
      <c r="R22" s="29">
        <f t="shared" si="1"/>
        <v>1</v>
      </c>
      <c r="S22" s="72">
        <f t="shared" si="2"/>
        <v>0</v>
      </c>
      <c r="T22" s="62">
        <f t="shared" si="3"/>
        <v>1.3289036544850499E-2</v>
      </c>
    </row>
    <row r="23" spans="1:20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16">
        <f t="shared" si="0"/>
        <v>11</v>
      </c>
      <c r="G23" s="79">
        <v>63</v>
      </c>
      <c r="H23" s="1"/>
      <c r="I23" s="1"/>
      <c r="J23" s="1"/>
      <c r="K23" s="21"/>
      <c r="L23" s="21">
        <v>1453</v>
      </c>
      <c r="M23" s="1">
        <v>1453</v>
      </c>
      <c r="N23" s="1">
        <v>247</v>
      </c>
      <c r="O23" s="1">
        <v>84</v>
      </c>
      <c r="P23" s="1">
        <v>1</v>
      </c>
      <c r="Q23" s="16">
        <f t="shared" si="4"/>
        <v>55</v>
      </c>
      <c r="R23" s="29">
        <f t="shared" si="1"/>
        <v>11</v>
      </c>
      <c r="S23" s="72">
        <f t="shared" si="2"/>
        <v>0</v>
      </c>
      <c r="T23" s="62">
        <f t="shared" si="3"/>
        <v>1.5503875968992248E-2</v>
      </c>
    </row>
    <row r="24" spans="1:2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6">
        <f t="shared" si="0"/>
        <v>9</v>
      </c>
      <c r="G24" s="79">
        <v>72</v>
      </c>
      <c r="H24" s="1"/>
      <c r="I24" s="1"/>
      <c r="J24" s="1"/>
      <c r="K24" s="21"/>
      <c r="L24" s="21">
        <v>1946</v>
      </c>
      <c r="M24" s="1">
        <v>1946</v>
      </c>
      <c r="N24" s="1">
        <v>250</v>
      </c>
      <c r="O24" s="1">
        <v>102</v>
      </c>
      <c r="P24" s="1">
        <v>1</v>
      </c>
      <c r="Q24" s="16">
        <f t="shared" si="4"/>
        <v>150</v>
      </c>
      <c r="R24" s="29">
        <f t="shared" si="1"/>
        <v>9</v>
      </c>
      <c r="S24" s="72">
        <f t="shared" si="2"/>
        <v>0</v>
      </c>
      <c r="T24" s="62">
        <f t="shared" si="3"/>
        <v>1.5904572564612324E-2</v>
      </c>
    </row>
    <row r="25" spans="1:2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6">
        <f t="shared" si="0"/>
        <v>3</v>
      </c>
      <c r="G25" s="79">
        <v>75</v>
      </c>
      <c r="H25" s="1">
        <v>25</v>
      </c>
      <c r="I25" s="1"/>
      <c r="J25" s="1"/>
      <c r="K25" s="21"/>
      <c r="L25" s="21">
        <v>2558</v>
      </c>
      <c r="M25" s="1">
        <v>2558</v>
      </c>
      <c r="N25" s="1">
        <v>287</v>
      </c>
      <c r="O25" s="1">
        <v>126</v>
      </c>
      <c r="P25" s="1">
        <v>1</v>
      </c>
      <c r="Q25" s="16">
        <f t="shared" si="4"/>
        <v>175</v>
      </c>
      <c r="R25" s="29">
        <f t="shared" si="1"/>
        <v>3</v>
      </c>
      <c r="S25" s="72">
        <f t="shared" si="2"/>
        <v>4.9800796812749001E-2</v>
      </c>
      <c r="T25" s="62">
        <f t="shared" si="3"/>
        <v>2.037351443123939E-2</v>
      </c>
    </row>
    <row r="26" spans="1:2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6">
        <f t="shared" si="0"/>
        <v>5</v>
      </c>
      <c r="G26" s="79">
        <v>80</v>
      </c>
      <c r="H26" s="1"/>
      <c r="I26" s="1"/>
      <c r="J26" s="1"/>
      <c r="K26" s="21"/>
      <c r="L26" s="21">
        <v>2817</v>
      </c>
      <c r="M26" s="1">
        <v>2817</v>
      </c>
      <c r="N26" s="1">
        <v>387</v>
      </c>
      <c r="O26" s="1">
        <v>167</v>
      </c>
      <c r="P26" s="1">
        <v>1</v>
      </c>
      <c r="Q26" s="16">
        <f t="shared" si="4"/>
        <v>135</v>
      </c>
      <c r="R26" s="29">
        <f t="shared" si="1"/>
        <v>5</v>
      </c>
      <c r="S26" s="72">
        <f t="shared" si="2"/>
        <v>0</v>
      </c>
      <c r="T26" s="62">
        <f t="shared" si="3"/>
        <v>2.4637681159420291E-2</v>
      </c>
    </row>
    <row r="27" spans="1:2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6">
        <f t="shared" si="0"/>
        <v>11</v>
      </c>
      <c r="G27" s="79">
        <v>91</v>
      </c>
      <c r="H27" s="1">
        <v>44</v>
      </c>
      <c r="I27" s="1"/>
      <c r="J27" s="1"/>
      <c r="K27" s="21"/>
      <c r="L27" s="21">
        <v>3215</v>
      </c>
      <c r="M27" s="1">
        <v>3215</v>
      </c>
      <c r="N27" s="1">
        <v>408</v>
      </c>
      <c r="O27" s="1">
        <v>185</v>
      </c>
      <c r="P27" s="1">
        <v>1</v>
      </c>
      <c r="Q27" s="16">
        <f t="shared" si="4"/>
        <v>151</v>
      </c>
      <c r="R27" s="29">
        <f t="shared" si="1"/>
        <v>11</v>
      </c>
      <c r="S27" s="72">
        <f t="shared" si="2"/>
        <v>6.9291338582677164E-2</v>
      </c>
      <c r="T27" s="62">
        <f t="shared" si="3"/>
        <v>2.5503355704697986E-2</v>
      </c>
    </row>
    <row r="28" spans="1:2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6">
        <f t="shared" si="0"/>
        <v>137</v>
      </c>
      <c r="G28" s="79">
        <v>228</v>
      </c>
      <c r="H28" s="1">
        <v>53</v>
      </c>
      <c r="I28" s="1"/>
      <c r="J28" s="1"/>
      <c r="K28" s="21"/>
      <c r="L28" s="21">
        <v>3580</v>
      </c>
      <c r="M28" s="1">
        <v>3580</v>
      </c>
      <c r="N28" s="1">
        <v>442</v>
      </c>
      <c r="O28" s="1">
        <v>207</v>
      </c>
      <c r="P28" s="1">
        <v>1</v>
      </c>
      <c r="Q28" s="16">
        <f t="shared" si="4"/>
        <v>170</v>
      </c>
      <c r="R28" s="29">
        <f t="shared" si="1"/>
        <v>137</v>
      </c>
      <c r="S28" s="72">
        <f t="shared" si="2"/>
        <v>9.2657342657342656E-2</v>
      </c>
      <c r="T28" s="62">
        <f t="shared" si="3"/>
        <v>2.4390243902439025E-2</v>
      </c>
    </row>
    <row r="29" spans="1:2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6">
        <f t="shared" si="0"/>
        <v>12</v>
      </c>
      <c r="G29" s="79">
        <v>240</v>
      </c>
      <c r="H29" s="1">
        <v>55</v>
      </c>
      <c r="I29" s="1"/>
      <c r="J29" s="1"/>
      <c r="K29" s="21"/>
      <c r="L29" s="21">
        <v>4065</v>
      </c>
      <c r="M29" s="1">
        <v>4065</v>
      </c>
      <c r="N29" s="1">
        <v>489</v>
      </c>
      <c r="O29" s="1">
        <v>207</v>
      </c>
      <c r="P29" s="1">
        <v>1</v>
      </c>
      <c r="Q29" s="16">
        <f t="shared" si="4"/>
        <v>269</v>
      </c>
      <c r="R29" s="29">
        <f t="shared" si="1"/>
        <v>12</v>
      </c>
      <c r="S29" s="72">
        <f t="shared" si="2"/>
        <v>7.8459343794579167E-2</v>
      </c>
      <c r="T29" s="62">
        <f t="shared" si="3"/>
        <v>2.5879917184265012E-2</v>
      </c>
    </row>
    <row r="30" spans="1:2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6">
        <f t="shared" si="0"/>
        <v>8</v>
      </c>
      <c r="G30" s="79">
        <v>248</v>
      </c>
      <c r="H30" s="1">
        <v>55</v>
      </c>
      <c r="I30" s="1"/>
      <c r="J30" s="1"/>
      <c r="K30" s="21"/>
      <c r="L30" s="21">
        <v>4597</v>
      </c>
      <c r="M30" s="1">
        <v>4597</v>
      </c>
      <c r="N30" s="1">
        <v>529</v>
      </c>
      <c r="O30" s="1">
        <v>295</v>
      </c>
      <c r="P30" s="1">
        <v>1</v>
      </c>
      <c r="Q30" s="16">
        <f t="shared" si="4"/>
        <v>229</v>
      </c>
      <c r="R30" s="29">
        <f t="shared" si="1"/>
        <v>8</v>
      </c>
      <c r="S30" s="72">
        <f t="shared" si="2"/>
        <v>7.0694087403598976E-2</v>
      </c>
      <c r="T30" s="62">
        <f t="shared" si="3"/>
        <v>2.6565464895635674E-2</v>
      </c>
    </row>
    <row r="31" spans="1:2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6">
        <f t="shared" si="0"/>
        <v>8</v>
      </c>
      <c r="G31" s="79">
        <v>256</v>
      </c>
      <c r="H31" s="1">
        <v>72</v>
      </c>
      <c r="I31" s="1"/>
      <c r="J31" s="1"/>
      <c r="K31" s="21"/>
      <c r="L31" s="21">
        <v>5144</v>
      </c>
      <c r="M31" s="1">
        <v>5144</v>
      </c>
      <c r="N31" s="1">
        <v>580</v>
      </c>
      <c r="O31" s="1">
        <v>349</v>
      </c>
      <c r="P31" s="1">
        <v>1</v>
      </c>
      <c r="Q31" s="16">
        <f t="shared" si="4"/>
        <v>203</v>
      </c>
      <c r="R31" s="29">
        <f t="shared" si="1"/>
        <v>8</v>
      </c>
      <c r="S31" s="72">
        <f t="shared" si="2"/>
        <v>8.5308056872037921E-2</v>
      </c>
      <c r="T31" s="62">
        <f t="shared" si="3"/>
        <v>2.9126213592233011E-2</v>
      </c>
    </row>
    <row r="32" spans="1:2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6">
        <f t="shared" si="0"/>
        <v>10</v>
      </c>
      <c r="G32" s="79">
        <v>266</v>
      </c>
      <c r="H32" s="1">
        <v>82</v>
      </c>
      <c r="I32" s="1"/>
      <c r="J32" s="1"/>
      <c r="K32" s="21"/>
      <c r="L32" s="21">
        <v>6120</v>
      </c>
      <c r="M32" s="1">
        <v>6120</v>
      </c>
      <c r="N32" s="1">
        <v>622</v>
      </c>
      <c r="O32" s="1">
        <v>397</v>
      </c>
      <c r="P32" s="1">
        <v>103</v>
      </c>
      <c r="Q32" s="16">
        <f t="shared" si="4"/>
        <v>143</v>
      </c>
      <c r="R32" s="29">
        <f t="shared" si="1"/>
        <v>10</v>
      </c>
      <c r="S32" s="72">
        <f t="shared" si="2"/>
        <v>8.5239085239085244E-2</v>
      </c>
      <c r="T32" s="62">
        <f t="shared" si="3"/>
        <v>2.9249011857707511E-2</v>
      </c>
    </row>
    <row r="33" spans="1:2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6">
        <f t="shared" si="0"/>
        <v>13</v>
      </c>
      <c r="G33" s="79">
        <v>279</v>
      </c>
      <c r="H33" s="1">
        <v>86</v>
      </c>
      <c r="I33" s="1"/>
      <c r="J33" s="1"/>
      <c r="K33" s="21"/>
      <c r="L33" s="21">
        <v>7135</v>
      </c>
      <c r="M33" s="1">
        <v>7135</v>
      </c>
      <c r="N33" s="1">
        <v>656</v>
      </c>
      <c r="O33" s="1">
        <v>460</v>
      </c>
      <c r="P33" s="1">
        <v>113</v>
      </c>
      <c r="Q33" s="16">
        <f t="shared" si="4"/>
        <v>124</v>
      </c>
      <c r="R33" s="29">
        <f t="shared" si="1"/>
        <v>13</v>
      </c>
      <c r="S33" s="72">
        <f t="shared" si="2"/>
        <v>8.3333333333333329E-2</v>
      </c>
      <c r="T33" s="62">
        <f t="shared" si="3"/>
        <v>3.1042128603104215E-2</v>
      </c>
    </row>
    <row r="34" spans="1:2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6">
        <f t="shared" si="0"/>
        <v>1</v>
      </c>
      <c r="G34" s="79">
        <v>280</v>
      </c>
      <c r="H34" s="1">
        <v>87</v>
      </c>
      <c r="I34" s="1"/>
      <c r="J34" s="1"/>
      <c r="K34" s="21">
        <v>394</v>
      </c>
      <c r="L34" s="21">
        <v>7494</v>
      </c>
      <c r="M34" s="1">
        <v>7888</v>
      </c>
      <c r="N34" s="1">
        <v>674</v>
      </c>
      <c r="O34" s="1">
        <v>490</v>
      </c>
      <c r="P34" s="1">
        <v>119</v>
      </c>
      <c r="Q34" s="16">
        <f t="shared" si="4"/>
        <v>168</v>
      </c>
      <c r="R34" s="29">
        <f t="shared" si="1"/>
        <v>1</v>
      </c>
      <c r="S34" s="72">
        <f t="shared" si="2"/>
        <v>7.7127659574468085E-2</v>
      </c>
      <c r="T34" s="62">
        <f t="shared" si="3"/>
        <v>2.9634734665747762E-2</v>
      </c>
    </row>
    <row r="35" spans="1:2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6">
        <f t="shared" si="0"/>
        <v>45</v>
      </c>
      <c r="G35" s="79">
        <v>325</v>
      </c>
      <c r="H35" s="1">
        <v>94</v>
      </c>
      <c r="I35" s="1"/>
      <c r="J35" s="1"/>
      <c r="K35" s="21">
        <v>383</v>
      </c>
      <c r="L35" s="21">
        <v>8125</v>
      </c>
      <c r="M35" s="1">
        <v>8508</v>
      </c>
      <c r="N35" s="1">
        <v>695</v>
      </c>
      <c r="O35" s="1">
        <v>536</v>
      </c>
      <c r="P35" s="1">
        <v>148</v>
      </c>
      <c r="Q35" s="16">
        <f t="shared" si="4"/>
        <v>175</v>
      </c>
      <c r="R35" s="29">
        <f t="shared" si="1"/>
        <v>45</v>
      </c>
      <c r="S35" s="72">
        <f t="shared" si="2"/>
        <v>7.945900253592561E-2</v>
      </c>
      <c r="T35" s="62">
        <f t="shared" si="3"/>
        <v>2.9601029601029602E-2</v>
      </c>
    </row>
    <row r="36" spans="1:2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6">
        <f t="shared" si="0"/>
        <v>13</v>
      </c>
      <c r="G36" s="79">
        <v>338</v>
      </c>
      <c r="H36" s="1">
        <v>96</v>
      </c>
      <c r="I36" s="1"/>
      <c r="J36" s="1"/>
      <c r="K36" s="21">
        <v>458</v>
      </c>
      <c r="L36" s="21">
        <v>8707</v>
      </c>
      <c r="M36" s="1">
        <v>9165</v>
      </c>
      <c r="N36" s="1">
        <v>718</v>
      </c>
      <c r="O36" s="1">
        <v>563</v>
      </c>
      <c r="P36" s="1">
        <v>175</v>
      </c>
      <c r="Q36" s="16">
        <f t="shared" si="4"/>
        <v>172</v>
      </c>
      <c r="R36" s="29">
        <f t="shared" si="1"/>
        <v>13</v>
      </c>
      <c r="S36" s="72">
        <f t="shared" si="2"/>
        <v>7.7607113985448672E-2</v>
      </c>
      <c r="T36" s="62">
        <f t="shared" si="3"/>
        <v>3.2555282555282554E-2</v>
      </c>
    </row>
    <row r="37" spans="1:2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6">
        <f t="shared" si="0"/>
        <v>20</v>
      </c>
      <c r="G37" s="79">
        <v>358</v>
      </c>
      <c r="H37" s="1">
        <v>98</v>
      </c>
      <c r="I37" s="1">
        <v>1552</v>
      </c>
      <c r="J37" s="1"/>
      <c r="K37" s="21">
        <v>418</v>
      </c>
      <c r="L37" s="21">
        <v>10020</v>
      </c>
      <c r="M37" s="1">
        <v>10438</v>
      </c>
      <c r="N37" s="1">
        <v>738</v>
      </c>
      <c r="O37" s="1">
        <v>588</v>
      </c>
      <c r="P37" s="1">
        <v>205</v>
      </c>
      <c r="Q37" s="16">
        <f t="shared" si="4"/>
        <v>184</v>
      </c>
      <c r="R37" s="29">
        <f t="shared" si="1"/>
        <v>20</v>
      </c>
      <c r="S37" s="72">
        <f t="shared" si="2"/>
        <v>7.5558982266769464E-2</v>
      </c>
      <c r="T37" s="62">
        <f t="shared" si="3"/>
        <v>3.4985422740524783E-2</v>
      </c>
    </row>
    <row r="38" spans="1:2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6">
        <f t="shared" si="0"/>
        <v>7</v>
      </c>
      <c r="G38" s="79">
        <v>365</v>
      </c>
      <c r="H38" s="1">
        <v>98</v>
      </c>
      <c r="I38" s="1">
        <v>1520</v>
      </c>
      <c r="J38" s="1"/>
      <c r="K38" s="21">
        <v>450</v>
      </c>
      <c r="L38" s="21">
        <v>11385</v>
      </c>
      <c r="M38" s="1">
        <v>11835</v>
      </c>
      <c r="N38" s="1">
        <v>767</v>
      </c>
      <c r="O38" s="1">
        <v>618</v>
      </c>
      <c r="P38" s="1">
        <v>224</v>
      </c>
      <c r="Q38" s="16">
        <f t="shared" si="4"/>
        <v>186</v>
      </c>
      <c r="R38" s="29">
        <f t="shared" si="1"/>
        <v>7</v>
      </c>
      <c r="S38" s="72">
        <f t="shared" si="2"/>
        <v>7.179487179487179E-2</v>
      </c>
      <c r="T38" s="62">
        <f t="shared" si="3"/>
        <v>3.6211699164345405E-2</v>
      </c>
    </row>
    <row r="39" spans="1:2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6">
        <f t="shared" si="0"/>
        <v>10</v>
      </c>
      <c r="G39" s="79">
        <v>375</v>
      </c>
      <c r="H39" s="1">
        <v>98</v>
      </c>
      <c r="I39" s="1">
        <v>1529</v>
      </c>
      <c r="J39" s="1">
        <v>16379</v>
      </c>
      <c r="K39" s="21"/>
      <c r="L39" s="21"/>
      <c r="M39" s="1">
        <v>12983</v>
      </c>
      <c r="N39" s="1">
        <v>785</v>
      </c>
      <c r="O39" s="1">
        <v>641</v>
      </c>
      <c r="P39" s="1">
        <v>261</v>
      </c>
      <c r="Q39" s="16">
        <f t="shared" si="4"/>
        <v>207</v>
      </c>
      <c r="R39" s="29">
        <f t="shared" si="1"/>
        <v>10</v>
      </c>
      <c r="S39" s="72">
        <f t="shared" si="2"/>
        <v>6.805555555555555E-2</v>
      </c>
      <c r="T39" s="62">
        <f t="shared" si="3"/>
        <v>4.171066525871172E-2</v>
      </c>
    </row>
    <row r="40" spans="1:2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6">
        <f t="shared" si="0"/>
        <v>65</v>
      </c>
      <c r="G40" s="79">
        <v>440</v>
      </c>
      <c r="H40" s="1">
        <v>115</v>
      </c>
      <c r="I40" s="1">
        <v>1648</v>
      </c>
      <c r="J40" s="1">
        <v>18027</v>
      </c>
      <c r="K40" s="21">
        <v>566</v>
      </c>
      <c r="L40" s="21">
        <v>13584</v>
      </c>
      <c r="M40" s="1">
        <v>14150</v>
      </c>
      <c r="N40" s="1">
        <v>790</v>
      </c>
      <c r="O40" s="1">
        <v>672</v>
      </c>
      <c r="P40" s="1">
        <v>290</v>
      </c>
      <c r="Q40" s="16">
        <f t="shared" si="4"/>
        <v>223</v>
      </c>
      <c r="R40" s="29">
        <f t="shared" si="1"/>
        <v>65</v>
      </c>
      <c r="S40" s="72">
        <f t="shared" si="2"/>
        <v>7.9146593255333797E-2</v>
      </c>
      <c r="T40" s="62">
        <f t="shared" si="3"/>
        <v>4.1518987341772152E-2</v>
      </c>
    </row>
    <row r="41" spans="1:2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6">
        <f t="shared" si="0"/>
        <v>28</v>
      </c>
      <c r="G41" s="79">
        <v>468</v>
      </c>
      <c r="H41" s="1">
        <v>83</v>
      </c>
      <c r="I41" s="1">
        <v>1731</v>
      </c>
      <c r="J41" s="1">
        <v>19758</v>
      </c>
      <c r="K41" s="21">
        <v>464</v>
      </c>
      <c r="L41" s="21">
        <v>15016</v>
      </c>
      <c r="M41" s="1">
        <v>15480</v>
      </c>
      <c r="N41" s="1">
        <v>816</v>
      </c>
      <c r="O41" s="1">
        <v>712</v>
      </c>
      <c r="P41" s="1">
        <v>304</v>
      </c>
      <c r="Q41" s="16">
        <f t="shared" si="4"/>
        <v>310</v>
      </c>
      <c r="R41" s="29">
        <f t="shared" si="1"/>
        <v>28</v>
      </c>
      <c r="S41" s="72">
        <f t="shared" si="2"/>
        <v>5.2365930599369087E-2</v>
      </c>
      <c r="T41" s="62">
        <f t="shared" si="3"/>
        <v>4.1549953314659195E-2</v>
      </c>
    </row>
    <row r="42" spans="1:2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6">
        <f t="shared" si="0"/>
        <v>47</v>
      </c>
      <c r="G42" s="79">
        <v>515</v>
      </c>
      <c r="H42" s="1">
        <v>113</v>
      </c>
      <c r="I42" s="1">
        <v>1435</v>
      </c>
      <c r="J42" s="1">
        <v>21193</v>
      </c>
      <c r="K42" s="21">
        <v>477</v>
      </c>
      <c r="L42" s="21">
        <v>15939</v>
      </c>
      <c r="M42" s="1">
        <v>16416</v>
      </c>
      <c r="N42" s="1">
        <v>821</v>
      </c>
      <c r="O42" s="1">
        <v>766</v>
      </c>
      <c r="P42" s="1">
        <v>318</v>
      </c>
      <c r="Q42" s="16">
        <f t="shared" si="4"/>
        <v>303</v>
      </c>
      <c r="R42" s="29">
        <f t="shared" si="1"/>
        <v>47</v>
      </c>
      <c r="S42" s="72">
        <f t="shared" si="2"/>
        <v>7.07133917396746E-2</v>
      </c>
      <c r="T42" s="62">
        <f t="shared" si="3"/>
        <v>4.3025362318840576E-2</v>
      </c>
    </row>
    <row r="43" spans="1:2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6">
        <f t="shared" si="0"/>
        <v>44</v>
      </c>
      <c r="G43" s="79">
        <v>559</v>
      </c>
      <c r="H43" s="1">
        <v>116</v>
      </c>
      <c r="I43" s="1">
        <v>1612</v>
      </c>
      <c r="J43" s="1">
        <v>22805</v>
      </c>
      <c r="K43" s="21">
        <v>479</v>
      </c>
      <c r="L43" s="21">
        <v>17245</v>
      </c>
      <c r="M43" s="1">
        <v>17724</v>
      </c>
      <c r="N43" s="1">
        <v>830</v>
      </c>
      <c r="O43" s="1">
        <v>790</v>
      </c>
      <c r="P43" s="1">
        <v>354</v>
      </c>
      <c r="Q43" s="16">
        <f t="shared" si="4"/>
        <v>303</v>
      </c>
      <c r="R43" s="29">
        <f t="shared" si="1"/>
        <v>44</v>
      </c>
      <c r="S43" s="72">
        <f t="shared" si="2"/>
        <v>7.160493827160494E-2</v>
      </c>
      <c r="T43" s="62">
        <f t="shared" si="3"/>
        <v>4.3039086517347384E-2</v>
      </c>
    </row>
    <row r="44" spans="1:2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6">
        <f t="shared" si="0"/>
        <v>37</v>
      </c>
      <c r="G44" s="79">
        <v>596</v>
      </c>
      <c r="H44" s="1">
        <v>117</v>
      </c>
      <c r="I44" s="1">
        <v>1569</v>
      </c>
      <c r="J44" s="1">
        <v>24374</v>
      </c>
      <c r="K44" s="21">
        <v>486</v>
      </c>
      <c r="L44" s="21">
        <v>18415</v>
      </c>
      <c r="M44" s="1">
        <v>18901</v>
      </c>
      <c r="N44" s="1">
        <v>833</v>
      </c>
      <c r="O44" s="1">
        <v>857</v>
      </c>
      <c r="P44" s="1">
        <v>393</v>
      </c>
      <c r="Q44" s="16">
        <f t="shared" si="4"/>
        <v>360</v>
      </c>
      <c r="R44" s="29">
        <f t="shared" si="1"/>
        <v>37</v>
      </c>
      <c r="S44" s="72">
        <f t="shared" si="2"/>
        <v>6.7164179104477612E-2</v>
      </c>
      <c r="T44" s="62">
        <f t="shared" si="3"/>
        <v>4.2979942693409739E-2</v>
      </c>
    </row>
    <row r="45" spans="1:2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6">
        <f t="shared" si="0"/>
        <v>35</v>
      </c>
      <c r="G45" s="79">
        <v>631</v>
      </c>
      <c r="H45" s="1">
        <v>121</v>
      </c>
      <c r="I45" s="1">
        <v>2083</v>
      </c>
      <c r="J45" s="1">
        <v>26457</v>
      </c>
      <c r="K45" s="21">
        <v>497</v>
      </c>
      <c r="L45" s="21">
        <v>20148</v>
      </c>
      <c r="M45" s="1">
        <v>20645</v>
      </c>
      <c r="N45" s="1">
        <v>840</v>
      </c>
      <c r="O45" s="1">
        <v>903</v>
      </c>
      <c r="P45" s="1">
        <v>425</v>
      </c>
      <c r="Q45" s="16">
        <f t="shared" si="4"/>
        <v>403</v>
      </c>
      <c r="R45" s="29">
        <f t="shared" si="1"/>
        <v>35</v>
      </c>
      <c r="S45" s="72">
        <f t="shared" si="2"/>
        <v>6.6192560175054704E-2</v>
      </c>
      <c r="T45" s="62">
        <f t="shared" si="3"/>
        <v>4.3562816024893036E-2</v>
      </c>
    </row>
    <row r="46" spans="1:2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6">
        <f t="shared" si="0"/>
        <v>35</v>
      </c>
      <c r="G46" s="79">
        <v>666</v>
      </c>
      <c r="H46" s="1">
        <v>126</v>
      </c>
      <c r="I46" s="1">
        <v>2193</v>
      </c>
      <c r="J46" s="1">
        <v>28650</v>
      </c>
      <c r="K46" s="21">
        <v>508</v>
      </c>
      <c r="L46" s="21">
        <v>21802</v>
      </c>
      <c r="M46" s="1">
        <v>22310</v>
      </c>
      <c r="N46" s="1">
        <v>845</v>
      </c>
      <c r="O46" s="1">
        <v>951</v>
      </c>
      <c r="P46" s="1">
        <v>448</v>
      </c>
      <c r="Q46" s="16">
        <f t="shared" si="4"/>
        <v>425</v>
      </c>
      <c r="R46" s="29">
        <f t="shared" si="1"/>
        <v>35</v>
      </c>
      <c r="S46" s="72">
        <f t="shared" si="2"/>
        <v>6.6985645933014357E-2</v>
      </c>
      <c r="T46" s="62">
        <f t="shared" si="3"/>
        <v>4.5710003746721621E-2</v>
      </c>
    </row>
    <row r="47" spans="1:2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6">
        <f t="shared" si="0"/>
        <v>19</v>
      </c>
      <c r="G47" s="79">
        <v>685</v>
      </c>
      <c r="H47" s="1">
        <v>127</v>
      </c>
      <c r="I47" s="1">
        <v>2292</v>
      </c>
      <c r="J47" s="1">
        <v>30942</v>
      </c>
      <c r="K47" s="21">
        <v>505</v>
      </c>
      <c r="L47" s="21">
        <v>23291</v>
      </c>
      <c r="M47" s="1">
        <v>23796</v>
      </c>
      <c r="N47" s="1">
        <v>851</v>
      </c>
      <c r="O47" s="1">
        <v>997</v>
      </c>
      <c r="P47" s="1">
        <v>474</v>
      </c>
      <c r="Q47" s="16">
        <f t="shared" si="4"/>
        <v>436</v>
      </c>
      <c r="R47" s="29">
        <f t="shared" si="1"/>
        <v>19</v>
      </c>
      <c r="S47" s="72">
        <f t="shared" si="2"/>
        <v>6.5329218106995879E-2</v>
      </c>
      <c r="T47" s="62">
        <f t="shared" si="3"/>
        <v>4.6773023930384336E-2</v>
      </c>
    </row>
    <row r="48" spans="1:2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6">
        <f t="shared" si="0"/>
        <v>24</v>
      </c>
      <c r="G48" s="79">
        <v>709</v>
      </c>
      <c r="H48" s="1">
        <v>123</v>
      </c>
      <c r="I48" s="1">
        <v>1770</v>
      </c>
      <c r="J48" s="1">
        <v>32712</v>
      </c>
      <c r="K48" s="21">
        <v>503</v>
      </c>
      <c r="L48" s="21">
        <v>24756</v>
      </c>
      <c r="M48" s="1">
        <v>25259</v>
      </c>
      <c r="N48" s="1">
        <v>856</v>
      </c>
      <c r="O48" s="1">
        <v>1184</v>
      </c>
      <c r="P48" s="1">
        <v>496</v>
      </c>
      <c r="Q48" s="16">
        <f t="shared" si="4"/>
        <v>303</v>
      </c>
      <c r="R48" s="29">
        <f t="shared" si="1"/>
        <v>24</v>
      </c>
      <c r="S48" s="72">
        <f t="shared" si="2"/>
        <v>6.1561561561561562E-2</v>
      </c>
      <c r="T48" s="62">
        <f t="shared" si="3"/>
        <v>4.6495244804508631E-2</v>
      </c>
    </row>
    <row r="49" spans="1:2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6">
        <f t="shared" si="0"/>
        <v>28</v>
      </c>
      <c r="G49" s="79">
        <v>737</v>
      </c>
      <c r="H49" s="1">
        <v>126</v>
      </c>
      <c r="I49" s="1">
        <v>1856</v>
      </c>
      <c r="J49" s="1">
        <v>34568</v>
      </c>
      <c r="K49" s="21">
        <v>536</v>
      </c>
      <c r="L49" s="21">
        <v>26122</v>
      </c>
      <c r="M49" s="1">
        <v>26658</v>
      </c>
      <c r="N49" s="1">
        <v>858</v>
      </c>
      <c r="O49" s="1">
        <v>1235</v>
      </c>
      <c r="P49" s="1">
        <v>538</v>
      </c>
      <c r="Q49" s="16">
        <f t="shared" si="4"/>
        <v>310</v>
      </c>
      <c r="R49" s="29">
        <f t="shared" si="1"/>
        <v>28</v>
      </c>
      <c r="S49" s="72">
        <f t="shared" si="2"/>
        <v>6.0869565217391307E-2</v>
      </c>
      <c r="T49" s="62">
        <f t="shared" si="3"/>
        <v>4.5562733764025844E-2</v>
      </c>
    </row>
    <row r="50" spans="1:2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6">
        <f t="shared" si="0"/>
        <v>103</v>
      </c>
      <c r="G50" s="79">
        <v>840</v>
      </c>
      <c r="H50" s="1">
        <v>129</v>
      </c>
      <c r="I50" s="1">
        <v>2043</v>
      </c>
      <c r="J50" s="1">
        <v>36611</v>
      </c>
      <c r="K50" s="21">
        <v>566</v>
      </c>
      <c r="L50" s="21">
        <v>27732</v>
      </c>
      <c r="M50" s="1">
        <v>28298</v>
      </c>
      <c r="N50" s="1">
        <v>863</v>
      </c>
      <c r="O50" s="1">
        <v>1293</v>
      </c>
      <c r="P50" s="1">
        <v>576</v>
      </c>
      <c r="Q50" s="16">
        <f t="shared" si="4"/>
        <v>299</v>
      </c>
      <c r="R50" s="29">
        <f t="shared" si="1"/>
        <v>103</v>
      </c>
      <c r="S50" s="72">
        <f t="shared" si="2"/>
        <v>6.2957540263543194E-2</v>
      </c>
      <c r="T50" s="62">
        <f t="shared" si="3"/>
        <v>4.6849224678323982E-2</v>
      </c>
    </row>
    <row r="51" spans="1:2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6">
        <f t="shared" si="0"/>
        <v>32</v>
      </c>
      <c r="G51" s="79">
        <v>872</v>
      </c>
      <c r="H51" s="1">
        <v>131</v>
      </c>
      <c r="I51" s="1">
        <v>2617</v>
      </c>
      <c r="J51" s="1">
        <v>39228</v>
      </c>
      <c r="K51" s="21">
        <v>533</v>
      </c>
      <c r="L51" s="21">
        <v>29829</v>
      </c>
      <c r="M51" s="1">
        <v>30362</v>
      </c>
      <c r="N51" s="1">
        <v>866</v>
      </c>
      <c r="O51" s="1">
        <v>1346</v>
      </c>
      <c r="P51" s="1">
        <v>618</v>
      </c>
      <c r="Q51" s="16">
        <f t="shared" si="4"/>
        <v>314</v>
      </c>
      <c r="R51" s="29">
        <f t="shared" si="1"/>
        <v>32</v>
      </c>
      <c r="S51" s="72">
        <f t="shared" si="2"/>
        <v>6.1763319189061763E-2</v>
      </c>
      <c r="T51" s="62">
        <f t="shared" si="3"/>
        <v>4.8027989821882951E-2</v>
      </c>
    </row>
    <row r="52" spans="1:2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6">
        <f t="shared" si="0"/>
        <v>47</v>
      </c>
      <c r="G52" s="79">
        <v>919</v>
      </c>
      <c r="H52" s="1">
        <v>136</v>
      </c>
      <c r="I52" s="1">
        <v>2558</v>
      </c>
      <c r="J52" s="1">
        <v>41786</v>
      </c>
      <c r="K52" s="21">
        <v>569</v>
      </c>
      <c r="L52" s="21">
        <v>31845</v>
      </c>
      <c r="M52" s="1">
        <v>32414</v>
      </c>
      <c r="N52" s="1">
        <v>870</v>
      </c>
      <c r="O52" s="1">
        <v>1408</v>
      </c>
      <c r="P52" s="1">
        <v>669</v>
      </c>
      <c r="Q52" s="16">
        <f t="shared" si="4"/>
        <v>341</v>
      </c>
      <c r="R52" s="29">
        <f t="shared" si="1"/>
        <v>47</v>
      </c>
      <c r="S52" s="72">
        <f t="shared" si="2"/>
        <v>6.1538461538461542E-2</v>
      </c>
      <c r="T52" s="62">
        <f t="shared" si="3"/>
        <v>4.8357664233576646E-2</v>
      </c>
    </row>
    <row r="53" spans="1:2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6">
        <f t="shared" si="0"/>
        <v>57</v>
      </c>
      <c r="G53" s="79">
        <v>976</v>
      </c>
      <c r="H53" s="1">
        <v>141</v>
      </c>
      <c r="I53" s="1">
        <v>2868</v>
      </c>
      <c r="J53" s="1">
        <v>44654</v>
      </c>
      <c r="K53" s="21">
        <v>557</v>
      </c>
      <c r="L53" s="21">
        <v>33874</v>
      </c>
      <c r="M53" s="1">
        <v>34431</v>
      </c>
      <c r="N53" s="1">
        <v>875</v>
      </c>
      <c r="O53" s="1">
        <v>1490</v>
      </c>
      <c r="P53" s="1">
        <v>722</v>
      </c>
      <c r="Q53" s="16">
        <f t="shared" si="4"/>
        <v>348</v>
      </c>
      <c r="R53" s="29">
        <f t="shared" si="1"/>
        <v>57</v>
      </c>
      <c r="S53" s="72">
        <f t="shared" si="2"/>
        <v>6.1464690496948561E-2</v>
      </c>
      <c r="T53" s="62">
        <f t="shared" si="3"/>
        <v>4.8034934497816595E-2</v>
      </c>
    </row>
    <row r="54" spans="1:2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6">
        <f t="shared" si="0"/>
        <v>54</v>
      </c>
      <c r="G54" s="79">
        <v>1030</v>
      </c>
      <c r="H54" s="1">
        <v>144</v>
      </c>
      <c r="I54" s="1">
        <v>2752</v>
      </c>
      <c r="J54" s="1">
        <v>47406</v>
      </c>
      <c r="K54" s="21">
        <v>543</v>
      </c>
      <c r="L54" s="21">
        <v>36067</v>
      </c>
      <c r="M54" s="1">
        <v>36610</v>
      </c>
      <c r="N54" s="1">
        <v>887</v>
      </c>
      <c r="O54" s="1">
        <v>1562</v>
      </c>
      <c r="P54" s="1">
        <v>755</v>
      </c>
      <c r="Q54" s="16">
        <f t="shared" si="4"/>
        <v>403</v>
      </c>
      <c r="R54" s="29">
        <f t="shared" si="1"/>
        <v>54</v>
      </c>
      <c r="S54" s="72">
        <f t="shared" si="2"/>
        <v>5.9975010412328195E-2</v>
      </c>
      <c r="T54" s="62">
        <f t="shared" si="3"/>
        <v>4.8794011644025505E-2</v>
      </c>
    </row>
    <row r="55" spans="1:2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6">
        <f t="shared" si="0"/>
        <v>77</v>
      </c>
      <c r="G55" s="79">
        <v>1107</v>
      </c>
      <c r="H55" s="1">
        <v>139</v>
      </c>
      <c r="I55" s="1">
        <v>2499</v>
      </c>
      <c r="J55" s="1">
        <v>49905</v>
      </c>
      <c r="K55" s="21">
        <v>561</v>
      </c>
      <c r="L55" s="21">
        <v>37654</v>
      </c>
      <c r="M55" s="1">
        <v>38215</v>
      </c>
      <c r="N55" s="1">
        <v>888</v>
      </c>
      <c r="O55" s="1">
        <v>1641</v>
      </c>
      <c r="P55" s="1">
        <v>797</v>
      </c>
      <c r="Q55" s="16">
        <f t="shared" si="4"/>
        <v>454</v>
      </c>
      <c r="R55" s="29">
        <f t="shared" si="1"/>
        <v>77</v>
      </c>
      <c r="S55" s="72">
        <f t="shared" si="2"/>
        <v>5.5868167202572344E-2</v>
      </c>
      <c r="T55" s="62">
        <f t="shared" si="3"/>
        <v>4.8941798941798939E-2</v>
      </c>
    </row>
    <row r="56" spans="1:2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6">
        <f t="shared" si="0"/>
        <v>33</v>
      </c>
      <c r="G56" s="79">
        <v>1140</v>
      </c>
      <c r="H56" s="1">
        <v>151</v>
      </c>
      <c r="I56" s="1">
        <v>1995</v>
      </c>
      <c r="J56" s="1">
        <v>51900</v>
      </c>
      <c r="K56" s="21">
        <v>570</v>
      </c>
      <c r="L56" s="21">
        <v>39420</v>
      </c>
      <c r="M56" s="1">
        <v>39990</v>
      </c>
      <c r="N56" s="1">
        <v>900</v>
      </c>
      <c r="O56" s="1">
        <v>1684</v>
      </c>
      <c r="P56" s="1">
        <v>829</v>
      </c>
      <c r="Q56" s="16">
        <f t="shared" si="4"/>
        <v>479</v>
      </c>
      <c r="R56" s="29">
        <f t="shared" si="1"/>
        <v>33</v>
      </c>
      <c r="S56" s="72">
        <f t="shared" si="2"/>
        <v>5.8984374999999999E-2</v>
      </c>
      <c r="T56" s="62">
        <f t="shared" si="3"/>
        <v>4.9331963001027747E-2</v>
      </c>
    </row>
    <row r="57" spans="1:2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6">
        <f t="shared" si="0"/>
        <v>22</v>
      </c>
      <c r="G57" s="79">
        <v>1162</v>
      </c>
      <c r="H57" s="1">
        <v>155</v>
      </c>
      <c r="I57" s="1">
        <v>1700</v>
      </c>
      <c r="J57" s="1">
        <v>53600</v>
      </c>
      <c r="K57" s="21">
        <v>600</v>
      </c>
      <c r="L57" s="21">
        <v>40959</v>
      </c>
      <c r="M57" s="1">
        <v>41559</v>
      </c>
      <c r="N57" s="1">
        <v>905</v>
      </c>
      <c r="O57" s="1">
        <v>1725</v>
      </c>
      <c r="P57" s="1">
        <v>897</v>
      </c>
      <c r="Q57" s="16">
        <f t="shared" si="4"/>
        <v>476</v>
      </c>
      <c r="R57" s="29">
        <f t="shared" si="1"/>
        <v>22</v>
      </c>
      <c r="S57" s="72">
        <f t="shared" si="2"/>
        <v>5.8623298033282902E-2</v>
      </c>
      <c r="T57" s="62">
        <f t="shared" si="3"/>
        <v>4.921309018236323E-2</v>
      </c>
    </row>
    <row r="58" spans="1:2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6">
        <f t="shared" si="0"/>
        <v>30</v>
      </c>
      <c r="G58" s="79">
        <v>1192</v>
      </c>
      <c r="H58" s="1">
        <v>154</v>
      </c>
      <c r="I58" s="1">
        <v>2458</v>
      </c>
      <c r="J58" s="1">
        <v>56058</v>
      </c>
      <c r="K58" s="21">
        <v>612</v>
      </c>
      <c r="L58" s="21">
        <v>42710</v>
      </c>
      <c r="M58" s="1">
        <v>43322</v>
      </c>
      <c r="N58" s="1">
        <v>909</v>
      </c>
      <c r="O58" s="1">
        <v>1766</v>
      </c>
      <c r="P58" s="1">
        <v>984</v>
      </c>
      <c r="Q58" s="16">
        <f t="shared" si="4"/>
        <v>468</v>
      </c>
      <c r="R58" s="29">
        <f t="shared" si="1"/>
        <v>30</v>
      </c>
      <c r="S58" s="72">
        <f t="shared" si="2"/>
        <v>5.6451612903225805E-2</v>
      </c>
      <c r="T58" s="62">
        <f t="shared" si="3"/>
        <v>5.0157499394233099E-2</v>
      </c>
    </row>
    <row r="59" spans="1:2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6">
        <f t="shared" si="0"/>
        <v>64</v>
      </c>
      <c r="G59" s="79">
        <v>1256</v>
      </c>
      <c r="H59" s="1">
        <v>157</v>
      </c>
      <c r="I59" s="1">
        <v>2627</v>
      </c>
      <c r="J59" s="1">
        <v>58685</v>
      </c>
      <c r="K59" s="21">
        <v>618</v>
      </c>
      <c r="L59" s="21">
        <v>44828</v>
      </c>
      <c r="M59" s="1">
        <v>45446</v>
      </c>
      <c r="N59" s="1">
        <v>912</v>
      </c>
      <c r="O59" s="1">
        <v>1835</v>
      </c>
      <c r="P59" s="1">
        <v>1041</v>
      </c>
      <c r="Q59" s="16">
        <f t="shared" si="4"/>
        <v>497</v>
      </c>
      <c r="R59" s="29">
        <f t="shared" si="1"/>
        <v>64</v>
      </c>
      <c r="S59" s="72">
        <f t="shared" si="2"/>
        <v>5.5772646536412077E-2</v>
      </c>
      <c r="T59" s="62">
        <f t="shared" si="3"/>
        <v>4.9941656942823806E-2</v>
      </c>
    </row>
    <row r="60" spans="1:2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6">
        <f t="shared" si="0"/>
        <v>36</v>
      </c>
      <c r="G60" s="79">
        <v>1292</v>
      </c>
      <c r="H60" s="1">
        <v>157</v>
      </c>
      <c r="I60" s="1">
        <v>2845</v>
      </c>
      <c r="J60" s="1">
        <v>61530</v>
      </c>
      <c r="K60" s="21">
        <v>638</v>
      </c>
      <c r="L60" s="21">
        <v>46829</v>
      </c>
      <c r="M60" s="1">
        <v>47467</v>
      </c>
      <c r="N60" s="1">
        <v>915</v>
      </c>
      <c r="O60" s="1">
        <v>1904</v>
      </c>
      <c r="P60" s="1">
        <v>1149</v>
      </c>
      <c r="Q60" s="16">
        <f t="shared" si="4"/>
        <v>460</v>
      </c>
      <c r="R60" s="29">
        <f t="shared" si="1"/>
        <v>36</v>
      </c>
      <c r="S60" s="72">
        <f t="shared" si="2"/>
        <v>5.3803975325565453E-2</v>
      </c>
      <c r="T60" s="62">
        <f t="shared" si="3"/>
        <v>4.9232158988256551E-2</v>
      </c>
    </row>
    <row r="61" spans="1:2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6">
        <f t="shared" si="0"/>
        <v>28</v>
      </c>
      <c r="G61" s="79">
        <v>1320</v>
      </c>
      <c r="H61" s="1">
        <v>164</v>
      </c>
      <c r="I61" s="1">
        <v>2336</v>
      </c>
      <c r="J61" s="1">
        <v>63866</v>
      </c>
      <c r="K61" s="21">
        <v>656</v>
      </c>
      <c r="L61" s="21">
        <v>48591</v>
      </c>
      <c r="M61" s="1">
        <v>49247</v>
      </c>
      <c r="N61" s="1">
        <v>916</v>
      </c>
      <c r="O61" s="1">
        <v>1949</v>
      </c>
      <c r="P61" s="1">
        <v>1224</v>
      </c>
      <c r="Q61" s="16">
        <f t="shared" si="4"/>
        <v>443</v>
      </c>
      <c r="R61" s="29">
        <f t="shared" si="1"/>
        <v>28</v>
      </c>
      <c r="S61" s="72">
        <f t="shared" si="2"/>
        <v>5.4904586541680615E-2</v>
      </c>
      <c r="T61" s="62">
        <f t="shared" si="3"/>
        <v>4.9646954986760812E-2</v>
      </c>
    </row>
    <row r="62" spans="1:2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6">
        <f t="shared" si="0"/>
        <v>34</v>
      </c>
      <c r="G62" s="79">
        <v>1354</v>
      </c>
      <c r="H62" s="1">
        <v>164</v>
      </c>
      <c r="I62" s="1">
        <v>1947</v>
      </c>
      <c r="J62" s="1">
        <v>65813</v>
      </c>
      <c r="K62" s="21">
        <v>681</v>
      </c>
      <c r="L62" s="21">
        <v>50098</v>
      </c>
      <c r="M62" s="1">
        <v>50779</v>
      </c>
      <c r="N62" s="1">
        <v>917</v>
      </c>
      <c r="O62" s="1">
        <v>2012</v>
      </c>
      <c r="P62" s="1">
        <v>1267</v>
      </c>
      <c r="Q62" s="16">
        <f t="shared" si="4"/>
        <v>485</v>
      </c>
      <c r="R62" s="29">
        <f t="shared" si="1"/>
        <v>34</v>
      </c>
      <c r="S62" s="72">
        <f t="shared" si="2"/>
        <v>5.307443365695793E-2</v>
      </c>
      <c r="T62" s="62">
        <f t="shared" si="3"/>
        <v>5.0630207220679339E-2</v>
      </c>
    </row>
    <row r="63" spans="1:2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6">
        <f t="shared" si="0"/>
        <v>88</v>
      </c>
      <c r="G63" s="79">
        <v>1442</v>
      </c>
      <c r="H63" s="1">
        <v>146</v>
      </c>
      <c r="I63" s="1">
        <v>1497</v>
      </c>
      <c r="J63" s="1">
        <v>67920</v>
      </c>
      <c r="K63" s="21">
        <v>674</v>
      </c>
      <c r="L63" s="21">
        <v>51590</v>
      </c>
      <c r="M63" s="1">
        <v>52264</v>
      </c>
      <c r="N63" s="1">
        <v>920</v>
      </c>
      <c r="O63" s="1">
        <v>2076</v>
      </c>
      <c r="P63" s="1">
        <v>1314</v>
      </c>
      <c r="Q63" s="16">
        <f t="shared" si="4"/>
        <v>474</v>
      </c>
      <c r="R63" s="29">
        <f t="shared" si="1"/>
        <v>88</v>
      </c>
      <c r="S63" s="72">
        <f t="shared" si="2"/>
        <v>4.7157622739018086E-2</v>
      </c>
      <c r="T63" s="62">
        <f t="shared" si="3"/>
        <v>5.1421404682274248E-2</v>
      </c>
    </row>
    <row r="64" spans="1:2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6">
        <f t="shared" si="0"/>
        <v>30</v>
      </c>
      <c r="G64" s="79">
        <v>1472</v>
      </c>
      <c r="H64" s="1">
        <v>148</v>
      </c>
      <c r="I64" s="1">
        <v>1798</v>
      </c>
      <c r="J64" s="1">
        <v>69718</v>
      </c>
      <c r="K64" s="21">
        <v>692</v>
      </c>
      <c r="L64" s="21">
        <v>53203</v>
      </c>
      <c r="M64" s="1">
        <v>53895</v>
      </c>
      <c r="N64" s="1">
        <v>924</v>
      </c>
      <c r="O64" s="1">
        <v>2136</v>
      </c>
      <c r="P64" s="1">
        <v>1378</v>
      </c>
      <c r="Q64" s="16">
        <f t="shared" si="4"/>
        <v>449</v>
      </c>
      <c r="R64" s="29">
        <f t="shared" si="1"/>
        <v>30</v>
      </c>
      <c r="S64" s="72">
        <f t="shared" si="2"/>
        <v>4.6909667194928686E-2</v>
      </c>
      <c r="T64" s="62">
        <f t="shared" si="3"/>
        <v>5.3202373644362595E-2</v>
      </c>
    </row>
    <row r="65" spans="1:2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6">
        <f t="shared" si="0"/>
        <v>52</v>
      </c>
      <c r="G65" s="79">
        <v>1524</v>
      </c>
      <c r="H65" s="1">
        <v>143</v>
      </c>
      <c r="I65" s="1">
        <v>2597</v>
      </c>
      <c r="J65" s="1">
        <v>72315</v>
      </c>
      <c r="K65" s="21">
        <v>666</v>
      </c>
      <c r="L65" s="21">
        <v>55227</v>
      </c>
      <c r="M65" s="1">
        <v>55893</v>
      </c>
      <c r="N65" s="1">
        <v>929</v>
      </c>
      <c r="O65" s="1">
        <v>2204</v>
      </c>
      <c r="P65" s="1">
        <v>1446</v>
      </c>
      <c r="Q65" s="16">
        <f t="shared" si="4"/>
        <v>441</v>
      </c>
      <c r="R65" s="29">
        <f t="shared" si="1"/>
        <v>52</v>
      </c>
      <c r="S65" s="72">
        <f t="shared" si="2"/>
        <v>4.4245049504950493E-2</v>
      </c>
      <c r="T65" s="62">
        <f t="shared" si="3"/>
        <v>5.2589641434262951E-2</v>
      </c>
    </row>
    <row r="66" spans="1:2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6">
        <f t="shared" si="0"/>
        <v>77</v>
      </c>
      <c r="G66" s="79">
        <v>1601</v>
      </c>
      <c r="H66" s="1">
        <v>151</v>
      </c>
      <c r="I66" s="1">
        <v>2883</v>
      </c>
      <c r="J66" s="1">
        <v>75198</v>
      </c>
      <c r="K66" s="21">
        <v>652</v>
      </c>
      <c r="L66" s="21">
        <v>57176</v>
      </c>
      <c r="M66" s="1">
        <v>57828</v>
      </c>
      <c r="N66" s="1">
        <v>927</v>
      </c>
      <c r="O66" s="1">
        <v>2292</v>
      </c>
      <c r="P66" s="1">
        <v>1510</v>
      </c>
      <c r="Q66" s="16">
        <f t="shared" si="4"/>
        <v>479</v>
      </c>
      <c r="R66" s="29">
        <f t="shared" si="1"/>
        <v>77</v>
      </c>
      <c r="S66" s="72">
        <f t="shared" si="2"/>
        <v>4.5290941811637675E-2</v>
      </c>
      <c r="T66" s="62">
        <f t="shared" si="3"/>
        <v>5.2419354838709679E-2</v>
      </c>
    </row>
    <row r="67" spans="1:2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6">
        <f t="shared" ref="F67:F130" si="5">G67-G66</f>
        <v>0</v>
      </c>
      <c r="G67" s="79">
        <v>1601</v>
      </c>
      <c r="H67" s="1">
        <v>151</v>
      </c>
      <c r="I67" s="1">
        <v>2703</v>
      </c>
      <c r="J67" s="1">
        <v>77901</v>
      </c>
      <c r="K67" s="21">
        <v>688</v>
      </c>
      <c r="L67" s="21">
        <v>59080</v>
      </c>
      <c r="M67" s="1">
        <v>59768</v>
      </c>
      <c r="N67" s="1">
        <v>929</v>
      </c>
      <c r="O67" s="1">
        <v>2374</v>
      </c>
      <c r="P67" s="1">
        <v>1595</v>
      </c>
      <c r="Q67" s="16">
        <f t="shared" si="4"/>
        <v>473</v>
      </c>
      <c r="R67" s="29">
        <f t="shared" si="1"/>
        <v>0</v>
      </c>
      <c r="S67" s="72">
        <f t="shared" si="2"/>
        <v>4.3291284403669722E-2</v>
      </c>
      <c r="T67" s="62">
        <f t="shared" si="3"/>
        <v>5.2504189164029047E-2</v>
      </c>
    </row>
    <row r="68" spans="1:2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6">
        <f t="shared" si="5"/>
        <v>127</v>
      </c>
      <c r="G68" s="79">
        <v>1728</v>
      </c>
      <c r="H68" s="1">
        <v>157</v>
      </c>
      <c r="I68" s="1">
        <v>2828</v>
      </c>
      <c r="J68" s="1">
        <v>80729</v>
      </c>
      <c r="K68" s="21">
        <v>678</v>
      </c>
      <c r="L68" s="21">
        <v>61025</v>
      </c>
      <c r="M68" s="1">
        <v>61703</v>
      </c>
      <c r="N68" s="1">
        <v>931</v>
      </c>
      <c r="O68" s="1">
        <v>2469</v>
      </c>
      <c r="P68" s="1">
        <v>1644</v>
      </c>
      <c r="Q68" s="16">
        <f t="shared" si="4"/>
        <v>567</v>
      </c>
      <c r="R68" s="29">
        <f t="shared" si="1"/>
        <v>127</v>
      </c>
      <c r="S68" s="72">
        <f t="shared" si="2"/>
        <v>4.3732590529247911E-2</v>
      </c>
      <c r="T68" s="62">
        <f t="shared" si="3"/>
        <v>5.2218855818927108E-2</v>
      </c>
    </row>
    <row r="69" spans="1:2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6">
        <f t="shared" si="5"/>
        <v>29</v>
      </c>
      <c r="G69" s="79">
        <v>1757</v>
      </c>
      <c r="H69" s="1">
        <v>160</v>
      </c>
      <c r="I69" s="1">
        <v>2289</v>
      </c>
      <c r="J69" s="1">
        <v>83018</v>
      </c>
      <c r="K69" s="21">
        <v>698</v>
      </c>
      <c r="L69" s="21">
        <v>62760</v>
      </c>
      <c r="M69" s="1">
        <v>63458</v>
      </c>
      <c r="N69" s="1">
        <v>930</v>
      </c>
      <c r="O69" s="1">
        <v>2530</v>
      </c>
      <c r="P69" s="1">
        <v>1703</v>
      </c>
      <c r="Q69" s="16">
        <f t="shared" si="4"/>
        <v>613</v>
      </c>
      <c r="R69" s="29">
        <f t="shared" si="1"/>
        <v>29</v>
      </c>
      <c r="S69" s="72">
        <f t="shared" si="2"/>
        <v>4.3022317827372952E-2</v>
      </c>
      <c r="T69" s="62">
        <f t="shared" si="3"/>
        <v>5.1939058171745149E-2</v>
      </c>
    </row>
    <row r="70" spans="1:2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6">
        <f t="shared" si="5"/>
        <v>80</v>
      </c>
      <c r="G70" s="79">
        <v>1837</v>
      </c>
      <c r="H70" s="1">
        <v>164</v>
      </c>
      <c r="I70" s="1">
        <v>2140</v>
      </c>
      <c r="J70" s="1">
        <v>85158</v>
      </c>
      <c r="K70" s="21">
        <v>713</v>
      </c>
      <c r="L70" s="21">
        <v>64104</v>
      </c>
      <c r="M70" s="1">
        <v>64817</v>
      </c>
      <c r="N70" s="1">
        <v>929</v>
      </c>
      <c r="O70" s="1">
        <v>2667</v>
      </c>
      <c r="P70" s="1">
        <v>1768</v>
      </c>
      <c r="Q70" s="16">
        <f t="shared" si="4"/>
        <v>670</v>
      </c>
      <c r="R70" s="29">
        <f t="shared" ref="R70:R133" si="6">G70-G69</f>
        <v>80</v>
      </c>
      <c r="S70" s="72">
        <f t="shared" si="2"/>
        <v>4.2137718396711203E-2</v>
      </c>
      <c r="T70" s="62">
        <f t="shared" si="3"/>
        <v>5.0546900894928734E-2</v>
      </c>
    </row>
    <row r="71" spans="1:2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6">
        <f t="shared" si="5"/>
        <v>25</v>
      </c>
      <c r="G71" s="79">
        <v>1862</v>
      </c>
      <c r="H71" s="1">
        <v>170</v>
      </c>
      <c r="I71" s="1">
        <v>2389</v>
      </c>
      <c r="J71" s="1">
        <v>87547</v>
      </c>
      <c r="K71" s="21">
        <v>733</v>
      </c>
      <c r="L71" s="21">
        <v>65976</v>
      </c>
      <c r="M71" s="1">
        <v>66709</v>
      </c>
      <c r="N71" s="1">
        <v>929</v>
      </c>
      <c r="O71" s="1">
        <v>2800</v>
      </c>
      <c r="P71" s="1">
        <v>1833</v>
      </c>
      <c r="Q71" s="16">
        <f t="shared" si="4"/>
        <v>716</v>
      </c>
      <c r="R71" s="29">
        <f t="shared" si="6"/>
        <v>25</v>
      </c>
      <c r="S71" s="72">
        <f t="shared" si="2"/>
        <v>4.1443198439785472E-2</v>
      </c>
      <c r="T71" s="62">
        <f t="shared" si="3"/>
        <v>5.0015928639694167E-2</v>
      </c>
    </row>
    <row r="72" spans="1:2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6">
        <f t="shared" si="5"/>
        <v>404</v>
      </c>
      <c r="G72" s="79">
        <v>2266</v>
      </c>
      <c r="H72" s="1">
        <v>147</v>
      </c>
      <c r="I72" s="1">
        <v>2927</v>
      </c>
      <c r="J72" s="1">
        <v>90474</v>
      </c>
      <c r="K72" s="21">
        <v>689</v>
      </c>
      <c r="L72" s="21">
        <v>68237</v>
      </c>
      <c r="M72" s="1">
        <v>68926</v>
      </c>
      <c r="N72" s="1">
        <v>932</v>
      </c>
      <c r="O72" s="1">
        <v>2973</v>
      </c>
      <c r="P72" s="1">
        <v>1923</v>
      </c>
      <c r="Q72" s="16">
        <f t="shared" si="4"/>
        <v>735</v>
      </c>
      <c r="R72" s="29">
        <f t="shared" si="6"/>
        <v>404</v>
      </c>
      <c r="S72" s="72">
        <f t="shared" si="2"/>
        <v>3.6953242835595777E-2</v>
      </c>
      <c r="T72" s="62">
        <f t="shared" si="3"/>
        <v>4.8605820508913607E-2</v>
      </c>
    </row>
    <row r="73" spans="1:2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6">
        <f t="shared" si="5"/>
        <v>119</v>
      </c>
      <c r="G73" s="79">
        <v>2385</v>
      </c>
      <c r="H73" s="1">
        <v>147</v>
      </c>
      <c r="I73" s="1">
        <v>3199</v>
      </c>
      <c r="J73" s="1">
        <v>93673</v>
      </c>
      <c r="K73" s="21">
        <v>712</v>
      </c>
      <c r="L73" s="21">
        <v>70497</v>
      </c>
      <c r="M73" s="1">
        <v>71209</v>
      </c>
      <c r="N73" s="1">
        <v>936</v>
      </c>
      <c r="O73" s="1">
        <v>3109</v>
      </c>
      <c r="P73" s="1">
        <v>2036</v>
      </c>
      <c r="Q73" s="16">
        <f t="shared" si="4"/>
        <v>798</v>
      </c>
      <c r="R73" s="29">
        <f t="shared" si="6"/>
        <v>119</v>
      </c>
      <c r="S73" s="72">
        <f t="shared" si="2"/>
        <v>3.5294117647058823E-2</v>
      </c>
      <c r="T73" s="62">
        <f t="shared" si="3"/>
        <v>4.7826718999854627E-2</v>
      </c>
    </row>
    <row r="74" spans="1:2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6">
        <f t="shared" si="5"/>
        <v>112</v>
      </c>
      <c r="G74" s="79">
        <v>2497</v>
      </c>
      <c r="H74" s="1">
        <v>149</v>
      </c>
      <c r="I74" s="1">
        <v>3220</v>
      </c>
      <c r="J74" s="1">
        <v>96893</v>
      </c>
      <c r="K74" s="21">
        <v>737</v>
      </c>
      <c r="L74" s="21">
        <v>72972</v>
      </c>
      <c r="M74" s="1">
        <v>73709</v>
      </c>
      <c r="N74" s="1">
        <v>935</v>
      </c>
      <c r="O74" s="1">
        <v>3225</v>
      </c>
      <c r="P74" s="1">
        <v>2169</v>
      </c>
      <c r="Q74" s="16">
        <f t="shared" si="4"/>
        <v>805</v>
      </c>
      <c r="R74" s="29">
        <f t="shared" si="6"/>
        <v>112</v>
      </c>
      <c r="S74" s="72">
        <f t="shared" si="2"/>
        <v>3.4780578898225958E-2</v>
      </c>
      <c r="T74" s="62">
        <f t="shared" si="3"/>
        <v>4.9481356882534341E-2</v>
      </c>
    </row>
    <row r="75" spans="1:2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6">
        <f t="shared" si="5"/>
        <v>37</v>
      </c>
      <c r="G75" s="79">
        <v>2534</v>
      </c>
      <c r="H75" s="1">
        <v>151</v>
      </c>
      <c r="I75" s="1">
        <v>3469</v>
      </c>
      <c r="J75" s="1">
        <v>100362</v>
      </c>
      <c r="K75" s="21">
        <v>610</v>
      </c>
      <c r="L75" s="21">
        <v>75647</v>
      </c>
      <c r="M75" s="1">
        <v>76257</v>
      </c>
      <c r="N75" s="1">
        <v>937</v>
      </c>
      <c r="O75" s="1">
        <v>3367</v>
      </c>
      <c r="P75" s="1">
        <v>2272</v>
      </c>
      <c r="Q75" s="16">
        <f t="shared" si="4"/>
        <v>903</v>
      </c>
      <c r="R75" s="29">
        <f t="shared" si="6"/>
        <v>37</v>
      </c>
      <c r="S75" s="72">
        <f t="shared" si="2"/>
        <v>3.2904772281542823E-2</v>
      </c>
      <c r="T75" s="62">
        <f t="shared" si="3"/>
        <v>4.7599946516914023E-2</v>
      </c>
    </row>
    <row r="76" spans="1:2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6">
        <f t="shared" si="5"/>
        <v>35</v>
      </c>
      <c r="G76" s="79">
        <v>2569</v>
      </c>
      <c r="H76" s="1">
        <v>154</v>
      </c>
      <c r="I76" s="1">
        <v>2858</v>
      </c>
      <c r="J76" s="1">
        <v>103220</v>
      </c>
      <c r="K76" s="21">
        <v>626</v>
      </c>
      <c r="L76" s="21">
        <v>77581</v>
      </c>
      <c r="M76" s="1">
        <v>78207</v>
      </c>
      <c r="N76" s="1">
        <v>987</v>
      </c>
      <c r="O76" s="1">
        <v>3482</v>
      </c>
      <c r="P76" s="1">
        <v>2372</v>
      </c>
      <c r="Q76" s="16">
        <f t="shared" si="4"/>
        <v>964</v>
      </c>
      <c r="R76" s="29">
        <f t="shared" si="6"/>
        <v>35</v>
      </c>
      <c r="S76" s="72">
        <f t="shared" si="2"/>
        <v>3.160270880361174E-2</v>
      </c>
      <c r="T76" s="62">
        <f t="shared" si="3"/>
        <v>4.6508648302370274E-2</v>
      </c>
    </row>
    <row r="77" spans="1:2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6">
        <f t="shared" si="5"/>
        <v>56</v>
      </c>
      <c r="G77" s="79">
        <v>2625</v>
      </c>
      <c r="H77" s="1">
        <v>159</v>
      </c>
      <c r="I77" s="1">
        <v>2609</v>
      </c>
      <c r="J77" s="1">
        <v>105829</v>
      </c>
      <c r="K77" s="21">
        <v>640</v>
      </c>
      <c r="L77" s="21">
        <v>79462</v>
      </c>
      <c r="M77" s="1">
        <v>80102</v>
      </c>
      <c r="N77" s="1">
        <v>939</v>
      </c>
      <c r="O77" s="1">
        <v>3561</v>
      </c>
      <c r="P77" s="1">
        <v>2468</v>
      </c>
      <c r="Q77" s="16">
        <f t="shared" si="4"/>
        <v>1118</v>
      </c>
      <c r="R77" s="29">
        <f t="shared" si="6"/>
        <v>56</v>
      </c>
      <c r="S77" s="72">
        <f t="shared" si="2"/>
        <v>3.125E-2</v>
      </c>
      <c r="T77" s="62">
        <f t="shared" si="3"/>
        <v>4.6129112045510762E-2</v>
      </c>
    </row>
    <row r="78" spans="1:2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6">
        <f t="shared" si="5"/>
        <v>247</v>
      </c>
      <c r="G78" s="79">
        <v>2872</v>
      </c>
      <c r="H78" s="1">
        <v>156</v>
      </c>
      <c r="I78" s="1">
        <v>2805</v>
      </c>
      <c r="J78" s="1">
        <v>108634</v>
      </c>
      <c r="K78" s="21">
        <v>657</v>
      </c>
      <c r="L78" s="21">
        <v>81466</v>
      </c>
      <c r="M78" s="1">
        <v>82123</v>
      </c>
      <c r="N78" s="1">
        <v>939</v>
      </c>
      <c r="O78" s="1">
        <v>3718</v>
      </c>
      <c r="P78" s="1">
        <v>2607</v>
      </c>
      <c r="Q78" s="16">
        <f t="shared" si="4"/>
        <v>1107</v>
      </c>
      <c r="R78" s="29">
        <f t="shared" si="6"/>
        <v>247</v>
      </c>
      <c r="S78" s="72">
        <f t="shared" ref="S78:S141" si="7">H78/(C78-E78-G78)</f>
        <v>3.0486613249951142E-2</v>
      </c>
      <c r="T78" s="62">
        <f t="shared" si="3"/>
        <v>4.5633735515470078E-2</v>
      </c>
    </row>
    <row r="79" spans="1:2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6">
        <f t="shared" si="5"/>
        <v>61</v>
      </c>
      <c r="G79" s="79">
        <v>2933</v>
      </c>
      <c r="H79" s="1">
        <v>161</v>
      </c>
      <c r="I79" s="1">
        <v>3736</v>
      </c>
      <c r="J79" s="1">
        <v>112370</v>
      </c>
      <c r="K79" s="21">
        <v>681</v>
      </c>
      <c r="L79" s="21">
        <v>84449</v>
      </c>
      <c r="M79" s="1">
        <v>85130</v>
      </c>
      <c r="N79" s="1">
        <v>940</v>
      </c>
      <c r="O79" s="1">
        <v>3879</v>
      </c>
      <c r="P79" s="1">
        <v>2758</v>
      </c>
      <c r="Q79" s="16">
        <f t="shared" si="4"/>
        <v>1232</v>
      </c>
      <c r="R79" s="29">
        <f t="shared" si="6"/>
        <v>61</v>
      </c>
      <c r="S79" s="72">
        <f t="shared" si="7"/>
        <v>2.9363487142075505E-2</v>
      </c>
      <c r="T79" s="62">
        <f t="shared" ref="T79:T142" si="8">E79/C79</f>
        <v>4.4613463503235327E-2</v>
      </c>
    </row>
    <row r="80" spans="1:2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6">
        <f t="shared" si="5"/>
        <v>99</v>
      </c>
      <c r="G80" s="79">
        <v>3032</v>
      </c>
      <c r="H80" s="1">
        <v>171</v>
      </c>
      <c r="I80" s="1">
        <v>4319</v>
      </c>
      <c r="J80" s="1">
        <v>116689</v>
      </c>
      <c r="K80" s="21">
        <v>705</v>
      </c>
      <c r="L80" s="21">
        <v>87447</v>
      </c>
      <c r="M80" s="1">
        <v>88152</v>
      </c>
      <c r="N80" s="1">
        <v>945</v>
      </c>
      <c r="O80" s="1">
        <v>4068</v>
      </c>
      <c r="P80" s="1">
        <v>2919</v>
      </c>
      <c r="Q80" s="16">
        <f t="shared" si="4"/>
        <v>1351</v>
      </c>
      <c r="R80" s="29">
        <f t="shared" si="6"/>
        <v>99</v>
      </c>
      <c r="S80" s="72">
        <f t="shared" si="7"/>
        <v>2.924076607387141E-2</v>
      </c>
      <c r="T80" s="62">
        <f t="shared" si="8"/>
        <v>4.341268986319078E-2</v>
      </c>
    </row>
    <row r="81" spans="1:20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6">
        <f t="shared" si="5"/>
        <v>30</v>
      </c>
      <c r="G81" s="79">
        <v>3062</v>
      </c>
      <c r="H81" s="1">
        <v>172</v>
      </c>
      <c r="I81" s="1">
        <v>4589</v>
      </c>
      <c r="J81" s="1">
        <v>121278</v>
      </c>
      <c r="K81" s="21">
        <v>731</v>
      </c>
      <c r="L81" s="21">
        <v>90667</v>
      </c>
      <c r="M81" s="1">
        <v>91398</v>
      </c>
      <c r="N81" s="1">
        <v>947</v>
      </c>
      <c r="O81" s="1">
        <v>4334</v>
      </c>
      <c r="P81" s="1">
        <v>3154</v>
      </c>
      <c r="Q81" s="16">
        <f t="shared" ref="Q81:Q89" si="9">C81-P81-O81-N81</f>
        <v>1496</v>
      </c>
      <c r="R81" s="29">
        <f t="shared" si="6"/>
        <v>30</v>
      </c>
      <c r="S81" s="72">
        <f t="shared" si="7"/>
        <v>2.66542693320936E-2</v>
      </c>
      <c r="T81" s="62">
        <f t="shared" si="8"/>
        <v>4.1889034336924778E-2</v>
      </c>
    </row>
    <row r="82" spans="1:20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6">
        <f t="shared" si="5"/>
        <v>468</v>
      </c>
      <c r="G82" s="79">
        <v>3530</v>
      </c>
      <c r="H82" s="1">
        <v>173</v>
      </c>
      <c r="I82" s="1">
        <v>4615</v>
      </c>
      <c r="J82" s="1">
        <v>125893</v>
      </c>
      <c r="K82" s="21">
        <v>754</v>
      </c>
      <c r="L82" s="21">
        <v>93528</v>
      </c>
      <c r="M82" s="1">
        <v>94282</v>
      </c>
      <c r="N82" s="1">
        <v>948</v>
      </c>
      <c r="O82" s="1">
        <v>4648</v>
      </c>
      <c r="P82" s="1">
        <v>3314</v>
      </c>
      <c r="Q82" s="16">
        <f t="shared" si="9"/>
        <v>1739</v>
      </c>
      <c r="R82" s="29">
        <f t="shared" si="6"/>
        <v>468</v>
      </c>
      <c r="S82" s="72">
        <f t="shared" si="7"/>
        <v>2.5874962608435536E-2</v>
      </c>
      <c r="T82" s="62">
        <f t="shared" si="8"/>
        <v>4.0661094938491876E-2</v>
      </c>
    </row>
    <row r="83" spans="1:20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6">
        <f t="shared" si="5"/>
        <v>202</v>
      </c>
      <c r="G83" s="79">
        <v>3732</v>
      </c>
      <c r="H83" s="1">
        <v>181</v>
      </c>
      <c r="I83" s="1">
        <v>3525</v>
      </c>
      <c r="J83" s="1">
        <v>129418</v>
      </c>
      <c r="K83" s="21">
        <v>773</v>
      </c>
      <c r="L83" s="21">
        <v>95859</v>
      </c>
      <c r="M83" s="1">
        <v>96632</v>
      </c>
      <c r="N83" s="1">
        <v>951</v>
      </c>
      <c r="O83" s="1">
        <v>4955</v>
      </c>
      <c r="P83" s="1">
        <v>3540</v>
      </c>
      <c r="Q83" s="16">
        <f t="shared" si="9"/>
        <v>1907</v>
      </c>
      <c r="R83" s="29">
        <f t="shared" si="6"/>
        <v>202</v>
      </c>
      <c r="S83" s="72">
        <f t="shared" si="7"/>
        <v>2.5222965440356744E-2</v>
      </c>
      <c r="T83" s="62">
        <f t="shared" si="8"/>
        <v>3.9196688100061661E-2</v>
      </c>
    </row>
    <row r="84" spans="1:20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6">
        <f t="shared" si="5"/>
        <v>267</v>
      </c>
      <c r="G84" s="79">
        <v>3999</v>
      </c>
      <c r="H84" s="1">
        <v>181</v>
      </c>
      <c r="I84" s="1">
        <v>4050</v>
      </c>
      <c r="J84" s="1">
        <v>133468</v>
      </c>
      <c r="K84" s="21">
        <v>793</v>
      </c>
      <c r="L84" s="21">
        <v>98352</v>
      </c>
      <c r="M84" s="1">
        <v>99145</v>
      </c>
      <c r="N84" s="1">
        <v>955</v>
      </c>
      <c r="O84" s="1">
        <v>5302</v>
      </c>
      <c r="P84" s="1">
        <v>3766</v>
      </c>
      <c r="Q84" s="16">
        <f t="shared" si="9"/>
        <v>2053</v>
      </c>
      <c r="R84" s="29">
        <f t="shared" si="6"/>
        <v>267</v>
      </c>
      <c r="S84" s="72">
        <f t="shared" si="7"/>
        <v>2.3737704918032787E-2</v>
      </c>
      <c r="T84" s="62">
        <f t="shared" si="8"/>
        <v>3.742961245445512E-2</v>
      </c>
    </row>
    <row r="85" spans="1:20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6">
        <f t="shared" si="5"/>
        <v>168</v>
      </c>
      <c r="G85" s="79">
        <v>4167</v>
      </c>
      <c r="H85" s="1">
        <v>203</v>
      </c>
      <c r="I85" s="1">
        <v>3194</v>
      </c>
      <c r="J85" s="1">
        <v>136662</v>
      </c>
      <c r="K85" s="21">
        <v>709</v>
      </c>
      <c r="L85" s="21">
        <v>100639</v>
      </c>
      <c r="M85" s="1">
        <v>101348</v>
      </c>
      <c r="N85" s="1">
        <v>956</v>
      </c>
      <c r="O85" s="1">
        <v>5563</v>
      </c>
      <c r="P85" s="1">
        <v>4057</v>
      </c>
      <c r="Q85" s="16">
        <f t="shared" si="9"/>
        <v>2052</v>
      </c>
      <c r="R85" s="29">
        <f t="shared" si="6"/>
        <v>168</v>
      </c>
      <c r="S85" s="72">
        <f t="shared" si="7"/>
        <v>2.5394045534150613E-2</v>
      </c>
      <c r="T85" s="62">
        <f t="shared" si="8"/>
        <v>3.6981311371555275E-2</v>
      </c>
    </row>
    <row r="86" spans="1:20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6">
        <f t="shared" si="5"/>
        <v>182</v>
      </c>
      <c r="G86" s="79">
        <v>4349</v>
      </c>
      <c r="H86" s="1">
        <v>250</v>
      </c>
      <c r="I86" s="1">
        <v>3556</v>
      </c>
      <c r="J86" s="1">
        <v>140218</v>
      </c>
      <c r="K86" s="21">
        <v>727</v>
      </c>
      <c r="L86" s="21">
        <v>103173</v>
      </c>
      <c r="M86" s="1">
        <v>103900</v>
      </c>
      <c r="N86" s="3">
        <v>959</v>
      </c>
      <c r="O86" s="3">
        <v>5813</v>
      </c>
      <c r="P86" s="3">
        <v>4354</v>
      </c>
      <c r="Q86" s="16">
        <f t="shared" si="9"/>
        <v>2102</v>
      </c>
      <c r="R86" s="29">
        <f t="shared" si="6"/>
        <v>182</v>
      </c>
      <c r="S86" s="72">
        <f t="shared" si="7"/>
        <v>2.9800929789009417E-2</v>
      </c>
      <c r="T86" s="62">
        <f t="shared" si="8"/>
        <v>3.704263683096462E-2</v>
      </c>
    </row>
    <row r="87" spans="1:20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6">
        <f t="shared" si="5"/>
        <v>268</v>
      </c>
      <c r="G87" s="79">
        <v>4617</v>
      </c>
      <c r="H87" s="1">
        <v>254</v>
      </c>
      <c r="I87" s="1">
        <v>4863</v>
      </c>
      <c r="J87" s="1">
        <v>145081</v>
      </c>
      <c r="K87" s="21">
        <v>642</v>
      </c>
      <c r="L87" s="21">
        <v>106456</v>
      </c>
      <c r="M87" s="1">
        <v>107098</v>
      </c>
      <c r="N87" s="1">
        <v>961</v>
      </c>
      <c r="O87" s="1">
        <v>6091</v>
      </c>
      <c r="P87" s="1">
        <v>4694</v>
      </c>
      <c r="Q87" s="16">
        <f t="shared" si="9"/>
        <v>2187</v>
      </c>
      <c r="R87" s="29">
        <f t="shared" si="6"/>
        <v>268</v>
      </c>
      <c r="S87" s="72">
        <f t="shared" si="7"/>
        <v>2.8811252268602542E-2</v>
      </c>
      <c r="T87" s="62">
        <f t="shared" si="8"/>
        <v>3.5886025981482814E-2</v>
      </c>
    </row>
    <row r="88" spans="1:20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6">
        <f t="shared" si="5"/>
        <v>171</v>
      </c>
      <c r="G88" s="79">
        <v>4788</v>
      </c>
      <c r="H88" s="1">
        <v>259</v>
      </c>
      <c r="I88" s="1">
        <v>5405</v>
      </c>
      <c r="J88" s="1">
        <v>150486</v>
      </c>
      <c r="K88" s="21">
        <v>664</v>
      </c>
      <c r="L88" s="21">
        <v>110132</v>
      </c>
      <c r="M88" s="4">
        <v>110796</v>
      </c>
      <c r="N88" s="1">
        <v>967</v>
      </c>
      <c r="O88" s="1">
        <v>6450</v>
      </c>
      <c r="P88" s="1">
        <v>5051</v>
      </c>
      <c r="Q88" s="16">
        <f t="shared" si="9"/>
        <v>2234</v>
      </c>
      <c r="R88" s="29">
        <f t="shared" si="6"/>
        <v>171</v>
      </c>
      <c r="S88" s="72">
        <f t="shared" si="7"/>
        <v>2.7535615564533277E-2</v>
      </c>
      <c r="T88" s="62">
        <f t="shared" si="8"/>
        <v>3.4553122024214393E-2</v>
      </c>
    </row>
    <row r="89" spans="1:20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6">
        <f t="shared" si="5"/>
        <v>312</v>
      </c>
      <c r="G89" s="79">
        <v>5100</v>
      </c>
      <c r="H89" s="1">
        <v>244</v>
      </c>
      <c r="I89" s="4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6">
        <f t="shared" si="9"/>
        <v>2316</v>
      </c>
      <c r="R89" s="29">
        <f t="shared" si="6"/>
        <v>312</v>
      </c>
      <c r="S89" s="72">
        <f t="shared" si="7"/>
        <v>2.4900500051025613E-2</v>
      </c>
      <c r="T89" s="62">
        <f t="shared" si="8"/>
        <v>3.3724625462092227E-2</v>
      </c>
    </row>
    <row r="90" spans="1:20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6">
        <f t="shared" si="5"/>
        <v>236</v>
      </c>
      <c r="G90" s="79">
        <v>5336</v>
      </c>
      <c r="H90" s="1">
        <v>256</v>
      </c>
      <c r="I90" s="4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6">
        <f t="shared" ref="Q90:Q95" si="10">C90-P90-O90-N90</f>
        <v>2491</v>
      </c>
      <c r="R90" s="29">
        <f t="shared" si="6"/>
        <v>236</v>
      </c>
      <c r="S90" s="72">
        <f t="shared" si="7"/>
        <v>2.4734299516908212E-2</v>
      </c>
      <c r="T90" s="62">
        <f t="shared" si="8"/>
        <v>3.2564450474898234E-2</v>
      </c>
    </row>
    <row r="91" spans="1:20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6">
        <f t="shared" si="5"/>
        <v>185</v>
      </c>
      <c r="G91" s="79">
        <v>5521</v>
      </c>
      <c r="H91" s="1">
        <v>272</v>
      </c>
      <c r="I91" s="4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6">
        <f t="shared" si="10"/>
        <v>2598</v>
      </c>
      <c r="R91" s="29">
        <f t="shared" si="6"/>
        <v>185</v>
      </c>
      <c r="S91" s="72">
        <f t="shared" si="7"/>
        <v>2.5206190343805022E-2</v>
      </c>
      <c r="T91" s="62">
        <f t="shared" si="8"/>
        <v>3.1986232271081834E-2</v>
      </c>
    </row>
    <row r="92" spans="1:20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6">
        <f t="shared" si="5"/>
        <v>188</v>
      </c>
      <c r="G92" s="79">
        <v>5709</v>
      </c>
      <c r="H92" s="1">
        <v>271</v>
      </c>
      <c r="I92" s="4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6">
        <f t="shared" si="10"/>
        <v>2646</v>
      </c>
      <c r="R92" s="29">
        <f t="shared" si="6"/>
        <v>188</v>
      </c>
      <c r="S92" s="72">
        <f t="shared" si="7"/>
        <v>2.430493273542601E-2</v>
      </c>
      <c r="T92" s="62">
        <f t="shared" si="8"/>
        <v>3.1926500143554408E-2</v>
      </c>
    </row>
    <row r="93" spans="1:20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6">
        <f t="shared" si="5"/>
        <v>187</v>
      </c>
      <c r="G93" s="79">
        <v>5896</v>
      </c>
      <c r="H93" s="1">
        <v>288</v>
      </c>
      <c r="I93" s="4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6">
        <f t="shared" si="10"/>
        <v>2895</v>
      </c>
      <c r="R93" s="29">
        <f t="shared" si="6"/>
        <v>187</v>
      </c>
      <c r="S93" s="72">
        <f t="shared" si="7"/>
        <v>2.4295596423148304E-2</v>
      </c>
      <c r="T93" s="62">
        <f t="shared" si="8"/>
        <v>3.1060647415251923E-2</v>
      </c>
    </row>
    <row r="94" spans="1:20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6">
        <f t="shared" si="5"/>
        <v>97</v>
      </c>
      <c r="G94" s="79">
        <v>5993</v>
      </c>
      <c r="H94" s="1">
        <v>293</v>
      </c>
      <c r="I94" s="4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6">
        <f t="shared" si="10"/>
        <v>3133</v>
      </c>
      <c r="R94" s="29">
        <f t="shared" si="6"/>
        <v>97</v>
      </c>
      <c r="S94" s="72">
        <f t="shared" si="7"/>
        <v>2.3085408131106207E-2</v>
      </c>
      <c r="T94" s="62">
        <f t="shared" si="8"/>
        <v>3.0257421631720988E-2</v>
      </c>
    </row>
    <row r="95" spans="1:20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6">
        <f t="shared" si="5"/>
        <v>95</v>
      </c>
      <c r="G95" s="79">
        <v>6088</v>
      </c>
      <c r="H95" s="1">
        <v>248</v>
      </c>
      <c r="I95" s="4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6">
        <f t="shared" si="10"/>
        <v>3329</v>
      </c>
      <c r="R95" s="29">
        <f t="shared" si="6"/>
        <v>95</v>
      </c>
      <c r="S95" s="72">
        <f t="shared" si="7"/>
        <v>1.8369009702984964E-2</v>
      </c>
      <c r="T95" s="62">
        <f t="shared" si="8"/>
        <v>3.0103480714957668E-2</v>
      </c>
    </row>
    <row r="96" spans="1:20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6">
        <f t="shared" si="5"/>
        <v>92</v>
      </c>
      <c r="G96" s="79">
        <v>6180</v>
      </c>
      <c r="H96" s="1">
        <v>249</v>
      </c>
      <c r="I96" s="4">
        <v>5416</v>
      </c>
      <c r="J96" s="4">
        <v>189278</v>
      </c>
      <c r="K96" s="7">
        <v>812</v>
      </c>
      <c r="L96" s="7">
        <v>134642</v>
      </c>
      <c r="M96" s="4">
        <v>135454</v>
      </c>
      <c r="N96" s="9">
        <v>980</v>
      </c>
      <c r="O96" s="9">
        <v>8883</v>
      </c>
      <c r="P96" s="9">
        <v>7770</v>
      </c>
      <c r="Q96" s="16">
        <f>C96-P96-O96-N96</f>
        <v>3404</v>
      </c>
      <c r="R96" s="29">
        <f t="shared" si="6"/>
        <v>92</v>
      </c>
      <c r="S96" s="72">
        <f t="shared" si="7"/>
        <v>1.750439367311072E-2</v>
      </c>
      <c r="T96" s="62">
        <f t="shared" si="8"/>
        <v>3.004230641251129E-2</v>
      </c>
    </row>
    <row r="97" spans="1:20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6">
        <f t="shared" si="5"/>
        <v>729</v>
      </c>
      <c r="G97" s="79">
        <v>6909</v>
      </c>
      <c r="H97" s="1">
        <v>247</v>
      </c>
      <c r="I97" s="4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6">
        <f>C97-P97-O97-N97</f>
        <v>3677</v>
      </c>
      <c r="R97" s="29">
        <f t="shared" si="6"/>
        <v>729</v>
      </c>
      <c r="S97" s="72">
        <f t="shared" si="7"/>
        <v>1.7078061259766301E-2</v>
      </c>
      <c r="T97" s="62">
        <f t="shared" si="8"/>
        <v>2.9427792915531336E-2</v>
      </c>
    </row>
    <row r="98" spans="1:20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6">
        <f t="shared" si="5"/>
        <v>396</v>
      </c>
      <c r="G98" s="79">
        <v>7305</v>
      </c>
      <c r="H98" s="1">
        <v>235</v>
      </c>
      <c r="I98" s="4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6">
        <f>C98-P98-O98-N98</f>
        <v>3892</v>
      </c>
      <c r="R98" s="29">
        <f t="shared" si="6"/>
        <v>396</v>
      </c>
      <c r="S98" s="72">
        <f t="shared" si="7"/>
        <v>1.5851602023608771E-2</v>
      </c>
      <c r="T98" s="62">
        <f t="shared" si="8"/>
        <v>2.9130472931473195E-2</v>
      </c>
    </row>
    <row r="99" spans="1:20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6">
        <f t="shared" si="5"/>
        <v>263</v>
      </c>
      <c r="G99" s="79">
        <v>7568</v>
      </c>
      <c r="H99" s="1">
        <v>265</v>
      </c>
      <c r="I99" s="4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2">
        <v>9822</v>
      </c>
      <c r="P99" s="12">
        <v>8919</v>
      </c>
      <c r="Q99" s="16">
        <f>C99-P99-O99-N99</f>
        <v>3893</v>
      </c>
      <c r="R99" s="29">
        <f t="shared" si="6"/>
        <v>263</v>
      </c>
      <c r="S99" s="72">
        <f t="shared" si="7"/>
        <v>1.7253727456214597E-2</v>
      </c>
      <c r="T99" s="62">
        <f t="shared" si="8"/>
        <v>2.9339542760372567E-2</v>
      </c>
    </row>
    <row r="100" spans="1:20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6">
        <f t="shared" si="5"/>
        <v>423</v>
      </c>
      <c r="G100" s="79">
        <v>7991</v>
      </c>
      <c r="H100" s="1">
        <v>263</v>
      </c>
      <c r="I100" s="4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2">
        <v>992</v>
      </c>
      <c r="O100" s="12">
        <v>10260</v>
      </c>
      <c r="P100" s="12">
        <v>9406</v>
      </c>
      <c r="Q100" s="16">
        <f>C100-P100-O100-N100</f>
        <v>4103</v>
      </c>
      <c r="R100" s="29">
        <f t="shared" si="6"/>
        <v>423</v>
      </c>
      <c r="S100" s="72">
        <f t="shared" si="7"/>
        <v>1.6383230548807078E-2</v>
      </c>
      <c r="T100" s="62">
        <f t="shared" si="8"/>
        <v>2.8956827268688663E-2</v>
      </c>
    </row>
    <row r="101" spans="1:20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6">
        <f t="shared" si="5"/>
        <v>341</v>
      </c>
      <c r="G101" s="79">
        <v>8332</v>
      </c>
      <c r="H101" s="1">
        <v>325</v>
      </c>
      <c r="I101" s="4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6">
        <f t="shared" ref="Q101:Q124" si="11">C101-P101-O101-N101</f>
        <v>4386</v>
      </c>
      <c r="R101" s="29">
        <f t="shared" si="6"/>
        <v>341</v>
      </c>
      <c r="S101" s="72">
        <f t="shared" si="7"/>
        <v>1.9208037825059102E-2</v>
      </c>
      <c r="T101" s="62">
        <f t="shared" si="8"/>
        <v>2.8283372455458498E-2</v>
      </c>
    </row>
    <row r="102" spans="1:20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6">
        <f t="shared" si="5"/>
        <v>411</v>
      </c>
      <c r="G102" s="79">
        <v>8743</v>
      </c>
      <c r="H102" s="1">
        <v>295</v>
      </c>
      <c r="I102" s="4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6">
        <f t="shared" si="11"/>
        <v>4741</v>
      </c>
      <c r="R102" s="29">
        <f t="shared" si="6"/>
        <v>411</v>
      </c>
      <c r="S102" s="72">
        <f t="shared" si="7"/>
        <v>1.6512734396865379E-2</v>
      </c>
      <c r="T102" s="62">
        <f t="shared" si="8"/>
        <v>2.7947247287473057E-2</v>
      </c>
    </row>
    <row r="103" spans="1:20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6">
        <f t="shared" si="5"/>
        <v>340</v>
      </c>
      <c r="G103" s="79">
        <v>9083</v>
      </c>
      <c r="H103" s="1">
        <v>280</v>
      </c>
      <c r="I103" s="4">
        <v>7019</v>
      </c>
      <c r="J103" s="4">
        <v>228324</v>
      </c>
      <c r="K103" s="7">
        <v>797</v>
      </c>
      <c r="L103" s="39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6">
        <f t="shared" si="11"/>
        <v>5069</v>
      </c>
      <c r="R103" s="29">
        <f t="shared" si="6"/>
        <v>340</v>
      </c>
      <c r="S103" s="72">
        <f t="shared" si="7"/>
        <v>1.4817950889077053E-2</v>
      </c>
      <c r="T103" s="62">
        <f t="shared" si="8"/>
        <v>2.7291058267278543E-2</v>
      </c>
    </row>
    <row r="104" spans="1:20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16">
        <f t="shared" si="5"/>
        <v>481</v>
      </c>
      <c r="G104" s="82">
        <v>9564</v>
      </c>
      <c r="H104" s="9">
        <v>293</v>
      </c>
      <c r="I104" s="4">
        <v>6046</v>
      </c>
      <c r="J104" s="4">
        <v>234370</v>
      </c>
      <c r="K104" s="7">
        <v>815</v>
      </c>
      <c r="L104" s="39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6">
        <f t="shared" si="11"/>
        <v>5627</v>
      </c>
      <c r="R104" s="29">
        <f t="shared" si="6"/>
        <v>481</v>
      </c>
      <c r="S104" s="72">
        <f t="shared" si="7"/>
        <v>1.4711789515967062E-2</v>
      </c>
      <c r="T104" s="62">
        <f t="shared" si="8"/>
        <v>2.6902129064202012E-2</v>
      </c>
    </row>
    <row r="105" spans="1:20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16">
        <f t="shared" si="5"/>
        <v>327</v>
      </c>
      <c r="G105" s="82">
        <v>9891</v>
      </c>
      <c r="H105" s="17">
        <v>316</v>
      </c>
      <c r="I105" s="4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2">
        <v>1022</v>
      </c>
      <c r="O105" s="12">
        <v>12386</v>
      </c>
      <c r="P105" s="12">
        <v>12167</v>
      </c>
      <c r="Q105" s="16">
        <f t="shared" si="11"/>
        <v>6002</v>
      </c>
      <c r="R105" s="29">
        <f t="shared" si="6"/>
        <v>327</v>
      </c>
      <c r="S105" s="72">
        <f t="shared" si="7"/>
        <v>1.5153694912003069E-2</v>
      </c>
      <c r="T105" s="62">
        <f t="shared" si="8"/>
        <v>2.6379960097539349E-2</v>
      </c>
    </row>
    <row r="106" spans="1:20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16">
        <f t="shared" si="5"/>
        <v>273</v>
      </c>
      <c r="G106" s="82">
        <v>10164</v>
      </c>
      <c r="H106" s="18">
        <v>324</v>
      </c>
      <c r="I106" s="4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2">
        <v>1028</v>
      </c>
      <c r="O106" s="12">
        <v>12835</v>
      </c>
      <c r="P106" s="12">
        <v>12828</v>
      </c>
      <c r="Q106" s="16">
        <f t="shared" si="11"/>
        <v>6094</v>
      </c>
      <c r="R106" s="29">
        <f t="shared" si="6"/>
        <v>273</v>
      </c>
      <c r="S106" s="72">
        <f t="shared" si="7"/>
        <v>1.4884917535719208E-2</v>
      </c>
      <c r="T106" s="62">
        <f t="shared" si="8"/>
        <v>2.6048497788622844E-2</v>
      </c>
    </row>
    <row r="107" spans="1:20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16">
        <f t="shared" si="5"/>
        <v>348</v>
      </c>
      <c r="G107" s="82">
        <v>10512</v>
      </c>
      <c r="H107" s="18">
        <v>345</v>
      </c>
      <c r="I107" s="12">
        <v>5556</v>
      </c>
      <c r="J107" s="12">
        <v>250615</v>
      </c>
      <c r="K107" s="7">
        <v>863</v>
      </c>
      <c r="L107" s="7">
        <v>171855</v>
      </c>
      <c r="M107" s="4">
        <v>172718</v>
      </c>
      <c r="N107" s="12">
        <v>1030</v>
      </c>
      <c r="O107" s="12">
        <v>13340</v>
      </c>
      <c r="P107" s="12">
        <v>13602</v>
      </c>
      <c r="Q107" s="16">
        <f t="shared" si="11"/>
        <v>6187</v>
      </c>
      <c r="R107" s="29">
        <f t="shared" si="6"/>
        <v>348</v>
      </c>
      <c r="S107" s="72">
        <f t="shared" si="7"/>
        <v>1.5152180596424964E-2</v>
      </c>
      <c r="T107" s="62">
        <f t="shared" si="8"/>
        <v>2.5703328551772594E-2</v>
      </c>
    </row>
    <row r="108" spans="1:20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16">
        <f t="shared" si="5"/>
        <v>209</v>
      </c>
      <c r="G108" s="82">
        <v>10721</v>
      </c>
      <c r="H108" s="18">
        <v>353</v>
      </c>
      <c r="I108" s="4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2">
        <v>1036</v>
      </c>
      <c r="O108" s="12">
        <v>13805</v>
      </c>
      <c r="P108" s="12">
        <v>14433</v>
      </c>
      <c r="Q108" s="16">
        <f t="shared" si="11"/>
        <v>6278</v>
      </c>
      <c r="R108" s="29">
        <f t="shared" si="6"/>
        <v>209</v>
      </c>
      <c r="S108" s="72">
        <f t="shared" si="7"/>
        <v>1.4758759093569697E-2</v>
      </c>
      <c r="T108" s="62">
        <f t="shared" si="8"/>
        <v>2.5680693069306929E-2</v>
      </c>
    </row>
    <row r="109" spans="1:20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16">
        <f t="shared" si="5"/>
        <v>1130</v>
      </c>
      <c r="G109" s="76">
        <v>11851</v>
      </c>
      <c r="H109" s="4">
        <v>364</v>
      </c>
      <c r="I109" s="4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2">
        <v>1049</v>
      </c>
      <c r="O109" s="12">
        <v>14420</v>
      </c>
      <c r="P109" s="12">
        <v>15347</v>
      </c>
      <c r="Q109" s="16">
        <f t="shared" si="11"/>
        <v>6694</v>
      </c>
      <c r="R109" s="29">
        <f t="shared" si="6"/>
        <v>1130</v>
      </c>
      <c r="S109" s="72">
        <f t="shared" si="7"/>
        <v>1.4730282060620777E-2</v>
      </c>
      <c r="T109" s="62">
        <f t="shared" si="8"/>
        <v>2.5273260463876301E-2</v>
      </c>
    </row>
    <row r="110" spans="1:20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16">
        <f t="shared" si="5"/>
        <v>355</v>
      </c>
      <c r="G110" s="76">
        <v>12206</v>
      </c>
      <c r="H110" s="4">
        <v>364</v>
      </c>
      <c r="I110" s="4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2">
        <v>1044</v>
      </c>
      <c r="O110" s="12">
        <v>15003</v>
      </c>
      <c r="P110" s="12">
        <v>16383</v>
      </c>
      <c r="Q110" s="16">
        <f t="shared" si="11"/>
        <v>7140</v>
      </c>
      <c r="R110" s="29">
        <f t="shared" si="6"/>
        <v>355</v>
      </c>
      <c r="S110" s="72">
        <f t="shared" si="7"/>
        <v>1.3795717263596741E-2</v>
      </c>
      <c r="T110" s="62">
        <f t="shared" si="8"/>
        <v>2.4740965377811473E-2</v>
      </c>
    </row>
    <row r="111" spans="1:20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16">
        <f t="shared" si="5"/>
        <v>522</v>
      </c>
      <c r="G111" s="76">
        <v>12728</v>
      </c>
      <c r="H111" s="4">
        <v>381</v>
      </c>
      <c r="I111" s="4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6">
        <f t="shared" si="11"/>
        <v>7535</v>
      </c>
      <c r="R111" s="29">
        <f t="shared" si="6"/>
        <v>522</v>
      </c>
      <c r="S111" s="72">
        <f t="shared" si="7"/>
        <v>1.3862106603601964E-2</v>
      </c>
      <c r="T111" s="62">
        <f t="shared" si="8"/>
        <v>2.4051063003591885E-2</v>
      </c>
    </row>
    <row r="112" spans="1:20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16">
        <f t="shared" si="5"/>
        <v>425</v>
      </c>
      <c r="G112" s="194">
        <v>13153</v>
      </c>
      <c r="H112" s="4">
        <v>397</v>
      </c>
      <c r="I112" s="4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6">
        <f t="shared" si="11"/>
        <v>7887</v>
      </c>
      <c r="R112" s="29">
        <f t="shared" si="6"/>
        <v>425</v>
      </c>
      <c r="S112" s="72">
        <f t="shared" si="7"/>
        <v>1.3870933929632089E-2</v>
      </c>
      <c r="T112" s="62">
        <f t="shared" si="8"/>
        <v>2.3629776790931402E-2</v>
      </c>
    </row>
    <row r="113" spans="1:20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16">
        <f t="shared" si="5"/>
        <v>423</v>
      </c>
      <c r="G113" s="194">
        <v>13576</v>
      </c>
      <c r="H113" s="4">
        <v>414</v>
      </c>
      <c r="I113" s="4">
        <v>7120</v>
      </c>
      <c r="J113" s="7">
        <v>292511</v>
      </c>
      <c r="K113" s="21">
        <v>790</v>
      </c>
      <c r="L113" s="21">
        <v>196839</v>
      </c>
      <c r="M113" s="4">
        <v>197629</v>
      </c>
      <c r="N113" s="16">
        <v>1050</v>
      </c>
      <c r="O113" s="16">
        <v>16924</v>
      </c>
      <c r="P113" s="16">
        <v>18537</v>
      </c>
      <c r="Q113" s="16">
        <f t="shared" si="11"/>
        <v>8420</v>
      </c>
      <c r="R113" s="29">
        <f t="shared" si="6"/>
        <v>423</v>
      </c>
      <c r="S113" s="72">
        <f t="shared" si="7"/>
        <v>1.3657957244655582E-2</v>
      </c>
      <c r="T113" s="62">
        <f t="shared" si="8"/>
        <v>2.3213371614252964E-2</v>
      </c>
    </row>
    <row r="114" spans="1:20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16">
        <f t="shared" si="5"/>
        <v>240</v>
      </c>
      <c r="G114" s="194">
        <v>13816</v>
      </c>
      <c r="H114" s="4">
        <v>433</v>
      </c>
      <c r="I114" s="4">
        <v>7832</v>
      </c>
      <c r="J114" s="16">
        <v>300343</v>
      </c>
      <c r="K114" s="21">
        <v>812</v>
      </c>
      <c r="L114" s="67">
        <v>202380</v>
      </c>
      <c r="M114" s="16">
        <v>203192</v>
      </c>
      <c r="N114" s="12">
        <v>1052</v>
      </c>
      <c r="O114" s="16">
        <v>17655</v>
      </c>
      <c r="P114" s="16">
        <v>19603</v>
      </c>
      <c r="Q114" s="16">
        <f t="shared" si="11"/>
        <v>8906</v>
      </c>
      <c r="R114" s="29">
        <f t="shared" si="6"/>
        <v>240</v>
      </c>
      <c r="S114" s="72">
        <f t="shared" si="7"/>
        <v>1.3396448239589135E-2</v>
      </c>
      <c r="T114" s="62">
        <f t="shared" si="8"/>
        <v>2.2831243646221619E-2</v>
      </c>
    </row>
    <row r="115" spans="1:20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16">
        <f t="shared" si="5"/>
        <v>972</v>
      </c>
      <c r="G115" s="194">
        <v>14788</v>
      </c>
      <c r="H115" s="4">
        <v>457</v>
      </c>
      <c r="I115" s="4">
        <v>9258</v>
      </c>
      <c r="J115" s="4">
        <v>309601</v>
      </c>
      <c r="K115" s="21">
        <v>832.92800000001444</v>
      </c>
      <c r="L115" s="21">
        <v>207399.07199999999</v>
      </c>
      <c r="M115" s="1">
        <v>208232</v>
      </c>
      <c r="N115" s="11">
        <v>1060</v>
      </c>
      <c r="O115" s="11">
        <v>18460</v>
      </c>
      <c r="P115" s="11">
        <v>20816</v>
      </c>
      <c r="Q115" s="16">
        <f t="shared" si="11"/>
        <v>9515</v>
      </c>
      <c r="R115" s="29">
        <f t="shared" si="6"/>
        <v>972</v>
      </c>
      <c r="S115" s="72">
        <f t="shared" si="7"/>
        <v>1.3462161604854627E-2</v>
      </c>
      <c r="T115" s="62">
        <f t="shared" si="8"/>
        <v>2.2386712402960824E-2</v>
      </c>
    </row>
    <row r="116" spans="1:20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16">
        <f t="shared" si="5"/>
        <v>3628</v>
      </c>
      <c r="G116" s="194">
        <v>18416</v>
      </c>
      <c r="H116" s="4">
        <v>472</v>
      </c>
      <c r="I116" s="4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6">
        <f t="shared" si="11"/>
        <v>10116</v>
      </c>
      <c r="R116" s="29">
        <f t="shared" si="6"/>
        <v>3628</v>
      </c>
      <c r="S116" s="72">
        <f t="shared" si="7"/>
        <v>1.4350430208871728E-2</v>
      </c>
      <c r="T116" s="62">
        <f t="shared" si="8"/>
        <v>2.1922717654459842E-2</v>
      </c>
    </row>
    <row r="117" spans="1:20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16">
        <f t="shared" si="5"/>
        <v>727</v>
      </c>
      <c r="G117" s="194">
        <v>19143</v>
      </c>
      <c r="H117" s="4">
        <v>507</v>
      </c>
      <c r="I117" s="4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2">
        <v>1061</v>
      </c>
      <c r="O117" s="12">
        <v>20095</v>
      </c>
      <c r="P117" s="12">
        <v>23464</v>
      </c>
      <c r="Q117" s="16">
        <f t="shared" si="11"/>
        <v>10723</v>
      </c>
      <c r="R117" s="29">
        <f t="shared" si="6"/>
        <v>727</v>
      </c>
      <c r="S117" s="72">
        <f t="shared" si="7"/>
        <v>1.4479095270733379E-2</v>
      </c>
      <c r="T117" s="62">
        <f t="shared" si="8"/>
        <v>2.1393852881123176E-2</v>
      </c>
    </row>
    <row r="118" spans="1:20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16">
        <f t="shared" si="5"/>
        <v>991</v>
      </c>
      <c r="G118" s="194">
        <v>20134</v>
      </c>
      <c r="H118" s="4">
        <v>542</v>
      </c>
      <c r="I118" s="4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2">
        <v>1062</v>
      </c>
      <c r="O118" s="4">
        <v>20807</v>
      </c>
      <c r="P118" s="4">
        <v>24743</v>
      </c>
      <c r="Q118" s="16">
        <f t="shared" si="11"/>
        <v>11132</v>
      </c>
      <c r="R118" s="29">
        <f t="shared" si="6"/>
        <v>991</v>
      </c>
      <c r="S118" s="72">
        <f t="shared" si="7"/>
        <v>1.4888882784385903E-2</v>
      </c>
      <c r="T118" s="62">
        <f t="shared" si="8"/>
        <v>2.090260459961208E-2</v>
      </c>
    </row>
    <row r="119" spans="1:20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16">
        <f t="shared" si="5"/>
        <v>1004</v>
      </c>
      <c r="G119" s="194">
        <v>21138</v>
      </c>
      <c r="H119" s="4">
        <v>535</v>
      </c>
      <c r="I119" s="4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6">
        <f t="shared" si="11"/>
        <v>11671</v>
      </c>
      <c r="R119" s="29">
        <f t="shared" si="6"/>
        <v>1004</v>
      </c>
      <c r="S119" s="72">
        <f t="shared" si="7"/>
        <v>1.4243118044832543E-2</v>
      </c>
      <c r="T119" s="62">
        <f t="shared" si="8"/>
        <v>2.057297315335458E-2</v>
      </c>
    </row>
    <row r="120" spans="1:20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16">
        <f t="shared" si="5"/>
        <v>890</v>
      </c>
      <c r="G120" s="194">
        <v>22028</v>
      </c>
      <c r="H120" s="4">
        <v>555</v>
      </c>
      <c r="I120" s="4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6">
        <f t="shared" si="11"/>
        <v>11587</v>
      </c>
      <c r="R120" s="29">
        <f t="shared" si="6"/>
        <v>890</v>
      </c>
      <c r="S120" s="72">
        <f t="shared" si="7"/>
        <v>1.4245745527349264E-2</v>
      </c>
      <c r="T120" s="62">
        <f t="shared" si="8"/>
        <v>2.0572364617460013E-2</v>
      </c>
    </row>
    <row r="121" spans="1:20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16">
        <f t="shared" si="5"/>
        <v>1012</v>
      </c>
      <c r="G121" s="194">
        <v>23040</v>
      </c>
      <c r="H121" s="4">
        <v>576</v>
      </c>
      <c r="I121" s="4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6">
        <v>1065</v>
      </c>
      <c r="O121" s="4">
        <v>23565</v>
      </c>
      <c r="P121" s="16">
        <v>28732</v>
      </c>
      <c r="Q121" s="16">
        <f t="shared" si="11"/>
        <v>11168</v>
      </c>
      <c r="R121" s="29">
        <f t="shared" si="6"/>
        <v>1012</v>
      </c>
      <c r="S121" s="72">
        <f t="shared" si="7"/>
        <v>1.4334420028370206E-2</v>
      </c>
      <c r="T121" s="62">
        <f t="shared" si="8"/>
        <v>2.0254145358747869E-2</v>
      </c>
    </row>
    <row r="122" spans="1:20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16">
        <f t="shared" si="5"/>
        <v>1146</v>
      </c>
      <c r="G122" s="194">
        <v>24186</v>
      </c>
      <c r="H122" s="4">
        <v>594</v>
      </c>
      <c r="I122" s="4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2">
        <v>1066</v>
      </c>
      <c r="O122" s="12">
        <v>24124</v>
      </c>
      <c r="P122" s="12">
        <v>30493</v>
      </c>
      <c r="Q122" s="16">
        <f t="shared" si="11"/>
        <v>11514</v>
      </c>
      <c r="R122" s="29">
        <f t="shared" si="6"/>
        <v>1146</v>
      </c>
      <c r="S122" s="72">
        <f t="shared" si="7"/>
        <v>1.4258281325012001E-2</v>
      </c>
      <c r="T122" s="62">
        <f t="shared" si="8"/>
        <v>2.0105064214176228E-2</v>
      </c>
    </row>
    <row r="123" spans="1:20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16">
        <f t="shared" si="5"/>
        <v>1038</v>
      </c>
      <c r="G123" s="194">
        <v>25224</v>
      </c>
      <c r="H123" s="4">
        <v>620</v>
      </c>
      <c r="I123" s="4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6">
        <f t="shared" si="11"/>
        <v>11761</v>
      </c>
      <c r="R123" s="29">
        <f t="shared" si="6"/>
        <v>1038</v>
      </c>
      <c r="S123" s="72">
        <f t="shared" si="7"/>
        <v>1.4308132557924859E-2</v>
      </c>
      <c r="T123" s="62">
        <f t="shared" si="8"/>
        <v>1.9802404884116612E-2</v>
      </c>
    </row>
    <row r="124" spans="1:20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16">
        <f t="shared" si="5"/>
        <v>706</v>
      </c>
      <c r="G124" s="194">
        <v>25930</v>
      </c>
      <c r="H124" s="1">
        <v>637</v>
      </c>
      <c r="I124" s="4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2">
        <v>1068</v>
      </c>
      <c r="O124" s="12">
        <v>25848</v>
      </c>
      <c r="P124" s="12">
        <v>33867</v>
      </c>
      <c r="Q124" s="16">
        <f t="shared" si="11"/>
        <v>12003</v>
      </c>
      <c r="R124" s="29">
        <f t="shared" si="6"/>
        <v>706</v>
      </c>
      <c r="S124" s="72">
        <f t="shared" si="7"/>
        <v>1.4024967524604241E-2</v>
      </c>
      <c r="T124" s="62">
        <f t="shared" si="8"/>
        <v>1.9742807682796144E-2</v>
      </c>
    </row>
    <row r="125" spans="1:20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16">
        <f t="shared" si="5"/>
        <v>1667</v>
      </c>
      <c r="G125" s="194">
        <v>27597</v>
      </c>
      <c r="H125" s="1">
        <v>658</v>
      </c>
      <c r="I125" s="4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6">
        <f>C125-P125-O125-N125</f>
        <v>12573</v>
      </c>
      <c r="R125" s="29">
        <f t="shared" si="6"/>
        <v>1667</v>
      </c>
      <c r="S125" s="72">
        <f t="shared" si="7"/>
        <v>1.4212276988206833E-2</v>
      </c>
      <c r="T125" s="62">
        <f t="shared" si="8"/>
        <v>1.9648163871789429E-2</v>
      </c>
    </row>
    <row r="126" spans="1:20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16">
        <f t="shared" si="5"/>
        <v>934</v>
      </c>
      <c r="G126" s="194">
        <v>28531</v>
      </c>
      <c r="H126" s="1">
        <v>676</v>
      </c>
      <c r="I126" s="4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2">
        <v>1072</v>
      </c>
      <c r="O126" s="12">
        <v>27239</v>
      </c>
      <c r="P126" s="12">
        <v>36235</v>
      </c>
      <c r="Q126" s="4">
        <f>77815-P126-O126-N126</f>
        <v>13269</v>
      </c>
      <c r="R126" s="29">
        <f t="shared" si="6"/>
        <v>934</v>
      </c>
      <c r="S126" s="72">
        <f t="shared" si="7"/>
        <v>1.4149067542960001E-2</v>
      </c>
      <c r="T126" s="62">
        <f t="shared" si="8"/>
        <v>1.9366446057957978E-2</v>
      </c>
    </row>
    <row r="127" spans="1:20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16">
        <f t="shared" si="5"/>
        <v>1564</v>
      </c>
      <c r="G127" s="194">
        <v>30095</v>
      </c>
      <c r="H127" s="1">
        <v>688</v>
      </c>
      <c r="I127" s="4">
        <v>8487</v>
      </c>
      <c r="J127" s="19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9">
        <f t="shared" si="6"/>
        <v>1564</v>
      </c>
      <c r="S127" s="72">
        <f t="shared" si="7"/>
        <v>1.41070330120976E-2</v>
      </c>
      <c r="T127" s="62">
        <f t="shared" si="8"/>
        <v>1.966512113565453E-2</v>
      </c>
    </row>
    <row r="128" spans="1:20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16">
        <f t="shared" si="5"/>
        <v>6407</v>
      </c>
      <c r="G128" s="194">
        <v>36502</v>
      </c>
      <c r="H128" s="4">
        <v>646</v>
      </c>
      <c r="I128" s="4">
        <v>9805</v>
      </c>
      <c r="J128" s="19">
        <v>423782</v>
      </c>
      <c r="K128" s="7">
        <v>803</v>
      </c>
      <c r="L128" s="7">
        <v>266938</v>
      </c>
      <c r="M128" s="4">
        <v>267741</v>
      </c>
      <c r="N128" s="12">
        <v>1074</v>
      </c>
      <c r="O128" s="12">
        <v>28792</v>
      </c>
      <c r="P128" s="12">
        <v>39718</v>
      </c>
      <c r="Q128" s="4">
        <f>83426-P128-O128-N128</f>
        <v>13842</v>
      </c>
      <c r="R128" s="29">
        <f t="shared" si="6"/>
        <v>6407</v>
      </c>
      <c r="S128" s="72">
        <f t="shared" si="7"/>
        <v>1.4266784452296819E-2</v>
      </c>
      <c r="T128" s="62">
        <f t="shared" si="8"/>
        <v>1.9706086831443436E-2</v>
      </c>
    </row>
    <row r="129" spans="1:20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16">
        <f t="shared" si="5"/>
        <v>1811</v>
      </c>
      <c r="G129" s="194">
        <v>38313</v>
      </c>
      <c r="H129" s="4">
        <v>671</v>
      </c>
      <c r="I129" s="4">
        <v>10910</v>
      </c>
      <c r="J129" s="19">
        <v>434692</v>
      </c>
      <c r="K129" s="7">
        <v>819</v>
      </c>
      <c r="L129" s="7">
        <v>272349</v>
      </c>
      <c r="M129" s="4">
        <v>273168</v>
      </c>
      <c r="N129" s="12">
        <v>1074</v>
      </c>
      <c r="O129" s="12">
        <v>29747</v>
      </c>
      <c r="P129" s="12">
        <v>41495</v>
      </c>
      <c r="Q129" s="4">
        <f>87030-P129-O129-N129</f>
        <v>14714</v>
      </c>
      <c r="R129" s="29">
        <f t="shared" si="6"/>
        <v>1811</v>
      </c>
      <c r="S129" s="72">
        <f t="shared" si="7"/>
        <v>1.4269916209433882E-2</v>
      </c>
      <c r="T129" s="62">
        <f t="shared" si="8"/>
        <v>1.9476042743881421E-2</v>
      </c>
    </row>
    <row r="130" spans="1:20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16">
        <f t="shared" si="5"/>
        <v>671</v>
      </c>
      <c r="G130" s="194">
        <v>38984</v>
      </c>
      <c r="H130" s="4">
        <v>662</v>
      </c>
      <c r="I130" s="4">
        <v>11041</v>
      </c>
      <c r="J130" s="19">
        <v>445733</v>
      </c>
      <c r="K130" s="7">
        <v>836</v>
      </c>
      <c r="L130" s="7">
        <v>277811</v>
      </c>
      <c r="M130" s="4">
        <v>278647</v>
      </c>
      <c r="N130" s="12">
        <v>1076</v>
      </c>
      <c r="O130" s="12">
        <v>30597</v>
      </c>
      <c r="P130" s="12">
        <v>43374</v>
      </c>
      <c r="Q130" s="4">
        <f>90693-P130-O130-N130</f>
        <v>15646</v>
      </c>
      <c r="R130" s="29">
        <f t="shared" si="6"/>
        <v>671</v>
      </c>
      <c r="S130" s="72">
        <f t="shared" si="7"/>
        <v>1.3243178362807074E-2</v>
      </c>
      <c r="T130" s="62">
        <f t="shared" si="8"/>
        <v>1.8976106204447972E-2</v>
      </c>
    </row>
    <row r="131" spans="1:20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16">
        <f t="shared" ref="F131:F194" si="12">G131-G130</f>
        <v>2424</v>
      </c>
      <c r="G131" s="194">
        <v>41408</v>
      </c>
      <c r="H131" s="4">
        <v>686</v>
      </c>
      <c r="I131" s="4">
        <v>10309</v>
      </c>
      <c r="J131" s="19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9">
        <f t="shared" si="6"/>
        <v>2424</v>
      </c>
      <c r="S131" s="72">
        <f t="shared" si="7"/>
        <v>1.3483499420170214E-2</v>
      </c>
      <c r="T131" s="62">
        <f t="shared" si="8"/>
        <v>1.8870933446736127E-2</v>
      </c>
    </row>
    <row r="132" spans="1:20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16">
        <f t="shared" si="12"/>
        <v>1286</v>
      </c>
      <c r="G132" s="194">
        <v>42694</v>
      </c>
      <c r="H132" s="4">
        <v>701</v>
      </c>
      <c r="I132" s="4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2">
        <v>1080</v>
      </c>
      <c r="O132" s="12">
        <v>32616</v>
      </c>
      <c r="P132" s="12">
        <v>46824</v>
      </c>
      <c r="Q132" s="12">
        <v>16989</v>
      </c>
      <c r="R132" s="29">
        <f t="shared" si="6"/>
        <v>1286</v>
      </c>
      <c r="S132" s="72">
        <f t="shared" si="7"/>
        <v>1.3225416949664176E-2</v>
      </c>
      <c r="T132" s="62">
        <f t="shared" si="8"/>
        <v>1.8572644576398074E-2</v>
      </c>
    </row>
    <row r="133" spans="1:20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16">
        <f t="shared" si="12"/>
        <v>1479</v>
      </c>
      <c r="G133" s="194">
        <v>44173</v>
      </c>
      <c r="H133" s="4">
        <v>735</v>
      </c>
      <c r="I133" s="4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2">
        <v>1081</v>
      </c>
      <c r="O133" s="12">
        <v>33376</v>
      </c>
      <c r="P133" s="12">
        <v>48213</v>
      </c>
      <c r="Q133" s="4">
        <f>100166-P133-O133-N133</f>
        <v>17496</v>
      </c>
      <c r="R133" s="29">
        <f t="shared" si="6"/>
        <v>1479</v>
      </c>
      <c r="S133" s="72">
        <f t="shared" si="7"/>
        <v>1.3573908546945408E-2</v>
      </c>
      <c r="T133" s="62">
        <f t="shared" si="8"/>
        <v>1.8419423756564104E-2</v>
      </c>
    </row>
    <row r="134" spans="1:20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16">
        <f t="shared" si="12"/>
        <v>1294</v>
      </c>
      <c r="G134" s="194">
        <v>45467</v>
      </c>
      <c r="H134" s="4">
        <v>752</v>
      </c>
      <c r="I134" s="4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9">
        <f t="shared" ref="R134:R197" si="13">G134-G133</f>
        <v>1294</v>
      </c>
      <c r="S134" s="72">
        <f t="shared" si="7"/>
        <v>1.3453797298506128E-2</v>
      </c>
      <c r="T134" s="62">
        <f t="shared" si="8"/>
        <v>1.8428315498958989E-2</v>
      </c>
    </row>
    <row r="135" spans="1:20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16">
        <f t="shared" si="12"/>
        <v>1831</v>
      </c>
      <c r="G135" s="194">
        <v>47298</v>
      </c>
      <c r="H135" s="4">
        <v>772</v>
      </c>
      <c r="I135" s="4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9">
        <f t="shared" si="13"/>
        <v>1831</v>
      </c>
      <c r="S135" s="72">
        <f t="shared" si="7"/>
        <v>1.3392547359655818E-2</v>
      </c>
      <c r="T135" s="62">
        <f t="shared" si="8"/>
        <v>1.840800673463661E-2</v>
      </c>
    </row>
    <row r="136" spans="1:20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16">
        <f t="shared" si="12"/>
        <v>1822</v>
      </c>
      <c r="G136" s="194">
        <v>49120</v>
      </c>
      <c r="H136" s="4">
        <v>783</v>
      </c>
      <c r="I136" s="4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9">
        <f t="shared" si="13"/>
        <v>1822</v>
      </c>
      <c r="S136" s="72">
        <f t="shared" si="7"/>
        <v>1.3052175362560427E-2</v>
      </c>
      <c r="T136" s="62">
        <f t="shared" si="8"/>
        <v>1.8441885570349047E-2</v>
      </c>
    </row>
    <row r="137" spans="1:20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16">
        <f t="shared" si="12"/>
        <v>660</v>
      </c>
      <c r="G137" s="194">
        <v>49780</v>
      </c>
      <c r="H137" s="7">
        <v>793</v>
      </c>
      <c r="I137" s="7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9">
        <f t="shared" si="13"/>
        <v>660</v>
      </c>
      <c r="S137" s="72">
        <f t="shared" si="7"/>
        <v>1.2609117361784675E-2</v>
      </c>
      <c r="T137" s="62">
        <f t="shared" si="8"/>
        <v>1.8399937272941116E-2</v>
      </c>
    </row>
    <row r="138" spans="1:20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16">
        <f t="shared" si="12"/>
        <v>0</v>
      </c>
      <c r="G138" s="194">
        <v>49780</v>
      </c>
      <c r="H138" s="7">
        <v>823</v>
      </c>
      <c r="I138" s="7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9">
        <f t="shared" si="13"/>
        <v>0</v>
      </c>
      <c r="S138" s="72">
        <f t="shared" si="7"/>
        <v>1.2221017774675913E-2</v>
      </c>
      <c r="T138" s="62">
        <f t="shared" si="8"/>
        <v>1.825634319913496E-2</v>
      </c>
    </row>
    <row r="139" spans="1:20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16">
        <f t="shared" si="12"/>
        <v>2827</v>
      </c>
      <c r="G139" s="194">
        <v>52607</v>
      </c>
      <c r="H139" s="7">
        <v>824</v>
      </c>
      <c r="I139" s="40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9">
        <f t="shared" si="13"/>
        <v>2827</v>
      </c>
      <c r="S139" s="72">
        <f t="shared" si="7"/>
        <v>1.2157157821744199E-2</v>
      </c>
      <c r="T139" s="62">
        <f t="shared" si="8"/>
        <v>1.8106781071073195E-2</v>
      </c>
    </row>
    <row r="140" spans="1:20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16">
        <f t="shared" si="12"/>
        <v>3306</v>
      </c>
      <c r="G140" s="194">
        <v>55913</v>
      </c>
      <c r="H140" s="4">
        <v>842</v>
      </c>
      <c r="I140" s="19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9">
        <f t="shared" si="13"/>
        <v>3306</v>
      </c>
      <c r="S140" s="72">
        <f t="shared" si="7"/>
        <v>1.2262612140277292E-2</v>
      </c>
      <c r="T140" s="62">
        <f t="shared" si="8"/>
        <v>1.7818144547726608E-2</v>
      </c>
    </row>
    <row r="141" spans="1:20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4">E140+D141</f>
        <v>2373</v>
      </c>
      <c r="F141" s="16">
        <f t="shared" si="12"/>
        <v>2685</v>
      </c>
      <c r="G141" s="194">
        <v>58598</v>
      </c>
      <c r="H141" s="4">
        <v>853</v>
      </c>
      <c r="I141" s="4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9">
        <f t="shared" si="13"/>
        <v>2685</v>
      </c>
      <c r="S141" s="72">
        <f t="shared" si="7"/>
        <v>1.2220105153073649E-2</v>
      </c>
      <c r="T141" s="62">
        <f t="shared" si="8"/>
        <v>1.8145808799914356E-2</v>
      </c>
    </row>
    <row r="142" spans="1:20" x14ac:dyDescent="0.25">
      <c r="A142" s="2">
        <v>44033</v>
      </c>
      <c r="B142" s="16">
        <v>5344</v>
      </c>
      <c r="C142" s="7">
        <f t="shared" ref="C142:C154" si="15">C141+B142</f>
        <v>136118</v>
      </c>
      <c r="D142" s="4">
        <v>117</v>
      </c>
      <c r="E142" s="7">
        <f t="shared" si="14"/>
        <v>2490</v>
      </c>
      <c r="F142" s="16">
        <f t="shared" si="12"/>
        <v>1933</v>
      </c>
      <c r="G142" s="194">
        <v>60531</v>
      </c>
      <c r="H142" s="4">
        <v>890</v>
      </c>
      <c r="I142" s="41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9">
        <f t="shared" si="13"/>
        <v>1933</v>
      </c>
      <c r="S142" s="72">
        <f t="shared" ref="S142:S147" si="16">H142/(C142-E142-G142)</f>
        <v>1.2175602281899393E-2</v>
      </c>
      <c r="T142" s="62">
        <f t="shared" si="8"/>
        <v>1.8292951703668875E-2</v>
      </c>
    </row>
    <row r="143" spans="1:20" x14ac:dyDescent="0.25">
      <c r="A143" s="2">
        <v>44034</v>
      </c>
      <c r="B143" s="16">
        <v>5782</v>
      </c>
      <c r="C143" s="7">
        <f t="shared" si="15"/>
        <v>141900</v>
      </c>
      <c r="D143" s="4">
        <v>98</v>
      </c>
      <c r="E143" s="7">
        <f t="shared" si="14"/>
        <v>2588</v>
      </c>
      <c r="F143" s="16">
        <f t="shared" si="12"/>
        <v>2284</v>
      </c>
      <c r="G143" s="194">
        <v>62815</v>
      </c>
      <c r="H143" s="4">
        <v>902</v>
      </c>
      <c r="I143" s="41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9">
        <f t="shared" si="13"/>
        <v>2284</v>
      </c>
      <c r="S143" s="72">
        <f t="shared" si="16"/>
        <v>1.1791312077597814E-2</v>
      </c>
      <c r="T143" s="62">
        <f t="shared" ref="T143:T196" si="17">E143/C143</f>
        <v>1.8238195912614517E-2</v>
      </c>
    </row>
    <row r="144" spans="1:20" x14ac:dyDescent="0.25">
      <c r="A144" s="2">
        <v>44035</v>
      </c>
      <c r="B144" s="43">
        <v>6127</v>
      </c>
      <c r="C144" s="7">
        <f t="shared" si="15"/>
        <v>148027</v>
      </c>
      <c r="D144" s="4">
        <f>29+85</f>
        <v>114</v>
      </c>
      <c r="E144" s="7">
        <f t="shared" si="14"/>
        <v>2702</v>
      </c>
      <c r="F144" s="16">
        <f t="shared" si="12"/>
        <v>2632</v>
      </c>
      <c r="G144" s="194">
        <v>65447</v>
      </c>
      <c r="H144" s="4">
        <v>913</v>
      </c>
      <c r="I144" s="12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9">
        <f t="shared" si="13"/>
        <v>2632</v>
      </c>
      <c r="S144" s="72">
        <f t="shared" si="16"/>
        <v>1.1429930644232455E-2</v>
      </c>
      <c r="T144" s="62">
        <f t="shared" si="17"/>
        <v>1.8253426739716402E-2</v>
      </c>
    </row>
    <row r="145" spans="1:22" x14ac:dyDescent="0.25">
      <c r="A145" s="2">
        <v>44036</v>
      </c>
      <c r="B145" s="4">
        <v>5493</v>
      </c>
      <c r="C145" s="7">
        <f t="shared" si="15"/>
        <v>153520</v>
      </c>
      <c r="D145" s="4">
        <f>20+85</f>
        <v>105</v>
      </c>
      <c r="E145" s="7">
        <f t="shared" si="14"/>
        <v>2807</v>
      </c>
      <c r="F145" s="16">
        <f t="shared" si="12"/>
        <v>2575</v>
      </c>
      <c r="G145" s="194">
        <v>68022</v>
      </c>
      <c r="H145" s="4">
        <v>955</v>
      </c>
      <c r="I145" s="19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9">
        <f t="shared" si="13"/>
        <v>2575</v>
      </c>
      <c r="S145" s="72">
        <f t="shared" si="16"/>
        <v>1.1549019844964991E-2</v>
      </c>
      <c r="T145" s="62">
        <f t="shared" si="17"/>
        <v>1.8284262636789995E-2</v>
      </c>
    </row>
    <row r="146" spans="1:22" x14ac:dyDescent="0.25">
      <c r="A146" s="2">
        <v>44037</v>
      </c>
      <c r="B146" s="4">
        <v>4814</v>
      </c>
      <c r="C146" s="7">
        <f t="shared" si="15"/>
        <v>158334</v>
      </c>
      <c r="D146" s="4">
        <v>86</v>
      </c>
      <c r="E146" s="7">
        <f t="shared" si="14"/>
        <v>2893</v>
      </c>
      <c r="F146" s="16">
        <f t="shared" si="12"/>
        <v>2496</v>
      </c>
      <c r="G146" s="194">
        <v>70518</v>
      </c>
      <c r="H146" s="4">
        <v>980</v>
      </c>
      <c r="I146" s="4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9">
        <f t="shared" si="13"/>
        <v>2496</v>
      </c>
      <c r="S146" s="72">
        <f t="shared" si="16"/>
        <v>1.1539865525240512E-2</v>
      </c>
      <c r="T146" s="62">
        <f t="shared" si="17"/>
        <v>1.8271502014728359E-2</v>
      </c>
    </row>
    <row r="147" spans="1:22" x14ac:dyDescent="0.25">
      <c r="A147" s="2">
        <v>44038</v>
      </c>
      <c r="B147" s="4">
        <v>4192</v>
      </c>
      <c r="C147" s="7">
        <f t="shared" si="15"/>
        <v>162526</v>
      </c>
      <c r="D147" s="4">
        <v>45</v>
      </c>
      <c r="E147" s="7">
        <f>E146+D147</f>
        <v>2938</v>
      </c>
      <c r="F147" s="16">
        <f t="shared" si="12"/>
        <v>2057</v>
      </c>
      <c r="G147" s="194">
        <v>72575</v>
      </c>
      <c r="H147" s="4">
        <v>993</v>
      </c>
      <c r="I147" s="4">
        <v>10870</v>
      </c>
      <c r="J147" s="19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9">
        <f t="shared" si="13"/>
        <v>2057</v>
      </c>
      <c r="S147" s="72">
        <f t="shared" si="16"/>
        <v>1.1412087848942112E-2</v>
      </c>
      <c r="T147" s="62">
        <f t="shared" si="17"/>
        <v>1.8077107662773956E-2</v>
      </c>
    </row>
    <row r="148" spans="1:22" x14ac:dyDescent="0.25">
      <c r="A148" s="73">
        <v>44039</v>
      </c>
      <c r="B148" s="4">
        <v>4890</v>
      </c>
      <c r="C148" s="7">
        <f t="shared" si="15"/>
        <v>167416</v>
      </c>
      <c r="D148" s="7">
        <f>17+104</f>
        <v>121</v>
      </c>
      <c r="E148" s="7">
        <f>E147+D148</f>
        <v>3059</v>
      </c>
      <c r="F148" s="16">
        <f t="shared" si="12"/>
        <v>2508</v>
      </c>
      <c r="G148" s="194">
        <v>75083</v>
      </c>
      <c r="H148" s="4">
        <v>1002</v>
      </c>
      <c r="I148" s="4">
        <v>12398</v>
      </c>
      <c r="J148" s="19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9">
        <f t="shared" si="13"/>
        <v>2508</v>
      </c>
      <c r="S148" s="72">
        <f t="shared" ref="S148:S160" si="18">H148/(C148-E148-G148)</f>
        <v>1.1223872572081458E-2</v>
      </c>
      <c r="T148" s="62">
        <f t="shared" si="17"/>
        <v>1.8271849763463469E-2</v>
      </c>
    </row>
    <row r="149" spans="1:22" x14ac:dyDescent="0.25">
      <c r="A149" s="2">
        <v>44040</v>
      </c>
      <c r="B149" s="4">
        <v>5939</v>
      </c>
      <c r="C149" s="7">
        <f t="shared" si="15"/>
        <v>173355</v>
      </c>
      <c r="D149" s="7">
        <f>23+97</f>
        <v>120</v>
      </c>
      <c r="E149" s="7">
        <v>3178</v>
      </c>
      <c r="F149" s="16">
        <f t="shared" si="12"/>
        <v>2772</v>
      </c>
      <c r="G149" s="194">
        <v>77855</v>
      </c>
      <c r="H149" s="4">
        <v>1024</v>
      </c>
      <c r="I149" s="4">
        <v>14899</v>
      </c>
      <c r="J149" s="19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9">
        <f t="shared" si="13"/>
        <v>2772</v>
      </c>
      <c r="S149" s="72">
        <f t="shared" si="18"/>
        <v>1.1091614133142696E-2</v>
      </c>
      <c r="T149" s="62">
        <f t="shared" si="17"/>
        <v>1.8332323844134867E-2</v>
      </c>
    </row>
    <row r="150" spans="1:22" x14ac:dyDescent="0.25">
      <c r="A150" s="2">
        <v>44041</v>
      </c>
      <c r="B150" s="7">
        <v>5641</v>
      </c>
      <c r="C150" s="7">
        <f t="shared" si="15"/>
        <v>178996</v>
      </c>
      <c r="D150" s="4">
        <v>110</v>
      </c>
      <c r="E150" s="7">
        <f>E149+D150</f>
        <v>3288</v>
      </c>
      <c r="F150" s="16">
        <f t="shared" si="12"/>
        <v>2741</v>
      </c>
      <c r="G150" s="194">
        <v>80596</v>
      </c>
      <c r="H150" s="4">
        <v>1057</v>
      </c>
      <c r="I150" s="4">
        <v>15812</v>
      </c>
      <c r="J150" s="19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9">
        <f t="shared" si="13"/>
        <v>2741</v>
      </c>
      <c r="S150" s="72">
        <f t="shared" si="18"/>
        <v>1.1113213895197241E-2</v>
      </c>
      <c r="T150" s="62">
        <f t="shared" si="17"/>
        <v>1.8369125567051777E-2</v>
      </c>
    </row>
    <row r="151" spans="1:22" x14ac:dyDescent="0.25">
      <c r="A151" s="2">
        <v>44042</v>
      </c>
      <c r="B151" s="4">
        <v>6377</v>
      </c>
      <c r="C151" s="7">
        <f t="shared" si="15"/>
        <v>185373</v>
      </c>
      <c r="D151" s="4">
        <f>23+131</f>
        <v>154</v>
      </c>
      <c r="E151" s="7">
        <f>E150+D151</f>
        <v>3442</v>
      </c>
      <c r="F151" s="16">
        <f t="shared" si="12"/>
        <v>3184</v>
      </c>
      <c r="G151" s="194">
        <v>83780</v>
      </c>
      <c r="H151" s="4">
        <v>1076</v>
      </c>
      <c r="I151" s="4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9">
        <f t="shared" si="13"/>
        <v>3184</v>
      </c>
      <c r="S151" s="72">
        <f t="shared" si="18"/>
        <v>1.0962700329084777E-2</v>
      </c>
      <c r="T151" s="62">
        <f t="shared" si="17"/>
        <v>1.8567968366482713E-2</v>
      </c>
    </row>
    <row r="152" spans="1:22" x14ac:dyDescent="0.25">
      <c r="A152" s="2">
        <v>44043</v>
      </c>
      <c r="B152" s="4">
        <v>5929</v>
      </c>
      <c r="C152" s="7">
        <f t="shared" si="15"/>
        <v>191302</v>
      </c>
      <c r="D152" s="4">
        <f>25+77</f>
        <v>102</v>
      </c>
      <c r="E152" s="7">
        <f>E151+D152</f>
        <v>3544</v>
      </c>
      <c r="F152" s="16">
        <f t="shared" si="12"/>
        <v>2719</v>
      </c>
      <c r="G152" s="194">
        <v>86499</v>
      </c>
      <c r="H152" s="4">
        <v>1104</v>
      </c>
      <c r="I152" s="4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9">
        <f t="shared" si="13"/>
        <v>2719</v>
      </c>
      <c r="S152" s="72">
        <f t="shared" si="18"/>
        <v>1.0902734571741771E-2</v>
      </c>
      <c r="T152" s="62">
        <f t="shared" si="17"/>
        <v>1.852568190609612E-2</v>
      </c>
    </row>
    <row r="153" spans="1:22" x14ac:dyDescent="0.25">
      <c r="A153" s="2">
        <v>44044</v>
      </c>
      <c r="B153" s="7">
        <v>5241</v>
      </c>
      <c r="C153" s="7">
        <f t="shared" si="15"/>
        <v>196543</v>
      </c>
      <c r="D153" s="4">
        <f>15+38</f>
        <v>53</v>
      </c>
      <c r="E153" s="7">
        <v>3596</v>
      </c>
      <c r="F153" s="16">
        <f t="shared" si="12"/>
        <v>2527</v>
      </c>
      <c r="G153" s="194">
        <v>89026</v>
      </c>
      <c r="H153" s="4">
        <v>1128</v>
      </c>
      <c r="I153" s="4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9">
        <f t="shared" si="13"/>
        <v>2527</v>
      </c>
      <c r="S153" s="72">
        <f t="shared" si="18"/>
        <v>1.0854399014636118E-2</v>
      </c>
      <c r="T153" s="62">
        <f t="shared" si="17"/>
        <v>1.8296250693232523E-2</v>
      </c>
    </row>
    <row r="154" spans="1:22" x14ac:dyDescent="0.25">
      <c r="A154" s="2">
        <v>44045</v>
      </c>
      <c r="B154" s="4">
        <v>5376</v>
      </c>
      <c r="C154" s="7">
        <f t="shared" si="15"/>
        <v>201919</v>
      </c>
      <c r="D154" s="4">
        <f>15+36</f>
        <v>51</v>
      </c>
      <c r="E154" s="7">
        <f t="shared" ref="E154:E159" si="21">E153+D154</f>
        <v>3647</v>
      </c>
      <c r="F154" s="16">
        <f t="shared" si="12"/>
        <v>2276</v>
      </c>
      <c r="G154" s="194">
        <v>91302</v>
      </c>
      <c r="H154" s="4">
        <v>1112</v>
      </c>
      <c r="I154" s="4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9">
        <f t="shared" si="13"/>
        <v>2276</v>
      </c>
      <c r="S154" s="72">
        <f t="shared" si="18"/>
        <v>1.0395437973263533E-2</v>
      </c>
      <c r="T154" s="62">
        <f t="shared" si="17"/>
        <v>1.8061698007616915E-2</v>
      </c>
    </row>
    <row r="155" spans="1:22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21"/>
        <v>3811</v>
      </c>
      <c r="F155" s="16">
        <f t="shared" si="12"/>
        <v>2827</v>
      </c>
      <c r="G155" s="194">
        <v>94129</v>
      </c>
      <c r="H155" s="4">
        <v>1150</v>
      </c>
      <c r="I155" s="4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9">
        <f t="shared" si="13"/>
        <v>2827</v>
      </c>
      <c r="S155" s="72">
        <f t="shared" si="18"/>
        <v>1.0569561501061552E-2</v>
      </c>
      <c r="T155" s="62">
        <f t="shared" si="17"/>
        <v>1.8433514073027867E-2</v>
      </c>
    </row>
    <row r="156" spans="1:22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21"/>
        <v>3979</v>
      </c>
      <c r="F156" s="16">
        <f t="shared" si="12"/>
        <v>2819</v>
      </c>
      <c r="G156" s="194">
        <v>96948</v>
      </c>
      <c r="H156" s="4">
        <v>1207</v>
      </c>
      <c r="I156" s="4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9">
        <f t="shared" si="13"/>
        <v>2819</v>
      </c>
      <c r="S156" s="72">
        <f t="shared" si="18"/>
        <v>1.0718599033816426E-2</v>
      </c>
      <c r="T156" s="62">
        <f t="shared" si="17"/>
        <v>1.8633947596412764E-2</v>
      </c>
    </row>
    <row r="157" spans="1:22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21"/>
        <v>4106</v>
      </c>
      <c r="F157" s="16">
        <f t="shared" si="12"/>
        <v>2904</v>
      </c>
      <c r="G157" s="194">
        <v>99852</v>
      </c>
      <c r="H157" s="4">
        <v>1219</v>
      </c>
      <c r="I157" s="4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9">
        <f t="shared" si="13"/>
        <v>2904</v>
      </c>
      <c r="S157" s="72">
        <f t="shared" si="18"/>
        <v>1.0443439224152702E-2</v>
      </c>
      <c r="T157" s="62">
        <f t="shared" si="17"/>
        <v>1.8605957894164454E-2</v>
      </c>
    </row>
    <row r="158" spans="1:22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21"/>
        <v>4251</v>
      </c>
      <c r="F158" s="16">
        <f t="shared" si="12"/>
        <v>3445</v>
      </c>
      <c r="G158" s="194">
        <v>103297</v>
      </c>
      <c r="H158" s="4">
        <v>1245</v>
      </c>
      <c r="I158" s="4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29">
        <f t="shared" si="13"/>
        <v>3445</v>
      </c>
      <c r="S158" s="72">
        <f t="shared" si="18"/>
        <v>1.0319361442887101E-2</v>
      </c>
      <c r="T158" s="62">
        <f t="shared" si="17"/>
        <v>1.8628804312101493E-2</v>
      </c>
    </row>
    <row r="159" spans="1:22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21"/>
        <v>4411</v>
      </c>
      <c r="F159" s="16">
        <f t="shared" si="12"/>
        <v>4945</v>
      </c>
      <c r="G159" s="194">
        <v>108242</v>
      </c>
      <c r="H159" s="4">
        <v>1293</v>
      </c>
      <c r="I159" s="4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29">
        <f t="shared" si="13"/>
        <v>4945</v>
      </c>
      <c r="S159" s="72">
        <f t="shared" si="18"/>
        <v>1.0510144362075693E-2</v>
      </c>
      <c r="T159" s="62">
        <f t="shared" si="17"/>
        <v>1.8716293910733758E-2</v>
      </c>
      <c r="V159" s="146"/>
    </row>
    <row r="160" spans="1:22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22">E159+D160</f>
        <v>4523</v>
      </c>
      <c r="F160" s="16">
        <f t="shared" si="12"/>
        <v>61867</v>
      </c>
      <c r="G160" s="194">
        <v>170109</v>
      </c>
      <c r="H160" s="4">
        <v>1502</v>
      </c>
      <c r="I160" s="4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29">
        <f t="shared" si="13"/>
        <v>61867</v>
      </c>
      <c r="S160" s="72">
        <f t="shared" si="18"/>
        <v>2.2358177406630049E-2</v>
      </c>
      <c r="T160" s="62">
        <f t="shared" si="17"/>
        <v>1.870469085360054E-2</v>
      </c>
      <c r="V160" s="146"/>
    </row>
    <row r="161" spans="1:22" x14ac:dyDescent="0.25">
      <c r="A161" s="2">
        <v>44052</v>
      </c>
      <c r="B161" s="12">
        <v>4688</v>
      </c>
      <c r="C161" s="7">
        <f t="shared" ref="C161:C169" si="23">C160+B161</f>
        <v>246499</v>
      </c>
      <c r="D161" s="4">
        <v>83</v>
      </c>
      <c r="E161" s="7">
        <f t="shared" si="22"/>
        <v>4606</v>
      </c>
      <c r="F161" s="16">
        <f t="shared" si="12"/>
        <v>4865</v>
      </c>
      <c r="G161" s="194">
        <v>174974</v>
      </c>
      <c r="H161" s="4">
        <v>1565</v>
      </c>
      <c r="I161" s="4">
        <v>10835</v>
      </c>
      <c r="J161" s="4">
        <v>856055</v>
      </c>
      <c r="K161" s="7">
        <f t="shared" si="19"/>
        <v>966.1020000000135</v>
      </c>
      <c r="L161" s="7">
        <f t="shared" ref="L161:L178" si="24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29">
        <f t="shared" si="13"/>
        <v>4865</v>
      </c>
      <c r="S161" s="72">
        <f>H161/(C161-E161-G161)</f>
        <v>2.3386482165005454E-2</v>
      </c>
      <c r="T161" s="62">
        <f t="shared" si="17"/>
        <v>1.8685674181233999E-2</v>
      </c>
      <c r="V161" s="146"/>
    </row>
    <row r="162" spans="1:22" x14ac:dyDescent="0.25">
      <c r="A162" s="73">
        <v>44053</v>
      </c>
      <c r="B162" s="12">
        <v>7369</v>
      </c>
      <c r="C162" s="7">
        <f t="shared" si="23"/>
        <v>253868</v>
      </c>
      <c r="D162" s="4">
        <f>27+131</f>
        <v>158</v>
      </c>
      <c r="E162" s="7">
        <f t="shared" si="22"/>
        <v>4764</v>
      </c>
      <c r="F162" s="16">
        <f t="shared" si="12"/>
        <v>6424</v>
      </c>
      <c r="G162" s="194">
        <v>181398</v>
      </c>
      <c r="H162" s="4">
        <v>1569</v>
      </c>
      <c r="I162" s="4">
        <v>16588</v>
      </c>
      <c r="J162" s="4">
        <v>872643</v>
      </c>
      <c r="K162" s="7">
        <f t="shared" si="19"/>
        <v>983.05200000002515</v>
      </c>
      <c r="L162" s="7">
        <f t="shared" si="24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29">
        <f t="shared" si="13"/>
        <v>6424</v>
      </c>
      <c r="S162" s="72">
        <f t="shared" ref="S162:S205" si="25">H162/(C162-E162-G162)</f>
        <v>2.3173721679024015E-2</v>
      </c>
      <c r="T162" s="62">
        <f t="shared" si="17"/>
        <v>1.8765657743394205E-2</v>
      </c>
      <c r="V162" s="146"/>
    </row>
    <row r="163" spans="1:22" x14ac:dyDescent="0.25">
      <c r="A163" s="2">
        <v>44054</v>
      </c>
      <c r="B163" s="12">
        <v>7043</v>
      </c>
      <c r="C163" s="7">
        <f t="shared" si="23"/>
        <v>260911</v>
      </c>
      <c r="D163" s="4">
        <f>21+220</f>
        <v>241</v>
      </c>
      <c r="E163" s="7">
        <f t="shared" si="22"/>
        <v>5005</v>
      </c>
      <c r="F163" s="16">
        <f t="shared" si="12"/>
        <v>5885</v>
      </c>
      <c r="G163" s="194">
        <v>187283</v>
      </c>
      <c r="H163" s="4">
        <v>1585</v>
      </c>
      <c r="I163" s="4">
        <v>19174</v>
      </c>
      <c r="J163" s="4">
        <f>J162+I163</f>
        <v>891817</v>
      </c>
      <c r="K163" s="7">
        <f t="shared" si="19"/>
        <v>1003.3040000000037</v>
      </c>
      <c r="L163" s="7">
        <f t="shared" si="24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29">
        <f t="shared" si="13"/>
        <v>5885</v>
      </c>
      <c r="S163" s="72">
        <f t="shared" si="25"/>
        <v>2.3097212304912348E-2</v>
      </c>
      <c r="T163" s="62">
        <f t="shared" si="17"/>
        <v>1.9182786467416092E-2</v>
      </c>
      <c r="V163" s="146"/>
    </row>
    <row r="164" spans="1:22" x14ac:dyDescent="0.25">
      <c r="A164" s="2">
        <v>44055</v>
      </c>
      <c r="B164" s="12">
        <v>7663</v>
      </c>
      <c r="C164" s="7">
        <f t="shared" si="23"/>
        <v>268574</v>
      </c>
      <c r="D164" s="7">
        <f>84+125</f>
        <v>209</v>
      </c>
      <c r="E164" s="7">
        <f t="shared" si="22"/>
        <v>5214</v>
      </c>
      <c r="F164" s="16">
        <f t="shared" si="12"/>
        <v>5151</v>
      </c>
      <c r="G164" s="194">
        <v>192434</v>
      </c>
      <c r="H164" s="4">
        <v>1662</v>
      </c>
      <c r="I164" s="4">
        <v>19779</v>
      </c>
      <c r="J164" s="4">
        <v>911596</v>
      </c>
      <c r="K164" s="7">
        <f t="shared" si="19"/>
        <v>1024.2339999999967</v>
      </c>
      <c r="L164" s="7">
        <f t="shared" si="24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29">
        <f t="shared" si="13"/>
        <v>5151</v>
      </c>
      <c r="S164" s="72">
        <f t="shared" si="25"/>
        <v>2.3432873699348617E-2</v>
      </c>
      <c r="T164" s="62">
        <f t="shared" si="17"/>
        <v>1.9413643911919992E-2</v>
      </c>
      <c r="V164" s="146"/>
    </row>
    <row r="165" spans="1:22" x14ac:dyDescent="0.25">
      <c r="A165" s="2">
        <v>44056</v>
      </c>
      <c r="B165" s="12">
        <v>7498</v>
      </c>
      <c r="C165" s="7">
        <f t="shared" si="23"/>
        <v>276072</v>
      </c>
      <c r="D165" s="7">
        <f>33+116</f>
        <v>149</v>
      </c>
      <c r="E165" s="7">
        <f t="shared" si="22"/>
        <v>5363</v>
      </c>
      <c r="F165" s="16">
        <f t="shared" si="12"/>
        <v>6571</v>
      </c>
      <c r="G165" s="194">
        <v>199005</v>
      </c>
      <c r="H165" s="4">
        <v>1682</v>
      </c>
      <c r="I165" s="4">
        <v>18501</v>
      </c>
      <c r="J165" s="4">
        <v>930097</v>
      </c>
      <c r="K165" s="7">
        <f t="shared" si="19"/>
        <v>1045.8319999999949</v>
      </c>
      <c r="L165" s="7">
        <f t="shared" si="24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29">
        <f t="shared" si="13"/>
        <v>6571</v>
      </c>
      <c r="S165" s="72">
        <f t="shared" si="25"/>
        <v>2.3457547696083901E-2</v>
      </c>
      <c r="T165" s="62">
        <f t="shared" si="17"/>
        <v>1.9426091744182677E-2</v>
      </c>
      <c r="V165" s="146"/>
    </row>
    <row r="166" spans="1:22" x14ac:dyDescent="0.25">
      <c r="A166" s="2">
        <v>44057</v>
      </c>
      <c r="B166" s="34">
        <v>6365</v>
      </c>
      <c r="C166" s="7">
        <f t="shared" si="23"/>
        <v>282437</v>
      </c>
      <c r="D166" s="4">
        <f>66+99</f>
        <v>165</v>
      </c>
      <c r="E166" s="7">
        <f t="shared" ref="E166:E171" si="26">E165+D166</f>
        <v>5528</v>
      </c>
      <c r="F166" s="16">
        <f t="shared" si="12"/>
        <v>6692</v>
      </c>
      <c r="G166" s="194">
        <v>205697</v>
      </c>
      <c r="H166" s="4">
        <v>1718</v>
      </c>
      <c r="I166" s="4">
        <v>19073</v>
      </c>
      <c r="J166" s="4">
        <v>949170</v>
      </c>
      <c r="K166" s="7">
        <f t="shared" si="19"/>
        <v>1066.9579999999842</v>
      </c>
      <c r="L166" s="7">
        <f t="shared" si="24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29">
        <f t="shared" si="13"/>
        <v>6692</v>
      </c>
      <c r="S166" s="72">
        <f t="shared" si="25"/>
        <v>2.4125147447059483E-2</v>
      </c>
      <c r="T166" s="62">
        <f t="shared" si="17"/>
        <v>1.9572506435063395E-2</v>
      </c>
      <c r="V166" s="146"/>
    </row>
    <row r="167" spans="1:22" x14ac:dyDescent="0.25">
      <c r="A167" s="65">
        <v>44058</v>
      </c>
      <c r="B167" s="4">
        <v>6663</v>
      </c>
      <c r="C167" s="7">
        <f t="shared" si="23"/>
        <v>289100</v>
      </c>
      <c r="D167" s="4">
        <f>38+72-1</f>
        <v>109</v>
      </c>
      <c r="E167" s="7">
        <f t="shared" si="26"/>
        <v>5637</v>
      </c>
      <c r="F167" s="16">
        <f t="shared" si="12"/>
        <v>6005</v>
      </c>
      <c r="G167" s="194">
        <v>211702</v>
      </c>
      <c r="H167" s="4">
        <v>1716</v>
      </c>
      <c r="I167" s="4">
        <v>17756</v>
      </c>
      <c r="J167" s="4">
        <f>J166+I167</f>
        <v>966926</v>
      </c>
      <c r="K167" s="7">
        <f t="shared" si="19"/>
        <v>1086.1879999999655</v>
      </c>
      <c r="L167" s="7">
        <f t="shared" si="24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29">
        <f t="shared" si="13"/>
        <v>6005</v>
      </c>
      <c r="S167" s="72">
        <f t="shared" si="25"/>
        <v>2.3912710246512731E-2</v>
      </c>
      <c r="T167" s="62">
        <f t="shared" si="17"/>
        <v>1.9498443445174679E-2</v>
      </c>
      <c r="V167" s="146"/>
    </row>
    <row r="168" spans="1:22" x14ac:dyDescent="0.25">
      <c r="A168" s="65">
        <v>44059</v>
      </c>
      <c r="B168" s="4">
        <v>5469</v>
      </c>
      <c r="C168" s="7">
        <f t="shared" si="23"/>
        <v>294569</v>
      </c>
      <c r="D168" s="4">
        <f>20+46</f>
        <v>66</v>
      </c>
      <c r="E168" s="7">
        <f t="shared" si="26"/>
        <v>5703</v>
      </c>
      <c r="F168" s="16">
        <f t="shared" si="12"/>
        <v>6148</v>
      </c>
      <c r="G168" s="194">
        <v>217850</v>
      </c>
      <c r="H168" s="4">
        <v>1708</v>
      </c>
      <c r="I168" s="4">
        <v>14533</v>
      </c>
      <c r="J168" s="4">
        <v>981459</v>
      </c>
      <c r="K168" s="7">
        <f t="shared" si="19"/>
        <v>1101.25</v>
      </c>
      <c r="L168" s="7">
        <f t="shared" si="24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29">
        <f t="shared" si="13"/>
        <v>6148</v>
      </c>
      <c r="S168" s="72">
        <f t="shared" si="25"/>
        <v>2.4050918102962712E-2</v>
      </c>
      <c r="T168" s="62">
        <f t="shared" si="17"/>
        <v>1.9360489392977537E-2</v>
      </c>
      <c r="V168" s="146"/>
    </row>
    <row r="169" spans="1:22" x14ac:dyDescent="0.25">
      <c r="A169" s="73">
        <v>44060</v>
      </c>
      <c r="B169" s="4">
        <v>4557</v>
      </c>
      <c r="C169" s="7">
        <f t="shared" si="23"/>
        <v>299126</v>
      </c>
      <c r="D169" s="4">
        <f>47+64</f>
        <v>111</v>
      </c>
      <c r="E169" s="7">
        <f t="shared" si="26"/>
        <v>5814</v>
      </c>
      <c r="F169" s="16">
        <f t="shared" si="12"/>
        <v>5681</v>
      </c>
      <c r="G169" s="194">
        <v>223531</v>
      </c>
      <c r="H169" s="47">
        <v>1749</v>
      </c>
      <c r="I169" s="47">
        <v>13483</v>
      </c>
      <c r="J169" s="47">
        <f t="shared" ref="J169:J176" si="27">J168+I169</f>
        <v>994942</v>
      </c>
      <c r="K169" s="7">
        <f t="shared" si="19"/>
        <v>1116.6300000000047</v>
      </c>
      <c r="L169" s="7">
        <f t="shared" si="24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29">
        <f t="shared" si="13"/>
        <v>5681</v>
      </c>
      <c r="S169" s="72">
        <f t="shared" si="25"/>
        <v>2.5064129204224645E-2</v>
      </c>
      <c r="T169" s="62">
        <f t="shared" si="17"/>
        <v>1.9436625368573778E-2</v>
      </c>
      <c r="V169" s="146"/>
    </row>
    <row r="170" spans="1:22" x14ac:dyDescent="0.25">
      <c r="A170" s="2">
        <v>44061</v>
      </c>
      <c r="B170" s="4">
        <v>6840</v>
      </c>
      <c r="C170" s="7">
        <f t="shared" ref="C170:C177" si="28">C169+B170</f>
        <v>305966</v>
      </c>
      <c r="D170" s="4">
        <f>63+170</f>
        <v>233</v>
      </c>
      <c r="E170" s="7">
        <f t="shared" si="26"/>
        <v>6047</v>
      </c>
      <c r="F170" s="16">
        <f t="shared" si="12"/>
        <v>5194</v>
      </c>
      <c r="G170" s="194">
        <v>228725</v>
      </c>
      <c r="H170" s="4">
        <v>1799</v>
      </c>
      <c r="I170" s="4">
        <v>18037</v>
      </c>
      <c r="J170" s="4">
        <f t="shared" si="27"/>
        <v>1012979</v>
      </c>
      <c r="K170" s="7">
        <f t="shared" si="19"/>
        <v>1136.4399999999441</v>
      </c>
      <c r="L170" s="7">
        <f t="shared" si="24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29">
        <f t="shared" si="13"/>
        <v>5194</v>
      </c>
      <c r="S170" s="72">
        <f t="shared" si="25"/>
        <v>2.5268983341292805E-2</v>
      </c>
      <c r="T170" s="62">
        <f t="shared" si="17"/>
        <v>1.9763633867815378E-2</v>
      </c>
      <c r="V170" s="146"/>
    </row>
    <row r="171" spans="1:22" x14ac:dyDescent="0.25">
      <c r="A171" s="2">
        <v>44062</v>
      </c>
      <c r="B171" s="4">
        <v>6693</v>
      </c>
      <c r="C171" s="7">
        <f t="shared" si="28"/>
        <v>312659</v>
      </c>
      <c r="D171" s="4">
        <f>217+66</f>
        <v>283</v>
      </c>
      <c r="E171" s="7">
        <f t="shared" si="26"/>
        <v>6330</v>
      </c>
      <c r="F171" s="16">
        <f t="shared" si="12"/>
        <v>4926</v>
      </c>
      <c r="G171" s="194">
        <v>233651</v>
      </c>
      <c r="H171" s="4">
        <v>1795</v>
      </c>
      <c r="I171" s="4">
        <v>18013</v>
      </c>
      <c r="J171" s="4">
        <f t="shared" si="27"/>
        <v>1030992</v>
      </c>
      <c r="K171" s="7">
        <f t="shared" si="19"/>
        <v>1156.0860000000102</v>
      </c>
      <c r="L171" s="7">
        <f t="shared" si="24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29">
        <f t="shared" si="13"/>
        <v>4926</v>
      </c>
      <c r="S171" s="72">
        <f t="shared" si="25"/>
        <v>2.4697982883403507E-2</v>
      </c>
      <c r="T171" s="62">
        <f t="shared" si="17"/>
        <v>2.0245698988354724E-2</v>
      </c>
      <c r="V171" s="146"/>
    </row>
    <row r="172" spans="1:22" x14ac:dyDescent="0.25">
      <c r="A172" s="2">
        <v>44063</v>
      </c>
      <c r="B172" s="80">
        <v>8225</v>
      </c>
      <c r="C172" s="7">
        <f t="shared" si="28"/>
        <v>320884</v>
      </c>
      <c r="D172" s="4">
        <f>111+75</f>
        <v>186</v>
      </c>
      <c r="E172" s="7">
        <f>E171+D172</f>
        <v>6516</v>
      </c>
      <c r="F172" s="16">
        <f t="shared" si="12"/>
        <v>6155</v>
      </c>
      <c r="G172" s="194">
        <v>239806</v>
      </c>
      <c r="H172" s="4">
        <v>1832</v>
      </c>
      <c r="I172" s="4">
        <v>21695</v>
      </c>
      <c r="J172" s="4">
        <f t="shared" si="27"/>
        <v>1052687</v>
      </c>
      <c r="K172" s="7">
        <f t="shared" si="19"/>
        <v>1178.905999999959</v>
      </c>
      <c r="L172" s="7">
        <f t="shared" si="24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29">
        <f t="shared" si="13"/>
        <v>6155</v>
      </c>
      <c r="S172" s="72">
        <f t="shared" si="25"/>
        <v>2.4570156379925431E-2</v>
      </c>
      <c r="T172" s="62">
        <f t="shared" si="17"/>
        <v>2.0306403560165043E-2</v>
      </c>
      <c r="V172" s="146"/>
    </row>
    <row r="173" spans="1:22" x14ac:dyDescent="0.25">
      <c r="A173" s="2">
        <v>44064</v>
      </c>
      <c r="B173" s="7">
        <v>8159</v>
      </c>
      <c r="C173" s="7">
        <f t="shared" si="28"/>
        <v>329043</v>
      </c>
      <c r="D173" s="4">
        <f>50+164</f>
        <v>214</v>
      </c>
      <c r="E173" s="7">
        <f>E172+D173</f>
        <v>6730</v>
      </c>
      <c r="F173" s="16">
        <f t="shared" si="12"/>
        <v>5975</v>
      </c>
      <c r="G173" s="194">
        <v>245781</v>
      </c>
      <c r="H173" s="47">
        <v>1853</v>
      </c>
      <c r="I173" s="47">
        <v>21032</v>
      </c>
      <c r="J173" s="47">
        <f t="shared" si="27"/>
        <v>1073719</v>
      </c>
      <c r="K173" s="7">
        <f t="shared" si="19"/>
        <v>1201.0119999999879</v>
      </c>
      <c r="L173" s="7">
        <f t="shared" si="24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29">
        <f t="shared" si="13"/>
        <v>5975</v>
      </c>
      <c r="S173" s="72">
        <f t="shared" si="25"/>
        <v>2.4212094287356923E-2</v>
      </c>
      <c r="T173" s="62">
        <f t="shared" si="17"/>
        <v>2.0453253830046529E-2</v>
      </c>
      <c r="V173" s="146"/>
    </row>
    <row r="174" spans="1:22" x14ac:dyDescent="0.25">
      <c r="A174" s="2">
        <v>44065</v>
      </c>
      <c r="B174" s="4">
        <v>7759</v>
      </c>
      <c r="C174" s="7">
        <f t="shared" si="28"/>
        <v>336802</v>
      </c>
      <c r="D174" s="4">
        <v>118</v>
      </c>
      <c r="E174" s="7">
        <f>E173+D174</f>
        <v>6848</v>
      </c>
      <c r="F174" s="16">
        <f t="shared" si="12"/>
        <v>5619</v>
      </c>
      <c r="G174" s="194">
        <v>251400</v>
      </c>
      <c r="H174" s="47">
        <v>1907</v>
      </c>
      <c r="I174" s="47">
        <v>18837</v>
      </c>
      <c r="J174" s="47">
        <f t="shared" si="27"/>
        <v>1092556</v>
      </c>
      <c r="K174" s="7">
        <f t="shared" si="19"/>
        <v>1220.3220000000438</v>
      </c>
      <c r="L174" s="7">
        <f t="shared" si="24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29">
        <f t="shared" si="13"/>
        <v>5619</v>
      </c>
      <c r="S174" s="72">
        <f t="shared" si="25"/>
        <v>2.4276294014308628E-2</v>
      </c>
      <c r="T174" s="62">
        <f t="shared" si="17"/>
        <v>2.0332420828854936E-2</v>
      </c>
      <c r="V174" s="146"/>
    </row>
    <row r="175" spans="1:22" x14ac:dyDescent="0.25">
      <c r="A175" s="2">
        <v>44066</v>
      </c>
      <c r="B175" s="4">
        <v>5352</v>
      </c>
      <c r="C175" s="7">
        <f t="shared" si="28"/>
        <v>342154</v>
      </c>
      <c r="D175" s="4">
        <f>99+37</f>
        <v>136</v>
      </c>
      <c r="E175" s="7">
        <f>E174+D175</f>
        <v>6984</v>
      </c>
      <c r="F175" s="16">
        <f t="shared" si="12"/>
        <v>5389</v>
      </c>
      <c r="G175" s="194">
        <v>256789</v>
      </c>
      <c r="H175" s="4">
        <v>1922</v>
      </c>
      <c r="I175" s="4">
        <v>13322</v>
      </c>
      <c r="J175" s="4">
        <f t="shared" si="27"/>
        <v>1105878</v>
      </c>
      <c r="K175" s="7">
        <f t="shared" si="19"/>
        <v>1234.4039999999804</v>
      </c>
      <c r="L175" s="7">
        <f t="shared" si="24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29">C175-P175-O175-N175</f>
        <v>47516</v>
      </c>
      <c r="R175" s="29">
        <f t="shared" si="13"/>
        <v>5389</v>
      </c>
      <c r="S175" s="72">
        <f t="shared" si="25"/>
        <v>2.4521248772023833E-2</v>
      </c>
      <c r="T175" s="62">
        <f t="shared" si="17"/>
        <v>2.041186132560192E-2</v>
      </c>
      <c r="V175" s="146"/>
    </row>
    <row r="176" spans="1:22" x14ac:dyDescent="0.25">
      <c r="A176" s="73">
        <v>44067</v>
      </c>
      <c r="B176" s="4">
        <v>8713</v>
      </c>
      <c r="C176" s="7">
        <f t="shared" si="28"/>
        <v>350867</v>
      </c>
      <c r="D176" s="4">
        <f>95+286</f>
        <v>381</v>
      </c>
      <c r="E176" s="7">
        <f>D176+E175</f>
        <v>7365</v>
      </c>
      <c r="F176" s="16">
        <f t="shared" si="12"/>
        <v>6413</v>
      </c>
      <c r="G176" s="194">
        <v>263202</v>
      </c>
      <c r="H176" s="4">
        <v>1960</v>
      </c>
      <c r="I176" s="4">
        <v>21220</v>
      </c>
      <c r="J176" s="4">
        <f t="shared" si="27"/>
        <v>1127098</v>
      </c>
      <c r="K176" s="7">
        <f t="shared" si="19"/>
        <v>1256.7859999999637</v>
      </c>
      <c r="L176" s="7">
        <f t="shared" si="24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29"/>
        <v>50739</v>
      </c>
      <c r="R176" s="29">
        <f t="shared" si="13"/>
        <v>6413</v>
      </c>
      <c r="S176" s="72">
        <f t="shared" si="25"/>
        <v>2.4408468244084682E-2</v>
      </c>
      <c r="T176" s="62">
        <f t="shared" si="17"/>
        <v>2.0990859784476738E-2</v>
      </c>
      <c r="V176" s="146"/>
    </row>
    <row r="177" spans="1:22" s="68" customFormat="1" x14ac:dyDescent="0.25">
      <c r="A177" s="2">
        <v>44068</v>
      </c>
      <c r="B177" s="4">
        <v>8771</v>
      </c>
      <c r="C177" s="7">
        <f t="shared" si="28"/>
        <v>359638</v>
      </c>
      <c r="D177" s="4">
        <f>36+162</f>
        <v>198</v>
      </c>
      <c r="E177" s="7">
        <f t="shared" ref="E177:E192" si="30">E176+D177</f>
        <v>7563</v>
      </c>
      <c r="F177" s="16">
        <f t="shared" si="12"/>
        <v>5599</v>
      </c>
      <c r="G177" s="194">
        <v>268801</v>
      </c>
      <c r="H177" s="4">
        <v>1990</v>
      </c>
      <c r="I177" s="4">
        <v>21476</v>
      </c>
      <c r="J177" s="4">
        <f>I177+J176</f>
        <v>1148574</v>
      </c>
      <c r="K177" s="7">
        <f t="shared" si="19"/>
        <v>1278.204000000027</v>
      </c>
      <c r="L177" s="7">
        <f t="shared" si="24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29"/>
        <v>51790</v>
      </c>
      <c r="R177" s="29">
        <f t="shared" si="13"/>
        <v>5599</v>
      </c>
      <c r="S177" s="72">
        <f t="shared" si="25"/>
        <v>2.3897014674448207E-2</v>
      </c>
      <c r="T177" s="62">
        <f t="shared" si="17"/>
        <v>2.1029479643419217E-2</v>
      </c>
      <c r="U177" s="143"/>
      <c r="V177" s="146"/>
    </row>
    <row r="178" spans="1:22" x14ac:dyDescent="0.25">
      <c r="A178" s="2">
        <v>44069</v>
      </c>
      <c r="B178" s="4">
        <v>10550</v>
      </c>
      <c r="C178" s="7">
        <f t="shared" ref="C178:C192" si="31">C177+B178</f>
        <v>370188</v>
      </c>
      <c r="D178" s="4">
        <f>98+178</f>
        <v>276</v>
      </c>
      <c r="E178" s="7">
        <f t="shared" si="30"/>
        <v>7839</v>
      </c>
      <c r="F178" s="16">
        <f t="shared" si="12"/>
        <v>5657</v>
      </c>
      <c r="G178" s="194">
        <v>274458</v>
      </c>
      <c r="H178" s="4">
        <v>2022</v>
      </c>
      <c r="I178" s="4">
        <v>24237</v>
      </c>
      <c r="J178" s="4">
        <f>I178+J177</f>
        <v>1172811</v>
      </c>
      <c r="K178" s="7">
        <f t="shared" si="19"/>
        <v>1301.7900000000373</v>
      </c>
      <c r="L178" s="7">
        <f t="shared" si="24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29"/>
        <v>54117</v>
      </c>
      <c r="R178" s="29">
        <f t="shared" si="13"/>
        <v>5657</v>
      </c>
      <c r="S178" s="72">
        <f t="shared" si="25"/>
        <v>2.300576850872103E-2</v>
      </c>
      <c r="T178" s="62">
        <f t="shared" si="17"/>
        <v>2.1175726927939318E-2</v>
      </c>
      <c r="V178" s="146"/>
    </row>
    <row r="179" spans="1:22" x14ac:dyDescent="0.25">
      <c r="A179" s="2">
        <v>44070</v>
      </c>
      <c r="B179" s="4">
        <v>10104</v>
      </c>
      <c r="C179" s="7">
        <f t="shared" si="31"/>
        <v>380292</v>
      </c>
      <c r="D179" s="4">
        <f>105+106</f>
        <v>211</v>
      </c>
      <c r="E179" s="7">
        <f t="shared" si="30"/>
        <v>8050</v>
      </c>
      <c r="F179" s="16">
        <f t="shared" si="12"/>
        <v>0</v>
      </c>
      <c r="G179" s="194">
        <v>274458</v>
      </c>
      <c r="H179" s="4">
        <v>2075</v>
      </c>
      <c r="I179" s="4">
        <v>24067</v>
      </c>
      <c r="J179" s="4">
        <f t="shared" ref="J179:J191" si="32">J178+I179</f>
        <v>1196878</v>
      </c>
      <c r="K179" s="7">
        <f t="shared" si="19"/>
        <v>1061.1663999999873</v>
      </c>
      <c r="L179" s="7">
        <f t="shared" ref="L179:L190" si="33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29"/>
        <v>56457</v>
      </c>
      <c r="R179" s="29">
        <f t="shared" si="13"/>
        <v>0</v>
      </c>
      <c r="S179" s="72">
        <f t="shared" si="25"/>
        <v>2.1220240530148083E-2</v>
      </c>
      <c r="T179" s="62">
        <f t="shared" si="17"/>
        <v>2.1167944632019604E-2</v>
      </c>
      <c r="V179" s="146"/>
    </row>
    <row r="180" spans="1:22" x14ac:dyDescent="0.25">
      <c r="A180" s="2">
        <v>44071</v>
      </c>
      <c r="B180" s="148">
        <v>11717</v>
      </c>
      <c r="C180" s="66">
        <f t="shared" si="31"/>
        <v>392009</v>
      </c>
      <c r="D180" s="47">
        <f>80+142</f>
        <v>222</v>
      </c>
      <c r="E180" s="66">
        <f t="shared" si="30"/>
        <v>8272</v>
      </c>
      <c r="F180" s="16">
        <f t="shared" si="12"/>
        <v>12762</v>
      </c>
      <c r="G180" s="194">
        <v>287220</v>
      </c>
      <c r="H180" s="47">
        <v>2114</v>
      </c>
      <c r="I180" s="47">
        <v>25481</v>
      </c>
      <c r="J180" s="47">
        <f t="shared" si="32"/>
        <v>1222359</v>
      </c>
      <c r="K180" s="7">
        <f t="shared" si="19"/>
        <v>1081.8352000000887</v>
      </c>
      <c r="L180" s="7">
        <f t="shared" si="33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29"/>
        <v>59757</v>
      </c>
      <c r="R180" s="29">
        <f t="shared" si="13"/>
        <v>12762</v>
      </c>
      <c r="S180" s="72">
        <f t="shared" si="25"/>
        <v>2.1902877213340655E-2</v>
      </c>
      <c r="T180" s="62">
        <f t="shared" si="17"/>
        <v>2.1101556341818681E-2</v>
      </c>
      <c r="V180" s="146"/>
    </row>
    <row r="181" spans="1:22" x14ac:dyDescent="0.25">
      <c r="A181" s="71">
        <v>44072</v>
      </c>
      <c r="B181" s="47">
        <v>9230</v>
      </c>
      <c r="C181" s="66">
        <f t="shared" si="31"/>
        <v>401239</v>
      </c>
      <c r="D181" s="47">
        <f>34+47</f>
        <v>81</v>
      </c>
      <c r="E181" s="66">
        <f t="shared" si="30"/>
        <v>8353</v>
      </c>
      <c r="F181" s="16">
        <f t="shared" si="12"/>
        <v>6787</v>
      </c>
      <c r="G181" s="194">
        <v>294007</v>
      </c>
      <c r="H181" s="47">
        <v>2192</v>
      </c>
      <c r="I181" s="47">
        <v>19910</v>
      </c>
      <c r="J181" s="47">
        <f t="shared" si="32"/>
        <v>1242269</v>
      </c>
      <c r="K181" s="7">
        <f t="shared" ref="K181:K193" si="34">M181-L181</f>
        <v>1097.3584000000264</v>
      </c>
      <c r="L181" s="7">
        <f t="shared" si="33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29"/>
        <v>62462</v>
      </c>
      <c r="R181" s="29">
        <f t="shared" si="13"/>
        <v>6787</v>
      </c>
      <c r="S181" s="72">
        <f t="shared" si="25"/>
        <v>2.2168508985730032E-2</v>
      </c>
      <c r="T181" s="62">
        <f t="shared" si="17"/>
        <v>2.0818016194836492E-2</v>
      </c>
      <c r="U181" s="19"/>
      <c r="V181" s="146"/>
    </row>
    <row r="182" spans="1:22" x14ac:dyDescent="0.25">
      <c r="A182" s="2">
        <v>44073</v>
      </c>
      <c r="B182" s="4">
        <v>7187</v>
      </c>
      <c r="C182" s="7">
        <f t="shared" si="31"/>
        <v>408426</v>
      </c>
      <c r="D182" s="4">
        <f>48+55</f>
        <v>103</v>
      </c>
      <c r="E182" s="7">
        <f t="shared" si="30"/>
        <v>8456</v>
      </c>
      <c r="F182" s="16">
        <f t="shared" si="12"/>
        <v>6188</v>
      </c>
      <c r="G182" s="194">
        <v>300195</v>
      </c>
      <c r="H182" s="4">
        <v>2232</v>
      </c>
      <c r="I182" s="4">
        <v>15637</v>
      </c>
      <c r="J182" s="4">
        <f t="shared" si="32"/>
        <v>1257906</v>
      </c>
      <c r="K182" s="7">
        <f t="shared" si="34"/>
        <v>1109.0415999999968</v>
      </c>
      <c r="L182" s="7">
        <f t="shared" si="33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29"/>
        <v>65003</v>
      </c>
      <c r="R182" s="29">
        <f t="shared" si="13"/>
        <v>6188</v>
      </c>
      <c r="S182" s="72">
        <f t="shared" si="25"/>
        <v>2.2370333249812076E-2</v>
      </c>
      <c r="T182" s="62">
        <f t="shared" si="17"/>
        <v>2.0703872917003326E-2</v>
      </c>
      <c r="V182" s="146"/>
    </row>
    <row r="183" spans="1:22" x14ac:dyDescent="0.25">
      <c r="A183" s="73">
        <v>44074</v>
      </c>
      <c r="B183" s="47">
        <v>9309</v>
      </c>
      <c r="C183" s="66">
        <f t="shared" si="31"/>
        <v>417735</v>
      </c>
      <c r="D183" s="47">
        <f>41+162</f>
        <v>203</v>
      </c>
      <c r="E183" s="66">
        <f t="shared" si="30"/>
        <v>8659</v>
      </c>
      <c r="F183" s="16">
        <f t="shared" si="12"/>
        <v>8181</v>
      </c>
      <c r="G183" s="194">
        <v>308376</v>
      </c>
      <c r="H183" s="47">
        <v>2273</v>
      </c>
      <c r="I183" s="47">
        <v>19845</v>
      </c>
      <c r="J183" s="47">
        <f t="shared" si="32"/>
        <v>1277751</v>
      </c>
      <c r="K183" s="7">
        <f t="shared" si="34"/>
        <v>1125.2863999999827</v>
      </c>
      <c r="L183" s="7">
        <f t="shared" si="33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29"/>
        <v>64993</v>
      </c>
      <c r="R183" s="29">
        <f t="shared" si="13"/>
        <v>8181</v>
      </c>
      <c r="S183" s="72">
        <f t="shared" si="25"/>
        <v>2.2571996027805363E-2</v>
      </c>
      <c r="T183" s="62">
        <f t="shared" si="17"/>
        <v>2.0728452248435014E-2</v>
      </c>
      <c r="V183" s="146"/>
    </row>
    <row r="184" spans="1:22" x14ac:dyDescent="0.25">
      <c r="A184" s="75">
        <v>44075</v>
      </c>
      <c r="B184" s="4">
        <v>10504</v>
      </c>
      <c r="C184" s="7">
        <f t="shared" si="31"/>
        <v>428239</v>
      </c>
      <c r="D184" s="4">
        <f>70+189</f>
        <v>259</v>
      </c>
      <c r="E184" s="7">
        <f t="shared" si="30"/>
        <v>8918</v>
      </c>
      <c r="F184" s="16">
        <f t="shared" si="12"/>
        <v>7154</v>
      </c>
      <c r="G184" s="194">
        <v>315530</v>
      </c>
      <c r="H184" s="4">
        <v>2314</v>
      </c>
      <c r="I184" s="4">
        <v>23115</v>
      </c>
      <c r="J184" s="4">
        <f t="shared" si="32"/>
        <v>1300866</v>
      </c>
      <c r="K184" s="7">
        <f t="shared" si="34"/>
        <v>1148.1040000000503</v>
      </c>
      <c r="L184" s="7">
        <f t="shared" si="33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29"/>
        <v>65758</v>
      </c>
      <c r="R184" s="29">
        <f t="shared" si="13"/>
        <v>7154</v>
      </c>
      <c r="S184" s="72">
        <f t="shared" si="25"/>
        <v>2.2294803981077357E-2</v>
      </c>
      <c r="T184" s="62">
        <f t="shared" si="17"/>
        <v>2.0824819785213396E-2</v>
      </c>
      <c r="V184" s="146"/>
    </row>
    <row r="185" spans="1:22" x14ac:dyDescent="0.25">
      <c r="A185" s="75">
        <v>44076</v>
      </c>
      <c r="B185" s="4">
        <v>10933</v>
      </c>
      <c r="C185" s="7">
        <f t="shared" si="31"/>
        <v>439172</v>
      </c>
      <c r="D185" s="4">
        <f>52+146</f>
        <v>198</v>
      </c>
      <c r="E185" s="7">
        <f t="shared" si="30"/>
        <v>9116</v>
      </c>
      <c r="F185" s="16">
        <f t="shared" si="12"/>
        <v>6931</v>
      </c>
      <c r="G185" s="194">
        <v>322461</v>
      </c>
      <c r="H185" s="4">
        <v>2359</v>
      </c>
      <c r="I185" s="4">
        <v>23821</v>
      </c>
      <c r="J185" s="4">
        <f t="shared" si="32"/>
        <v>1324687</v>
      </c>
      <c r="K185" s="7">
        <f t="shared" si="34"/>
        <v>1166.611200000043</v>
      </c>
      <c r="L185" s="7">
        <f t="shared" si="33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29"/>
        <v>65923</v>
      </c>
      <c r="R185" s="29">
        <f t="shared" si="13"/>
        <v>6931</v>
      </c>
      <c r="S185" s="72">
        <f t="shared" si="25"/>
        <v>2.1924810632464334E-2</v>
      </c>
      <c r="T185" s="62">
        <f t="shared" si="17"/>
        <v>2.075724317579445E-2</v>
      </c>
      <c r="V185" s="146"/>
    </row>
    <row r="186" spans="1:22" x14ac:dyDescent="0.25">
      <c r="A186" s="75">
        <v>44077</v>
      </c>
      <c r="B186" s="147">
        <v>12026</v>
      </c>
      <c r="C186" s="7">
        <f t="shared" si="31"/>
        <v>451198</v>
      </c>
      <c r="D186" s="4">
        <f>38+206</f>
        <v>244</v>
      </c>
      <c r="E186" s="7">
        <f t="shared" si="30"/>
        <v>9360</v>
      </c>
      <c r="F186" s="16">
        <f t="shared" si="12"/>
        <v>9160</v>
      </c>
      <c r="G186" s="194">
        <v>331621</v>
      </c>
      <c r="H186" s="4">
        <v>2394</v>
      </c>
      <c r="I186" s="4">
        <v>25351</v>
      </c>
      <c r="J186" s="4">
        <f t="shared" si="32"/>
        <v>1350038</v>
      </c>
      <c r="K186" s="7">
        <f t="shared" si="34"/>
        <v>1185.8656000000192</v>
      </c>
      <c r="L186" s="7">
        <f t="shared" si="33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29"/>
        <v>67675</v>
      </c>
      <c r="R186" s="29">
        <f t="shared" si="13"/>
        <v>9160</v>
      </c>
      <c r="S186" s="72">
        <f t="shared" si="25"/>
        <v>2.1720787174392336E-2</v>
      </c>
      <c r="T186" s="62">
        <f t="shared" si="17"/>
        <v>2.0744772804843992E-2</v>
      </c>
      <c r="V186" s="146"/>
    </row>
    <row r="187" spans="1:22" x14ac:dyDescent="0.25">
      <c r="A187" s="75">
        <v>44078</v>
      </c>
      <c r="B187" s="4">
        <v>10684</v>
      </c>
      <c r="C187" s="7">
        <f t="shared" si="31"/>
        <v>461882</v>
      </c>
      <c r="D187" s="4">
        <f>107+155</f>
        <v>262</v>
      </c>
      <c r="E187" s="7">
        <f t="shared" si="30"/>
        <v>9622</v>
      </c>
      <c r="F187" s="16">
        <f t="shared" si="12"/>
        <v>8760</v>
      </c>
      <c r="G187" s="194">
        <v>340381</v>
      </c>
      <c r="H187" s="4">
        <v>2425</v>
      </c>
      <c r="I187" s="4">
        <v>24486</v>
      </c>
      <c r="J187" s="4">
        <f t="shared" si="32"/>
        <v>1374524</v>
      </c>
      <c r="K187" s="7">
        <f t="shared" si="34"/>
        <v>1205.8336000000127</v>
      </c>
      <c r="L187" s="7">
        <f t="shared" si="33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29"/>
        <v>68623</v>
      </c>
      <c r="R187" s="29">
        <f t="shared" si="13"/>
        <v>8760</v>
      </c>
      <c r="S187" s="72">
        <f t="shared" si="25"/>
        <v>2.167520267431779E-2</v>
      </c>
      <c r="T187" s="62">
        <f t="shared" si="17"/>
        <v>2.0832160595130357E-2</v>
      </c>
      <c r="V187" s="146"/>
    </row>
    <row r="188" spans="1:22" x14ac:dyDescent="0.25">
      <c r="A188" s="75">
        <v>44079</v>
      </c>
      <c r="B188" s="47">
        <v>9924</v>
      </c>
      <c r="C188" s="66">
        <f t="shared" si="31"/>
        <v>471806</v>
      </c>
      <c r="D188" s="47">
        <f>62+55</f>
        <v>117</v>
      </c>
      <c r="E188" s="66">
        <f t="shared" si="30"/>
        <v>9739</v>
      </c>
      <c r="F188" s="16">
        <f t="shared" si="12"/>
        <v>8751</v>
      </c>
      <c r="G188" s="194">
        <v>349132</v>
      </c>
      <c r="H188" s="47">
        <v>2456</v>
      </c>
      <c r="I188" s="47">
        <v>22363</v>
      </c>
      <c r="J188" s="47">
        <f t="shared" si="32"/>
        <v>1396887</v>
      </c>
      <c r="K188" s="7">
        <f t="shared" si="34"/>
        <v>1223.704000000027</v>
      </c>
      <c r="L188" s="7">
        <f t="shared" si="33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29"/>
        <v>71174</v>
      </c>
      <c r="R188" s="29">
        <f t="shared" si="13"/>
        <v>8751</v>
      </c>
      <c r="S188" s="72">
        <f t="shared" si="25"/>
        <v>2.1747022623633063E-2</v>
      </c>
      <c r="T188" s="62">
        <f t="shared" si="17"/>
        <v>2.0641958771189853E-2</v>
      </c>
      <c r="V188" s="146"/>
    </row>
    <row r="189" spans="1:22" x14ac:dyDescent="0.25">
      <c r="A189" s="75">
        <v>44080</v>
      </c>
      <c r="B189" s="4">
        <v>6986</v>
      </c>
      <c r="C189" s="7">
        <f t="shared" si="31"/>
        <v>478792</v>
      </c>
      <c r="D189" s="4">
        <f>67+51+1</f>
        <v>119</v>
      </c>
      <c r="E189" s="7">
        <f t="shared" si="30"/>
        <v>9858</v>
      </c>
      <c r="F189" s="16">
        <f t="shared" si="12"/>
        <v>8256</v>
      </c>
      <c r="G189" s="194">
        <v>357388</v>
      </c>
      <c r="H189" s="4">
        <v>2512</v>
      </c>
      <c r="I189" s="4">
        <v>15262</v>
      </c>
      <c r="J189" s="4">
        <f t="shared" si="32"/>
        <v>1412149</v>
      </c>
      <c r="K189" s="7">
        <f t="shared" si="34"/>
        <v>1235.9904000000097</v>
      </c>
      <c r="L189" s="7">
        <f t="shared" si="33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29"/>
        <v>72610</v>
      </c>
      <c r="R189" s="29">
        <f t="shared" si="13"/>
        <v>8256</v>
      </c>
      <c r="S189" s="72">
        <f t="shared" si="25"/>
        <v>2.2519857278611513E-2</v>
      </c>
      <c r="T189" s="62">
        <f t="shared" si="17"/>
        <v>2.0589316446390081E-2</v>
      </c>
      <c r="V189" s="146"/>
    </row>
    <row r="190" spans="1:22" x14ac:dyDescent="0.25">
      <c r="A190" s="87">
        <v>44081</v>
      </c>
      <c r="B190" s="47">
        <v>9215</v>
      </c>
      <c r="C190" s="66">
        <f t="shared" si="31"/>
        <v>488007</v>
      </c>
      <c r="D190" s="47">
        <f>53+215</f>
        <v>268</v>
      </c>
      <c r="E190" s="66">
        <f t="shared" si="30"/>
        <v>10126</v>
      </c>
      <c r="F190" s="16">
        <f t="shared" si="12"/>
        <v>9202</v>
      </c>
      <c r="G190" s="194">
        <v>366590</v>
      </c>
      <c r="H190" s="47">
        <v>2698</v>
      </c>
      <c r="I190" s="47">
        <v>20475</v>
      </c>
      <c r="J190" s="47">
        <f t="shared" si="32"/>
        <v>1432624</v>
      </c>
      <c r="K190" s="7">
        <f t="shared" si="34"/>
        <v>1252.6800000000512</v>
      </c>
      <c r="L190" s="7">
        <f t="shared" si="33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29"/>
        <v>71720</v>
      </c>
      <c r="R190" s="29">
        <f t="shared" si="13"/>
        <v>9202</v>
      </c>
      <c r="S190" s="72">
        <f t="shared" si="25"/>
        <v>2.4242750986153416E-2</v>
      </c>
      <c r="T190" s="62">
        <f t="shared" si="17"/>
        <v>2.074970236082679E-2</v>
      </c>
      <c r="V190" s="146"/>
    </row>
    <row r="191" spans="1:22" x14ac:dyDescent="0.25">
      <c r="A191" s="75">
        <v>44082</v>
      </c>
      <c r="B191" s="4">
        <v>12027</v>
      </c>
      <c r="C191" s="7">
        <f t="shared" si="31"/>
        <v>500034</v>
      </c>
      <c r="D191" s="4">
        <f>50+227</f>
        <v>277</v>
      </c>
      <c r="E191" s="7">
        <f t="shared" si="30"/>
        <v>10403</v>
      </c>
      <c r="F191" s="16">
        <f t="shared" si="12"/>
        <v>15900</v>
      </c>
      <c r="G191" s="194">
        <v>382490</v>
      </c>
      <c r="H191" s="4">
        <v>2719</v>
      </c>
      <c r="I191" s="4">
        <v>25995</v>
      </c>
      <c r="J191" s="4">
        <f t="shared" si="32"/>
        <v>1458619</v>
      </c>
      <c r="K191" s="7">
        <f t="shared" si="34"/>
        <v>1273.516799999983</v>
      </c>
      <c r="L191" s="7">
        <f t="shared" ref="L191:L202" si="35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29"/>
        <v>73038</v>
      </c>
      <c r="R191" s="29">
        <f t="shared" si="13"/>
        <v>15900</v>
      </c>
      <c r="S191" s="72">
        <f t="shared" si="25"/>
        <v>2.5377773214735722E-2</v>
      </c>
      <c r="T191" s="62">
        <f t="shared" si="17"/>
        <v>2.0804585288200401E-2</v>
      </c>
      <c r="V191" s="146"/>
    </row>
    <row r="192" spans="1:22" x14ac:dyDescent="0.25">
      <c r="A192" s="75">
        <v>44083</v>
      </c>
      <c r="B192" s="4">
        <v>12259</v>
      </c>
      <c r="C192" s="7">
        <f t="shared" si="31"/>
        <v>512293</v>
      </c>
      <c r="D192" s="4">
        <f>52+202</f>
        <v>254</v>
      </c>
      <c r="E192" s="7">
        <f t="shared" si="30"/>
        <v>10657</v>
      </c>
      <c r="F192" s="16">
        <f t="shared" si="12"/>
        <v>7608</v>
      </c>
      <c r="G192" s="194">
        <v>390098</v>
      </c>
      <c r="H192" s="4">
        <v>2829</v>
      </c>
      <c r="I192" s="4">
        <v>27171</v>
      </c>
      <c r="J192" s="4">
        <f t="shared" ref="J192:J202" si="36">J191+I192</f>
        <v>1485790</v>
      </c>
      <c r="K192" s="7">
        <f t="shared" si="34"/>
        <v>1293.7232000000076</v>
      </c>
      <c r="L192" s="7">
        <f t="shared" si="35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29"/>
        <v>74787</v>
      </c>
      <c r="R192" s="29">
        <f t="shared" si="13"/>
        <v>7608</v>
      </c>
      <c r="S192" s="72">
        <f t="shared" si="25"/>
        <v>2.5363553228496118E-2</v>
      </c>
      <c r="T192" s="62">
        <f t="shared" si="17"/>
        <v>2.0802548541557272E-2</v>
      </c>
      <c r="V192" s="146"/>
    </row>
    <row r="193" spans="1:22" x14ac:dyDescent="0.25">
      <c r="A193" s="75">
        <v>44084</v>
      </c>
      <c r="B193" s="4">
        <v>11905</v>
      </c>
      <c r="C193" s="7">
        <f t="shared" ref="C193:C207" si="37">C192+B193</f>
        <v>524198</v>
      </c>
      <c r="D193" s="4">
        <f>55+195</f>
        <v>250</v>
      </c>
      <c r="E193" s="7">
        <f t="shared" ref="E193:E206" si="38">E192+D193</f>
        <v>10907</v>
      </c>
      <c r="F193" s="16">
        <f t="shared" si="12"/>
        <v>10023</v>
      </c>
      <c r="G193" s="194">
        <v>400121</v>
      </c>
      <c r="H193" s="4">
        <v>2880</v>
      </c>
      <c r="I193" s="4">
        <v>28057</v>
      </c>
      <c r="J193" s="4">
        <f t="shared" si="36"/>
        <v>1513847</v>
      </c>
      <c r="K193" s="7">
        <f t="shared" si="34"/>
        <v>1315.7488000000594</v>
      </c>
      <c r="L193" s="7">
        <f t="shared" si="35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29"/>
        <v>76356</v>
      </c>
      <c r="R193" s="29">
        <f t="shared" si="13"/>
        <v>10023</v>
      </c>
      <c r="S193" s="72">
        <f t="shared" si="25"/>
        <v>2.5448440399399135E-2</v>
      </c>
      <c r="T193" s="62">
        <f t="shared" si="17"/>
        <v>2.0807023300355974E-2</v>
      </c>
      <c r="V193" s="146"/>
    </row>
    <row r="194" spans="1:22" s="95" customFormat="1" x14ac:dyDescent="0.25">
      <c r="A194" s="87">
        <v>44085</v>
      </c>
      <c r="B194" s="1">
        <v>11507</v>
      </c>
      <c r="C194" s="21">
        <f t="shared" si="37"/>
        <v>535705</v>
      </c>
      <c r="D194" s="1">
        <f>87+154</f>
        <v>241</v>
      </c>
      <c r="E194" s="21">
        <f t="shared" si="38"/>
        <v>11148</v>
      </c>
      <c r="F194" s="16">
        <f t="shared" si="12"/>
        <v>9650</v>
      </c>
      <c r="G194" s="194">
        <v>409771</v>
      </c>
      <c r="H194" s="1">
        <v>3093</v>
      </c>
      <c r="I194" s="4">
        <v>26254</v>
      </c>
      <c r="J194" s="4">
        <f t="shared" si="36"/>
        <v>1540101</v>
      </c>
      <c r="K194" s="7">
        <f t="shared" ref="K194:K202" si="39">M194-L194</f>
        <v>1338.017600000021</v>
      </c>
      <c r="L194" s="7">
        <f t="shared" si="35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29"/>
        <v>77432</v>
      </c>
      <c r="R194" s="29">
        <f t="shared" si="13"/>
        <v>9650</v>
      </c>
      <c r="S194" s="72">
        <f t="shared" si="25"/>
        <v>2.6945794783335947E-2</v>
      </c>
      <c r="T194" s="62">
        <f t="shared" si="17"/>
        <v>2.0809960705985571E-2</v>
      </c>
      <c r="V194" s="146"/>
    </row>
    <row r="195" spans="1:22" x14ac:dyDescent="0.25">
      <c r="A195" s="75">
        <v>44086</v>
      </c>
      <c r="B195" s="1">
        <v>10776</v>
      </c>
      <c r="C195" s="21">
        <f t="shared" si="37"/>
        <v>546481</v>
      </c>
      <c r="D195" s="1">
        <f>57+58</f>
        <v>115</v>
      </c>
      <c r="E195" s="21">
        <f t="shared" si="38"/>
        <v>11263</v>
      </c>
      <c r="F195" s="16">
        <f t="shared" ref="F195:F258" si="40">G195-G194</f>
        <v>9742</v>
      </c>
      <c r="G195" s="194">
        <v>419513</v>
      </c>
      <c r="H195" s="1">
        <v>2962</v>
      </c>
      <c r="I195" s="4">
        <v>23140</v>
      </c>
      <c r="J195" s="4">
        <f t="shared" si="36"/>
        <v>1563241</v>
      </c>
      <c r="K195" s="7">
        <f t="shared" si="39"/>
        <v>1355.5903999999864</v>
      </c>
      <c r="L195" s="7">
        <f t="shared" si="35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29"/>
        <v>80017</v>
      </c>
      <c r="R195" s="29">
        <f t="shared" si="13"/>
        <v>9742</v>
      </c>
      <c r="S195" s="72">
        <f t="shared" si="25"/>
        <v>2.5599585151894904E-2</v>
      </c>
      <c r="T195" s="62">
        <f t="shared" si="17"/>
        <v>2.0610048656769402E-2</v>
      </c>
      <c r="V195" s="146"/>
    </row>
    <row r="196" spans="1:22" ht="16.5" x14ac:dyDescent="0.25">
      <c r="A196" s="75">
        <v>44087</v>
      </c>
      <c r="B196" s="1">
        <v>9056</v>
      </c>
      <c r="C196" s="137">
        <f t="shared" si="37"/>
        <v>555537</v>
      </c>
      <c r="D196" s="1">
        <f>44+45</f>
        <v>89</v>
      </c>
      <c r="E196" s="21">
        <f t="shared" si="38"/>
        <v>11352</v>
      </c>
      <c r="F196" s="16">
        <f t="shared" si="40"/>
        <v>9440</v>
      </c>
      <c r="G196" s="194">
        <v>428953</v>
      </c>
      <c r="H196" s="1">
        <v>2984</v>
      </c>
      <c r="I196" s="4">
        <v>17955</v>
      </c>
      <c r="J196" s="4">
        <f t="shared" si="36"/>
        <v>1581196</v>
      </c>
      <c r="K196" s="7">
        <f t="shared" si="39"/>
        <v>1368.1983999999939</v>
      </c>
      <c r="L196" s="7">
        <f t="shared" si="35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29"/>
        <v>82734</v>
      </c>
      <c r="R196" s="29">
        <f t="shared" si="13"/>
        <v>9440</v>
      </c>
      <c r="S196" s="72">
        <f t="shared" si="25"/>
        <v>2.5895584559844486E-2</v>
      </c>
      <c r="T196" s="62">
        <f t="shared" si="17"/>
        <v>2.0434282505035668E-2</v>
      </c>
      <c r="V196" s="146"/>
    </row>
    <row r="197" spans="1:22" ht="16.5" x14ac:dyDescent="0.25">
      <c r="A197" s="87">
        <v>44088</v>
      </c>
      <c r="B197" s="4">
        <v>9909</v>
      </c>
      <c r="C197" s="137">
        <f t="shared" si="37"/>
        <v>565446</v>
      </c>
      <c r="D197" s="4">
        <f>60+254</f>
        <v>314</v>
      </c>
      <c r="E197" s="7">
        <f t="shared" si="38"/>
        <v>11666</v>
      </c>
      <c r="F197" s="16">
        <f t="shared" si="40"/>
        <v>9930</v>
      </c>
      <c r="G197" s="194">
        <v>438883</v>
      </c>
      <c r="H197" s="4">
        <v>2992</v>
      </c>
      <c r="I197" s="4">
        <v>21207</v>
      </c>
      <c r="J197" s="4">
        <f t="shared" si="36"/>
        <v>1602403</v>
      </c>
      <c r="K197" s="7">
        <f t="shared" si="39"/>
        <v>1385.3168000000296</v>
      </c>
      <c r="L197" s="7">
        <f t="shared" si="35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29"/>
        <v>82341</v>
      </c>
      <c r="R197" s="29">
        <f t="shared" si="13"/>
        <v>9930</v>
      </c>
      <c r="S197" s="72">
        <f t="shared" si="25"/>
        <v>2.6040714727103405E-2</v>
      </c>
      <c r="T197" s="62">
        <f t="shared" ref="T197:T210" si="41">E197/C187</f>
        <v>2.525753330937339E-2</v>
      </c>
      <c r="V197" s="146"/>
    </row>
    <row r="198" spans="1:22" ht="16.5" x14ac:dyDescent="0.25">
      <c r="A198" s="75">
        <v>44089</v>
      </c>
      <c r="B198" s="4">
        <v>11892</v>
      </c>
      <c r="C198" s="137">
        <f t="shared" si="37"/>
        <v>577338</v>
      </c>
      <c r="D198" s="4">
        <f>43+142</f>
        <v>185</v>
      </c>
      <c r="E198" s="7">
        <f t="shared" si="38"/>
        <v>11851</v>
      </c>
      <c r="F198" s="16">
        <f t="shared" si="40"/>
        <v>9380</v>
      </c>
      <c r="G198" s="194">
        <v>448263</v>
      </c>
      <c r="H198" s="4">
        <v>3049</v>
      </c>
      <c r="I198" s="4">
        <v>25791</v>
      </c>
      <c r="J198" s="4">
        <f t="shared" si="36"/>
        <v>1628194</v>
      </c>
      <c r="K198" s="7">
        <f t="shared" si="39"/>
        <v>1407.344000000041</v>
      </c>
      <c r="L198" s="7">
        <f t="shared" si="35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29"/>
        <v>78619</v>
      </c>
      <c r="R198" s="29">
        <f t="shared" ref="R198:R248" si="42">G198-G197</f>
        <v>9380</v>
      </c>
      <c r="S198" s="72">
        <f t="shared" si="25"/>
        <v>2.6010032075342932E-2</v>
      </c>
      <c r="T198" s="62">
        <f t="shared" si="41"/>
        <v>2.5118374925287089E-2</v>
      </c>
      <c r="V198" s="146"/>
    </row>
    <row r="199" spans="1:22" ht="16.5" x14ac:dyDescent="0.25">
      <c r="A199" s="75">
        <v>44090</v>
      </c>
      <c r="B199" s="7">
        <v>11674</v>
      </c>
      <c r="C199" s="137">
        <f t="shared" si="37"/>
        <v>589012</v>
      </c>
      <c r="D199" s="4">
        <f>58+206</f>
        <v>264</v>
      </c>
      <c r="E199" s="7">
        <f t="shared" si="38"/>
        <v>12115</v>
      </c>
      <c r="F199" s="16">
        <f t="shared" si="40"/>
        <v>8084</v>
      </c>
      <c r="G199" s="194">
        <v>456347</v>
      </c>
      <c r="H199" s="4">
        <v>3118</v>
      </c>
      <c r="I199" s="4">
        <v>25422</v>
      </c>
      <c r="J199" s="4">
        <f t="shared" si="36"/>
        <v>1653616</v>
      </c>
      <c r="K199" s="7">
        <f t="shared" si="39"/>
        <v>1429.5023999999976</v>
      </c>
      <c r="L199" s="7">
        <f t="shared" si="35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29">
        <f t="shared" si="42"/>
        <v>8084</v>
      </c>
      <c r="S199" s="72">
        <f t="shared" si="25"/>
        <v>2.5864786395686436E-2</v>
      </c>
      <c r="T199" s="62">
        <f t="shared" si="41"/>
        <v>2.530326321241792E-2</v>
      </c>
      <c r="U199" s="146"/>
      <c r="V199" s="146"/>
    </row>
    <row r="200" spans="1:22" ht="16.5" x14ac:dyDescent="0.25">
      <c r="A200" s="75">
        <v>44091</v>
      </c>
      <c r="B200" s="4">
        <v>12701</v>
      </c>
      <c r="C200" s="137">
        <f t="shared" si="37"/>
        <v>601713</v>
      </c>
      <c r="D200" s="4">
        <v>345</v>
      </c>
      <c r="E200" s="7">
        <f t="shared" si="38"/>
        <v>12460</v>
      </c>
      <c r="F200" s="16">
        <f t="shared" si="40"/>
        <v>10939</v>
      </c>
      <c r="G200" s="194">
        <v>467286</v>
      </c>
      <c r="H200" s="4">
        <v>3108</v>
      </c>
      <c r="I200" s="4">
        <v>28633</v>
      </c>
      <c r="J200" s="4">
        <f t="shared" si="36"/>
        <v>1682249</v>
      </c>
      <c r="K200" s="7">
        <f t="shared" si="39"/>
        <v>1451.9024000000209</v>
      </c>
      <c r="L200" s="7">
        <f t="shared" si="35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29">
        <f t="shared" si="42"/>
        <v>10939</v>
      </c>
      <c r="S200" s="72">
        <f t="shared" si="25"/>
        <v>2.5482302590044848E-2</v>
      </c>
      <c r="T200" s="62">
        <f t="shared" si="41"/>
        <v>2.5532420641507191E-2</v>
      </c>
      <c r="U200" s="146"/>
      <c r="V200" s="146"/>
    </row>
    <row r="201" spans="1:22" ht="16.5" x14ac:dyDescent="0.25">
      <c r="A201" s="75">
        <v>44092</v>
      </c>
      <c r="B201" s="4">
        <v>11945</v>
      </c>
      <c r="C201" s="137">
        <f t="shared" si="37"/>
        <v>613658</v>
      </c>
      <c r="D201" s="4">
        <f>31+166</f>
        <v>197</v>
      </c>
      <c r="E201" s="7">
        <f t="shared" si="38"/>
        <v>12657</v>
      </c>
      <c r="F201" s="16">
        <f t="shared" si="40"/>
        <v>10791</v>
      </c>
      <c r="G201" s="194">
        <v>478077</v>
      </c>
      <c r="H201" s="4">
        <v>3225</v>
      </c>
      <c r="I201" s="4">
        <v>25698</v>
      </c>
      <c r="J201" s="4">
        <f t="shared" si="36"/>
        <v>1707947</v>
      </c>
      <c r="K201" s="7">
        <f t="shared" si="39"/>
        <v>1474.3456000000006</v>
      </c>
      <c r="L201" s="7">
        <f t="shared" si="35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29">
        <f t="shared" si="42"/>
        <v>10791</v>
      </c>
      <c r="S201" s="72">
        <f t="shared" si="25"/>
        <v>2.6235722885685465E-2</v>
      </c>
      <c r="T201" s="62">
        <f t="shared" si="41"/>
        <v>2.5312278765043977E-2</v>
      </c>
      <c r="U201" s="146"/>
      <c r="V201" s="146"/>
    </row>
    <row r="202" spans="1:22" x14ac:dyDescent="0.25">
      <c r="A202" s="75">
        <v>44093</v>
      </c>
      <c r="B202" s="4">
        <v>9276</v>
      </c>
      <c r="C202" s="7">
        <f t="shared" si="37"/>
        <v>622934</v>
      </c>
      <c r="D202" s="4">
        <f>49+94</f>
        <v>143</v>
      </c>
      <c r="E202" s="7">
        <f t="shared" si="38"/>
        <v>12800</v>
      </c>
      <c r="F202" s="16">
        <f t="shared" si="40"/>
        <v>10154</v>
      </c>
      <c r="G202" s="194">
        <v>488231</v>
      </c>
      <c r="H202" s="4">
        <v>3213</v>
      </c>
      <c r="I202" s="4">
        <v>21093</v>
      </c>
      <c r="J202" s="4">
        <f t="shared" si="36"/>
        <v>1729040</v>
      </c>
      <c r="K202" s="7">
        <f t="shared" si="39"/>
        <v>1492.0336000000825</v>
      </c>
      <c r="L202" s="7">
        <f t="shared" si="35"/>
        <v>931028.96639999992</v>
      </c>
      <c r="M202" s="4">
        <v>932521</v>
      </c>
      <c r="N202" s="47">
        <v>1261</v>
      </c>
      <c r="O202" s="47">
        <v>133793</v>
      </c>
      <c r="P202" s="47">
        <v>406757</v>
      </c>
      <c r="Q202" s="47">
        <f>C202-P202-O202-N202</f>
        <v>81123</v>
      </c>
      <c r="R202" s="29">
        <f t="shared" si="42"/>
        <v>10154</v>
      </c>
      <c r="S202" s="155">
        <f t="shared" si="25"/>
        <v>2.6357021566327327E-2</v>
      </c>
      <c r="T202" s="156">
        <f t="shared" si="41"/>
        <v>2.4985701541891066E-2</v>
      </c>
      <c r="U202" s="146"/>
      <c r="V202" s="146"/>
    </row>
    <row r="203" spans="1:22" x14ac:dyDescent="0.25">
      <c r="A203" s="75">
        <v>44094</v>
      </c>
      <c r="B203" s="4">
        <v>8431</v>
      </c>
      <c r="C203" s="7">
        <f t="shared" si="37"/>
        <v>631365</v>
      </c>
      <c r="D203" s="4">
        <f>110+143</f>
        <v>253</v>
      </c>
      <c r="E203" s="7">
        <f t="shared" si="38"/>
        <v>13053</v>
      </c>
      <c r="F203" s="16">
        <f t="shared" si="40"/>
        <v>10148</v>
      </c>
      <c r="G203" s="194">
        <v>498379</v>
      </c>
      <c r="H203" s="4">
        <v>3261</v>
      </c>
      <c r="I203" s="4">
        <v>15454</v>
      </c>
      <c r="J203" s="4">
        <v>1744494</v>
      </c>
      <c r="K203" s="7">
        <v>1348</v>
      </c>
      <c r="L203" s="7">
        <v>939868</v>
      </c>
      <c r="M203" s="153">
        <f t="shared" ref="M203:M213" si="43">L203+K203</f>
        <v>941216</v>
      </c>
      <c r="N203" s="167">
        <v>1262</v>
      </c>
      <c r="O203" s="167">
        <v>134820</v>
      </c>
      <c r="P203" s="167">
        <v>412203</v>
      </c>
      <c r="Q203" s="167">
        <f>C203-P203-O203-N203</f>
        <v>83080</v>
      </c>
      <c r="R203" s="29">
        <f t="shared" si="42"/>
        <v>10148</v>
      </c>
      <c r="S203" s="185">
        <f t="shared" si="25"/>
        <v>2.7190181184494677E-2</v>
      </c>
      <c r="T203" s="186">
        <f t="shared" si="41"/>
        <v>2.4900896226235127E-2</v>
      </c>
      <c r="U203" s="146"/>
      <c r="V203" s="146"/>
    </row>
    <row r="204" spans="1:22" x14ac:dyDescent="0.25">
      <c r="A204" s="75">
        <v>44095</v>
      </c>
      <c r="B204" s="4">
        <v>8782</v>
      </c>
      <c r="C204" s="7">
        <f t="shared" si="37"/>
        <v>640147</v>
      </c>
      <c r="D204" s="4">
        <v>427</v>
      </c>
      <c r="E204" s="7">
        <f t="shared" si="38"/>
        <v>13480</v>
      </c>
      <c r="F204" s="16">
        <f t="shared" si="40"/>
        <v>10184</v>
      </c>
      <c r="G204" s="194">
        <v>508563</v>
      </c>
      <c r="H204" s="4">
        <v>3387</v>
      </c>
      <c r="I204" s="4">
        <v>18575</v>
      </c>
      <c r="J204" s="4">
        <f t="shared" ref="J204:J223" si="44">J203+I204</f>
        <v>1763069</v>
      </c>
      <c r="K204" s="7">
        <v>1383</v>
      </c>
      <c r="L204" s="7">
        <v>949102</v>
      </c>
      <c r="M204" s="153">
        <f t="shared" si="43"/>
        <v>950485</v>
      </c>
      <c r="N204" s="187">
        <v>6401</v>
      </c>
      <c r="O204" s="187">
        <v>138272</v>
      </c>
      <c r="P204" s="204">
        <v>417376</v>
      </c>
      <c r="Q204" s="167">
        <f t="shared" ref="Q204:Q231" si="45">C204-P204-O204-N204</f>
        <v>78098</v>
      </c>
      <c r="R204" s="29">
        <f t="shared" si="42"/>
        <v>10184</v>
      </c>
      <c r="S204" s="185">
        <f t="shared" si="25"/>
        <v>2.8678114204429995E-2</v>
      </c>
      <c r="T204" s="186">
        <f t="shared" si="41"/>
        <v>2.5163102827115671E-2</v>
      </c>
      <c r="U204" s="146"/>
      <c r="V204" s="146"/>
    </row>
    <row r="205" spans="1:22" x14ac:dyDescent="0.25">
      <c r="A205" s="75">
        <v>44096</v>
      </c>
      <c r="B205" s="4">
        <v>12027</v>
      </c>
      <c r="C205" s="7">
        <f t="shared" si="37"/>
        <v>652174</v>
      </c>
      <c r="D205" s="4">
        <v>469</v>
      </c>
      <c r="E205" s="7">
        <f t="shared" si="38"/>
        <v>13949</v>
      </c>
      <c r="F205" s="16">
        <f t="shared" si="40"/>
        <v>8665</v>
      </c>
      <c r="G205" s="194">
        <v>517228</v>
      </c>
      <c r="H205" s="4">
        <v>3362</v>
      </c>
      <c r="I205" s="4">
        <v>25766</v>
      </c>
      <c r="J205" s="4">
        <f t="shared" si="44"/>
        <v>1788835</v>
      </c>
      <c r="K205" s="7">
        <v>1448</v>
      </c>
      <c r="L205" s="7">
        <v>961776</v>
      </c>
      <c r="M205" s="153">
        <f t="shared" si="43"/>
        <v>963224</v>
      </c>
      <c r="N205" s="188">
        <v>6521</v>
      </c>
      <c r="O205" s="188">
        <v>140870</v>
      </c>
      <c r="P205" s="188">
        <v>425218</v>
      </c>
      <c r="Q205" s="167">
        <f t="shared" si="45"/>
        <v>79565</v>
      </c>
      <c r="R205" s="29">
        <f t="shared" si="42"/>
        <v>8665</v>
      </c>
      <c r="S205" s="185">
        <f t="shared" si="25"/>
        <v>2.7785812871393506E-2</v>
      </c>
      <c r="T205" s="186">
        <f t="shared" si="41"/>
        <v>2.5525132621262221E-2</v>
      </c>
      <c r="U205" s="146"/>
      <c r="V205" s="146"/>
    </row>
    <row r="206" spans="1:22" x14ac:dyDescent="0.25">
      <c r="A206" s="75">
        <v>44097</v>
      </c>
      <c r="B206" s="4">
        <v>12625</v>
      </c>
      <c r="C206" s="7">
        <f t="shared" si="37"/>
        <v>664799</v>
      </c>
      <c r="D206" s="4">
        <v>423</v>
      </c>
      <c r="E206" s="7">
        <f t="shared" si="38"/>
        <v>14372</v>
      </c>
      <c r="F206" s="16">
        <f t="shared" si="40"/>
        <v>8258</v>
      </c>
      <c r="G206" s="194">
        <v>525486</v>
      </c>
      <c r="H206" s="4">
        <v>3511</v>
      </c>
      <c r="I206" s="4">
        <v>24903</v>
      </c>
      <c r="J206" s="4">
        <f t="shared" si="44"/>
        <v>1813738</v>
      </c>
      <c r="K206" s="7">
        <v>1456</v>
      </c>
      <c r="L206" s="7">
        <v>974788</v>
      </c>
      <c r="M206" s="153">
        <f t="shared" si="43"/>
        <v>976244</v>
      </c>
      <c r="N206" s="188">
        <v>6647</v>
      </c>
      <c r="O206" s="188">
        <v>143597</v>
      </c>
      <c r="P206" s="188">
        <v>433450</v>
      </c>
      <c r="Q206" s="167">
        <f t="shared" si="45"/>
        <v>81105</v>
      </c>
      <c r="R206" s="29">
        <f t="shared" si="42"/>
        <v>8258</v>
      </c>
      <c r="S206" s="185">
        <f t="shared" ref="S206:S211" si="46">H206/(C206-E206-G206)</f>
        <v>2.8101263796511955E-2</v>
      </c>
      <c r="T206" s="186">
        <f t="shared" si="41"/>
        <v>2.5870464073500056E-2</v>
      </c>
      <c r="U206" s="146"/>
      <c r="V206" s="146"/>
    </row>
    <row r="207" spans="1:22" x14ac:dyDescent="0.25">
      <c r="A207" s="75">
        <v>44098</v>
      </c>
      <c r="B207" s="150">
        <v>13467</v>
      </c>
      <c r="C207" s="151">
        <f t="shared" si="37"/>
        <v>678266</v>
      </c>
      <c r="D207" s="4">
        <v>391</v>
      </c>
      <c r="E207" s="7">
        <f t="shared" ref="E207:E230" si="47">E206+D207</f>
        <v>14763</v>
      </c>
      <c r="F207" s="16">
        <f t="shared" si="40"/>
        <v>11103</v>
      </c>
      <c r="G207" s="194">
        <v>536589</v>
      </c>
      <c r="H207" s="4">
        <v>3527</v>
      </c>
      <c r="I207" s="4">
        <v>27253</v>
      </c>
      <c r="J207" s="4">
        <f t="shared" si="44"/>
        <v>1840991</v>
      </c>
      <c r="K207" s="7">
        <v>1488</v>
      </c>
      <c r="L207" s="7">
        <v>988976</v>
      </c>
      <c r="M207" s="43">
        <f t="shared" si="43"/>
        <v>990464</v>
      </c>
      <c r="N207" s="188">
        <v>6740</v>
      </c>
      <c r="O207" s="188">
        <v>143045</v>
      </c>
      <c r="P207" s="188">
        <v>449054</v>
      </c>
      <c r="Q207" s="167">
        <f t="shared" si="45"/>
        <v>79427</v>
      </c>
      <c r="R207" s="29">
        <f t="shared" si="42"/>
        <v>11103</v>
      </c>
      <c r="S207" s="185">
        <f t="shared" si="46"/>
        <v>2.7790472288321225E-2</v>
      </c>
      <c r="T207" s="186">
        <f t="shared" si="41"/>
        <v>2.6108593924088243E-2</v>
      </c>
      <c r="U207" s="146"/>
      <c r="V207" s="146"/>
    </row>
    <row r="208" spans="1:22" x14ac:dyDescent="0.25">
      <c r="A208" s="75">
        <v>44099</v>
      </c>
      <c r="B208" s="4">
        <v>12969</v>
      </c>
      <c r="C208" s="7">
        <f t="shared" ref="C208:C230" si="48">C207+B208</f>
        <v>691235</v>
      </c>
      <c r="D208" s="4">
        <v>442</v>
      </c>
      <c r="E208" s="7">
        <f t="shared" si="47"/>
        <v>15205</v>
      </c>
      <c r="F208" s="16">
        <f t="shared" si="40"/>
        <v>10335</v>
      </c>
      <c r="G208" s="194">
        <v>546924</v>
      </c>
      <c r="H208" s="4">
        <v>3595</v>
      </c>
      <c r="I208" s="4">
        <v>25098</v>
      </c>
      <c r="J208" s="4">
        <f t="shared" si="44"/>
        <v>1866089</v>
      </c>
      <c r="K208" s="7">
        <v>1500</v>
      </c>
      <c r="L208" s="7">
        <v>1001959</v>
      </c>
      <c r="M208" s="43">
        <f t="shared" si="43"/>
        <v>1003459</v>
      </c>
      <c r="N208" s="188">
        <v>6798</v>
      </c>
      <c r="O208" s="188">
        <v>145075</v>
      </c>
      <c r="P208" s="188">
        <v>458440</v>
      </c>
      <c r="Q208" s="167">
        <f t="shared" si="45"/>
        <v>80922</v>
      </c>
      <c r="R208" s="29">
        <f t="shared" si="42"/>
        <v>10335</v>
      </c>
      <c r="S208" s="185">
        <f t="shared" si="46"/>
        <v>2.7845336390252971E-2</v>
      </c>
      <c r="T208" s="186">
        <f t="shared" si="41"/>
        <v>2.633639220006305E-2</v>
      </c>
      <c r="U208" s="146"/>
      <c r="V208" s="146"/>
    </row>
    <row r="209" spans="1:22" x14ac:dyDescent="0.25">
      <c r="A209" s="75">
        <v>44100</v>
      </c>
      <c r="B209" s="4">
        <v>11249</v>
      </c>
      <c r="C209" s="7">
        <f t="shared" si="48"/>
        <v>702484</v>
      </c>
      <c r="D209" s="4">
        <v>337</v>
      </c>
      <c r="E209" s="7">
        <f t="shared" si="47"/>
        <v>15542</v>
      </c>
      <c r="F209" s="16">
        <f t="shared" si="40"/>
        <v>9565</v>
      </c>
      <c r="G209" s="194">
        <v>556489</v>
      </c>
      <c r="H209" s="4">
        <v>3633</v>
      </c>
      <c r="I209" s="4">
        <v>22101</v>
      </c>
      <c r="J209" s="4">
        <f t="shared" si="44"/>
        <v>1888190</v>
      </c>
      <c r="K209" s="7">
        <v>1537</v>
      </c>
      <c r="L209" s="7">
        <v>1014163</v>
      </c>
      <c r="M209" s="43">
        <f t="shared" si="43"/>
        <v>1015700</v>
      </c>
      <c r="N209" s="188">
        <v>6835</v>
      </c>
      <c r="O209" s="188">
        <v>146416</v>
      </c>
      <c r="P209" s="188">
        <v>464913</v>
      </c>
      <c r="Q209" s="167">
        <f t="shared" si="45"/>
        <v>84320</v>
      </c>
      <c r="R209" s="29">
        <f t="shared" si="42"/>
        <v>9565</v>
      </c>
      <c r="S209" s="185">
        <f t="shared" si="46"/>
        <v>2.7849110407579741E-2</v>
      </c>
      <c r="T209" s="186">
        <f t="shared" si="41"/>
        <v>2.6386559187249158E-2</v>
      </c>
      <c r="U209" s="146"/>
      <c r="V209" s="146"/>
    </row>
    <row r="210" spans="1:22" x14ac:dyDescent="0.25">
      <c r="A210" s="75">
        <v>44101</v>
      </c>
      <c r="B210" s="4">
        <v>8841</v>
      </c>
      <c r="C210" s="7">
        <f t="shared" si="48"/>
        <v>711325</v>
      </c>
      <c r="D210" s="4">
        <v>206</v>
      </c>
      <c r="E210" s="7">
        <f t="shared" si="47"/>
        <v>15748</v>
      </c>
      <c r="F210" s="16">
        <f t="shared" si="40"/>
        <v>9446</v>
      </c>
      <c r="G210" s="194">
        <v>565935</v>
      </c>
      <c r="H210" s="4">
        <v>3604</v>
      </c>
      <c r="I210" s="4">
        <v>15171</v>
      </c>
      <c r="J210" s="4">
        <f t="shared" si="44"/>
        <v>1903361</v>
      </c>
      <c r="K210" s="7">
        <v>1567</v>
      </c>
      <c r="L210" s="7">
        <v>1021244</v>
      </c>
      <c r="M210" s="43">
        <f t="shared" si="43"/>
        <v>1022811</v>
      </c>
      <c r="N210" s="188">
        <v>6874</v>
      </c>
      <c r="O210" s="188">
        <v>147538</v>
      </c>
      <c r="P210" s="188">
        <v>469799</v>
      </c>
      <c r="Q210" s="167">
        <f t="shared" si="45"/>
        <v>87114</v>
      </c>
      <c r="R210" s="29">
        <f t="shared" si="42"/>
        <v>9446</v>
      </c>
      <c r="S210" s="185">
        <f t="shared" si="46"/>
        <v>2.779963283503803E-2</v>
      </c>
      <c r="T210" s="186">
        <f t="shared" si="41"/>
        <v>2.6171945761517535E-2</v>
      </c>
      <c r="U210" s="146"/>
      <c r="V210" s="146"/>
    </row>
    <row r="211" spans="1:22" x14ac:dyDescent="0.25">
      <c r="A211" s="75">
        <v>44102</v>
      </c>
      <c r="B211" s="4">
        <v>11807</v>
      </c>
      <c r="C211" s="7">
        <f t="shared" si="48"/>
        <v>723132</v>
      </c>
      <c r="D211" s="4">
        <v>365</v>
      </c>
      <c r="E211" s="7">
        <f t="shared" si="47"/>
        <v>16113</v>
      </c>
      <c r="F211" s="16">
        <f t="shared" si="40"/>
        <v>10780</v>
      </c>
      <c r="G211" s="194">
        <v>576715</v>
      </c>
      <c r="H211" s="4">
        <v>3678</v>
      </c>
      <c r="I211" s="4">
        <v>21356</v>
      </c>
      <c r="J211" s="4">
        <f t="shared" si="44"/>
        <v>1924717</v>
      </c>
      <c r="K211" s="7">
        <v>1611</v>
      </c>
      <c r="L211" s="7">
        <v>1031143</v>
      </c>
      <c r="M211" s="43">
        <f t="shared" si="43"/>
        <v>1032754</v>
      </c>
      <c r="N211" s="188">
        <v>6984</v>
      </c>
      <c r="O211" s="188">
        <v>149538</v>
      </c>
      <c r="P211" s="188">
        <v>478119</v>
      </c>
      <c r="Q211" s="167">
        <f t="shared" si="45"/>
        <v>88491</v>
      </c>
      <c r="R211" s="29">
        <f t="shared" si="42"/>
        <v>10780</v>
      </c>
      <c r="S211" s="185">
        <f t="shared" si="46"/>
        <v>2.8226301571709234E-2</v>
      </c>
      <c r="T211" s="186">
        <f>E211/C201</f>
        <v>2.6257296409400676E-2</v>
      </c>
      <c r="U211" s="146"/>
      <c r="V211" s="146"/>
    </row>
    <row r="212" spans="1:22" x14ac:dyDescent="0.25">
      <c r="A212" s="75">
        <v>44103</v>
      </c>
      <c r="B212" s="152">
        <v>13477</v>
      </c>
      <c r="C212" s="7">
        <f t="shared" si="48"/>
        <v>736609</v>
      </c>
      <c r="D212" s="4">
        <v>405</v>
      </c>
      <c r="E212" s="7">
        <f t="shared" si="47"/>
        <v>16518</v>
      </c>
      <c r="F212" s="16">
        <f t="shared" si="40"/>
        <v>9142</v>
      </c>
      <c r="G212" s="194">
        <v>585857</v>
      </c>
      <c r="H212" s="4">
        <v>3768</v>
      </c>
      <c r="I212" s="4">
        <v>25072</v>
      </c>
      <c r="J212" s="4">
        <f t="shared" si="44"/>
        <v>1949789</v>
      </c>
      <c r="K212" s="7">
        <v>1774</v>
      </c>
      <c r="L212" s="66">
        <v>1043210</v>
      </c>
      <c r="M212" s="43">
        <f t="shared" si="43"/>
        <v>1044984</v>
      </c>
      <c r="N212" s="188">
        <v>7083</v>
      </c>
      <c r="O212" s="188">
        <v>151787</v>
      </c>
      <c r="P212" s="188">
        <v>487971</v>
      </c>
      <c r="Q212" s="167">
        <f t="shared" si="45"/>
        <v>89768</v>
      </c>
      <c r="R212" s="29">
        <f t="shared" si="42"/>
        <v>9142</v>
      </c>
      <c r="S212" s="185">
        <f t="shared" ref="S212:S220" si="49">H212/(C212-E212-G212)</f>
        <v>2.8070384552348882E-2</v>
      </c>
      <c r="T212" s="186">
        <f>E212/C202</f>
        <v>2.6516452786330493E-2</v>
      </c>
      <c r="V212" s="146"/>
    </row>
    <row r="213" spans="1:22" x14ac:dyDescent="0.25">
      <c r="A213" s="75">
        <v>44104</v>
      </c>
      <c r="B213" s="16">
        <v>14392</v>
      </c>
      <c r="C213" s="7">
        <f t="shared" si="48"/>
        <v>751001</v>
      </c>
      <c r="D213" s="4">
        <v>418</v>
      </c>
      <c r="E213" s="7">
        <f t="shared" si="47"/>
        <v>16936</v>
      </c>
      <c r="F213" s="16">
        <f t="shared" si="40"/>
        <v>8788</v>
      </c>
      <c r="G213" s="194">
        <v>594645</v>
      </c>
      <c r="H213" s="4">
        <v>3792</v>
      </c>
      <c r="I213" s="4">
        <v>26524</v>
      </c>
      <c r="J213" s="4">
        <f t="shared" si="44"/>
        <v>1976313</v>
      </c>
      <c r="K213" s="153">
        <v>2013</v>
      </c>
      <c r="L213" s="9">
        <v>1055774</v>
      </c>
      <c r="M213" s="182">
        <f t="shared" si="43"/>
        <v>1057787</v>
      </c>
      <c r="N213" s="188">
        <v>7162</v>
      </c>
      <c r="O213" s="188">
        <v>153949</v>
      </c>
      <c r="P213" s="188">
        <v>498519</v>
      </c>
      <c r="Q213" s="167">
        <f t="shared" si="45"/>
        <v>91371</v>
      </c>
      <c r="R213" s="29">
        <f t="shared" si="42"/>
        <v>8788</v>
      </c>
      <c r="S213" s="185">
        <f t="shared" si="49"/>
        <v>2.7198393343853107E-2</v>
      </c>
      <c r="T213" s="186">
        <f>E213/C203</f>
        <v>2.682442010564412E-2</v>
      </c>
      <c r="V213" s="146"/>
    </row>
    <row r="214" spans="1:22" x14ac:dyDescent="0.25">
      <c r="A214" s="75">
        <v>44105</v>
      </c>
      <c r="B214" s="4">
        <v>14001</v>
      </c>
      <c r="C214" s="7">
        <f t="shared" si="48"/>
        <v>765002</v>
      </c>
      <c r="D214" s="149">
        <v>3352</v>
      </c>
      <c r="E214" s="7">
        <f t="shared" si="47"/>
        <v>20288</v>
      </c>
      <c r="F214" s="16">
        <f t="shared" si="40"/>
        <v>8495</v>
      </c>
      <c r="G214" s="194">
        <v>603140</v>
      </c>
      <c r="H214" s="169">
        <v>3799</v>
      </c>
      <c r="I214" s="4">
        <v>26662</v>
      </c>
      <c r="J214" s="4">
        <f t="shared" si="44"/>
        <v>2002975</v>
      </c>
      <c r="K214" s="153">
        <v>1482</v>
      </c>
      <c r="L214" s="9">
        <v>1068705</v>
      </c>
      <c r="M214" s="182">
        <f t="shared" ref="M214:M225" si="50">L214+K214</f>
        <v>1070187</v>
      </c>
      <c r="N214" s="188">
        <v>7226</v>
      </c>
      <c r="O214" s="188">
        <v>155848</v>
      </c>
      <c r="P214" s="188">
        <v>508945</v>
      </c>
      <c r="Q214" s="167">
        <f t="shared" si="45"/>
        <v>92983</v>
      </c>
      <c r="R214" s="29">
        <f t="shared" si="42"/>
        <v>8495</v>
      </c>
      <c r="S214" s="185">
        <f t="shared" si="49"/>
        <v>2.6834023196349612E-2</v>
      </c>
      <c r="T214" s="186">
        <f>E214/C204</f>
        <v>3.1692720578242184E-2</v>
      </c>
      <c r="V214" s="146"/>
    </row>
    <row r="215" spans="1:22" x14ac:dyDescent="0.25">
      <c r="A215" s="75">
        <v>44106</v>
      </c>
      <c r="B215" s="150">
        <v>14687</v>
      </c>
      <c r="C215" s="7">
        <f t="shared" si="48"/>
        <v>779689</v>
      </c>
      <c r="D215" s="4">
        <v>309</v>
      </c>
      <c r="E215" s="7">
        <f t="shared" si="47"/>
        <v>20597</v>
      </c>
      <c r="F215" s="16">
        <f t="shared" si="40"/>
        <v>11375</v>
      </c>
      <c r="G215" s="194">
        <v>614515</v>
      </c>
      <c r="H215" s="169">
        <v>3828</v>
      </c>
      <c r="I215" s="4">
        <v>27537</v>
      </c>
      <c r="J215" s="4">
        <f t="shared" si="44"/>
        <v>2030512</v>
      </c>
      <c r="K215" s="7">
        <v>1492</v>
      </c>
      <c r="L215" s="9">
        <v>1082729</v>
      </c>
      <c r="M215" s="43">
        <f t="shared" si="50"/>
        <v>1084221</v>
      </c>
      <c r="N215" s="188">
        <v>7323</v>
      </c>
      <c r="O215" s="188">
        <v>158001</v>
      </c>
      <c r="P215" s="188">
        <v>520163</v>
      </c>
      <c r="Q215" s="167">
        <f t="shared" si="45"/>
        <v>94202</v>
      </c>
      <c r="R215" s="29">
        <f t="shared" si="42"/>
        <v>11375</v>
      </c>
      <c r="S215" s="185">
        <f t="shared" si="49"/>
        <v>2.6477240501601221E-2</v>
      </c>
      <c r="T215" s="62">
        <f t="shared" ref="T215:T232" si="51">E215/C195</f>
        <v>3.7690239916849805E-2</v>
      </c>
      <c r="V215" s="146"/>
    </row>
    <row r="216" spans="1:22" x14ac:dyDescent="0.25">
      <c r="A216" s="87">
        <v>44107</v>
      </c>
      <c r="B216" s="47">
        <v>11129</v>
      </c>
      <c r="C216" s="66">
        <f t="shared" si="48"/>
        <v>790818</v>
      </c>
      <c r="D216" s="47">
        <v>195</v>
      </c>
      <c r="E216" s="66">
        <f t="shared" si="47"/>
        <v>20792</v>
      </c>
      <c r="F216" s="16">
        <f t="shared" si="40"/>
        <v>11599</v>
      </c>
      <c r="G216" s="194">
        <v>626114</v>
      </c>
      <c r="H216" s="169">
        <v>3820</v>
      </c>
      <c r="I216" s="47">
        <v>20525</v>
      </c>
      <c r="J216" s="47">
        <f t="shared" si="44"/>
        <v>2051037</v>
      </c>
      <c r="K216" s="66">
        <v>1499</v>
      </c>
      <c r="L216" s="66">
        <v>1095695</v>
      </c>
      <c r="M216" s="183">
        <f t="shared" si="50"/>
        <v>1097194</v>
      </c>
      <c r="N216" s="188">
        <v>7387</v>
      </c>
      <c r="O216" s="188">
        <v>159347</v>
      </c>
      <c r="P216" s="188">
        <v>527803</v>
      </c>
      <c r="Q216" s="167">
        <f t="shared" si="45"/>
        <v>96281</v>
      </c>
      <c r="R216" s="29">
        <f t="shared" si="42"/>
        <v>11599</v>
      </c>
      <c r="S216" s="185">
        <f t="shared" si="49"/>
        <v>2.6543999110567568E-2</v>
      </c>
      <c r="T216" s="62">
        <f t="shared" si="51"/>
        <v>3.7426850056791895E-2</v>
      </c>
      <c r="V216" s="146"/>
    </row>
    <row r="217" spans="1:22" x14ac:dyDescent="0.25">
      <c r="A217" s="75">
        <v>44108</v>
      </c>
      <c r="B217" s="4">
        <v>7668</v>
      </c>
      <c r="C217" s="7">
        <f t="shared" si="48"/>
        <v>798486</v>
      </c>
      <c r="D217" s="4">
        <v>222</v>
      </c>
      <c r="E217" s="7">
        <f t="shared" si="47"/>
        <v>21014</v>
      </c>
      <c r="F217" s="16">
        <f t="shared" si="40"/>
        <v>10558</v>
      </c>
      <c r="G217" s="194">
        <v>636672</v>
      </c>
      <c r="H217" s="169">
        <v>3950</v>
      </c>
      <c r="I217" s="4">
        <v>13213</v>
      </c>
      <c r="J217" s="4">
        <f t="shared" si="44"/>
        <v>2064250</v>
      </c>
      <c r="K217" s="7">
        <v>1504</v>
      </c>
      <c r="L217" s="7">
        <v>1103068</v>
      </c>
      <c r="M217" s="43">
        <f t="shared" si="50"/>
        <v>1104572</v>
      </c>
      <c r="N217" s="188">
        <v>7425</v>
      </c>
      <c r="O217" s="188">
        <v>160401</v>
      </c>
      <c r="P217" s="188">
        <v>533573</v>
      </c>
      <c r="Q217" s="167">
        <f t="shared" si="45"/>
        <v>97087</v>
      </c>
      <c r="R217" s="29">
        <f t="shared" si="42"/>
        <v>10558</v>
      </c>
      <c r="S217" s="185">
        <f t="shared" si="49"/>
        <v>2.8053977272727272E-2</v>
      </c>
      <c r="T217" s="62">
        <f t="shared" si="51"/>
        <v>3.7163584144197674E-2</v>
      </c>
      <c r="V217" s="146"/>
    </row>
    <row r="218" spans="1:22" x14ac:dyDescent="0.25">
      <c r="A218" s="75">
        <v>44109</v>
      </c>
      <c r="B218" s="161">
        <v>11242</v>
      </c>
      <c r="C218" s="7">
        <f t="shared" si="48"/>
        <v>809728</v>
      </c>
      <c r="D218" s="4">
        <v>451</v>
      </c>
      <c r="E218" s="7">
        <f t="shared" si="47"/>
        <v>21465</v>
      </c>
      <c r="F218" s="16">
        <f t="shared" si="40"/>
        <v>12345</v>
      </c>
      <c r="G218" s="194">
        <v>649017</v>
      </c>
      <c r="H218" s="169">
        <v>3978</v>
      </c>
      <c r="I218" s="4">
        <v>20263</v>
      </c>
      <c r="J218" s="4">
        <f t="shared" si="44"/>
        <v>2084513</v>
      </c>
      <c r="K218" s="7">
        <v>1508</v>
      </c>
      <c r="L218" s="7">
        <v>1113469</v>
      </c>
      <c r="M218" s="43">
        <f t="shared" si="50"/>
        <v>1114977</v>
      </c>
      <c r="N218" s="188">
        <v>7503</v>
      </c>
      <c r="O218" s="188">
        <v>162682</v>
      </c>
      <c r="P218" s="188">
        <v>544916</v>
      </c>
      <c r="Q218" s="167">
        <f t="shared" si="45"/>
        <v>94627</v>
      </c>
      <c r="R218" s="29">
        <f t="shared" si="42"/>
        <v>12345</v>
      </c>
      <c r="S218" s="185">
        <f t="shared" si="49"/>
        <v>2.856814558407423E-2</v>
      </c>
      <c r="T218" s="62">
        <f t="shared" si="51"/>
        <v>3.7179260675722019E-2</v>
      </c>
      <c r="V218" s="146"/>
    </row>
    <row r="219" spans="1:22" x14ac:dyDescent="0.25">
      <c r="A219" s="75">
        <v>44110</v>
      </c>
      <c r="B219" s="161">
        <v>14740</v>
      </c>
      <c r="C219" s="7">
        <f t="shared" si="48"/>
        <v>824468</v>
      </c>
      <c r="D219" s="4">
        <v>359</v>
      </c>
      <c r="E219" s="7">
        <f t="shared" si="47"/>
        <v>21824</v>
      </c>
      <c r="F219" s="16">
        <f t="shared" si="40"/>
        <v>11255</v>
      </c>
      <c r="G219" s="194">
        <v>660272</v>
      </c>
      <c r="H219" s="169">
        <v>4007</v>
      </c>
      <c r="I219" s="4">
        <v>26481</v>
      </c>
      <c r="J219" s="4">
        <f t="shared" si="44"/>
        <v>2110994</v>
      </c>
      <c r="K219" s="7">
        <v>1528</v>
      </c>
      <c r="L219" s="7">
        <v>1127417</v>
      </c>
      <c r="M219" s="43">
        <f t="shared" si="50"/>
        <v>1128945</v>
      </c>
      <c r="N219" s="188">
        <v>7581</v>
      </c>
      <c r="O219" s="188">
        <v>165737</v>
      </c>
      <c r="P219" s="188">
        <v>556132</v>
      </c>
      <c r="Q219" s="167">
        <f t="shared" si="45"/>
        <v>95018</v>
      </c>
      <c r="R219" s="29">
        <f t="shared" si="42"/>
        <v>11255</v>
      </c>
      <c r="S219" s="185">
        <f t="shared" si="49"/>
        <v>2.8144578990250892E-2</v>
      </c>
      <c r="T219" s="62">
        <f t="shared" si="51"/>
        <v>3.7051876702002676E-2</v>
      </c>
      <c r="V219" s="146"/>
    </row>
    <row r="220" spans="1:22" x14ac:dyDescent="0.25">
      <c r="A220" s="75">
        <v>44111</v>
      </c>
      <c r="B220" s="161">
        <v>16447</v>
      </c>
      <c r="C220" s="7">
        <f t="shared" si="48"/>
        <v>840915</v>
      </c>
      <c r="D220" s="4">
        <v>401</v>
      </c>
      <c r="E220" s="7">
        <f t="shared" si="47"/>
        <v>22225</v>
      </c>
      <c r="F220" s="16">
        <f t="shared" si="40"/>
        <v>10453</v>
      </c>
      <c r="G220" s="194">
        <v>670725</v>
      </c>
      <c r="H220" s="169">
        <v>3997</v>
      </c>
      <c r="I220" s="162">
        <v>29441</v>
      </c>
      <c r="J220" s="4">
        <f t="shared" si="44"/>
        <v>2140435</v>
      </c>
      <c r="K220" s="7">
        <v>1542</v>
      </c>
      <c r="L220" s="7">
        <v>1142661</v>
      </c>
      <c r="M220" s="43">
        <f t="shared" si="50"/>
        <v>1144203</v>
      </c>
      <c r="N220" s="188">
        <v>7669</v>
      </c>
      <c r="O220" s="188">
        <v>168593</v>
      </c>
      <c r="P220" s="188">
        <v>568246</v>
      </c>
      <c r="Q220" s="167">
        <f t="shared" si="45"/>
        <v>96407</v>
      </c>
      <c r="R220" s="29">
        <f t="shared" si="42"/>
        <v>10453</v>
      </c>
      <c r="S220" s="185">
        <f t="shared" si="49"/>
        <v>2.7013145000506878E-2</v>
      </c>
      <c r="T220" s="62">
        <f t="shared" si="51"/>
        <v>3.6936213776335228E-2</v>
      </c>
      <c r="V220" s="146"/>
    </row>
    <row r="221" spans="1:22" x14ac:dyDescent="0.25">
      <c r="A221" s="75">
        <v>44112</v>
      </c>
      <c r="B221" s="4">
        <v>15454</v>
      </c>
      <c r="C221" s="16">
        <f t="shared" si="48"/>
        <v>856369</v>
      </c>
      <c r="D221" s="4">
        <v>485</v>
      </c>
      <c r="E221" s="7">
        <f t="shared" si="47"/>
        <v>22710</v>
      </c>
      <c r="F221" s="16">
        <f t="shared" si="40"/>
        <v>14119</v>
      </c>
      <c r="G221" s="194">
        <v>684844</v>
      </c>
      <c r="H221" s="169">
        <v>4043</v>
      </c>
      <c r="I221" s="4">
        <v>25841</v>
      </c>
      <c r="J221" s="4">
        <f t="shared" si="44"/>
        <v>2166276</v>
      </c>
      <c r="K221" s="7">
        <v>1544</v>
      </c>
      <c r="L221" s="7">
        <v>1155668</v>
      </c>
      <c r="M221" s="43">
        <f t="shared" si="50"/>
        <v>1157212</v>
      </c>
      <c r="N221" s="188">
        <v>7761</v>
      </c>
      <c r="O221" s="188">
        <v>171322</v>
      </c>
      <c r="P221" s="188">
        <v>578517</v>
      </c>
      <c r="Q221" s="167">
        <f t="shared" si="45"/>
        <v>98769</v>
      </c>
      <c r="R221" s="29">
        <f t="shared" si="42"/>
        <v>14119</v>
      </c>
      <c r="S221" s="185">
        <f t="shared" ref="S221:S227" si="52">H221/(C221-E221-G221)</f>
        <v>2.7167960219063939E-2</v>
      </c>
      <c r="T221" s="62">
        <f t="shared" si="51"/>
        <v>3.7007584028889054E-2</v>
      </c>
      <c r="V221" s="146"/>
    </row>
    <row r="222" spans="1:22" x14ac:dyDescent="0.25">
      <c r="A222" s="163">
        <v>44113</v>
      </c>
      <c r="B222" s="164">
        <v>15099</v>
      </c>
      <c r="C222" s="16">
        <f t="shared" si="48"/>
        <v>871468</v>
      </c>
      <c r="D222" s="165">
        <v>514</v>
      </c>
      <c r="E222" s="66">
        <f t="shared" si="47"/>
        <v>23224</v>
      </c>
      <c r="F222" s="16">
        <f t="shared" si="40"/>
        <v>12297</v>
      </c>
      <c r="G222" s="194">
        <v>697141</v>
      </c>
      <c r="H222" s="169">
        <v>4092</v>
      </c>
      <c r="I222" s="47">
        <v>25174</v>
      </c>
      <c r="J222" s="47">
        <f t="shared" si="44"/>
        <v>2191450</v>
      </c>
      <c r="K222" s="66">
        <v>1564</v>
      </c>
      <c r="L222" s="66">
        <v>1172099</v>
      </c>
      <c r="M222" s="183">
        <f t="shared" si="50"/>
        <v>1173663</v>
      </c>
      <c r="N222" s="188">
        <v>7817</v>
      </c>
      <c r="O222" s="188">
        <v>174267</v>
      </c>
      <c r="P222" s="188">
        <v>588788</v>
      </c>
      <c r="Q222" s="167">
        <f t="shared" si="45"/>
        <v>100596</v>
      </c>
      <c r="R222" s="29">
        <f t="shared" si="42"/>
        <v>12297</v>
      </c>
      <c r="S222" s="185">
        <f t="shared" si="52"/>
        <v>2.7080865369979418E-2</v>
      </c>
      <c r="T222" s="62">
        <f t="shared" si="51"/>
        <v>3.7281638183178312E-2</v>
      </c>
      <c r="V222" s="146"/>
    </row>
    <row r="223" spans="1:22" x14ac:dyDescent="0.25">
      <c r="A223" s="166">
        <v>44114</v>
      </c>
      <c r="B223" s="167">
        <v>12414</v>
      </c>
      <c r="C223" s="16">
        <f t="shared" si="48"/>
        <v>883882</v>
      </c>
      <c r="D223" s="167">
        <v>357</v>
      </c>
      <c r="E223" s="168">
        <f t="shared" si="47"/>
        <v>23581</v>
      </c>
      <c r="F223" s="16">
        <f t="shared" si="40"/>
        <v>12323</v>
      </c>
      <c r="G223" s="194">
        <v>709464</v>
      </c>
      <c r="H223" s="169">
        <v>4200</v>
      </c>
      <c r="I223" s="167">
        <v>19871</v>
      </c>
      <c r="J223" s="167">
        <f t="shared" si="44"/>
        <v>2211321</v>
      </c>
      <c r="K223" s="168">
        <v>1566</v>
      </c>
      <c r="L223" s="168">
        <v>1182752</v>
      </c>
      <c r="M223" s="184">
        <f t="shared" si="50"/>
        <v>1184318</v>
      </c>
      <c r="N223" s="188">
        <v>7886</v>
      </c>
      <c r="O223" s="188">
        <v>176230</v>
      </c>
      <c r="P223" s="188">
        <v>594738</v>
      </c>
      <c r="Q223" s="167">
        <f t="shared" si="45"/>
        <v>105028</v>
      </c>
      <c r="R223" s="29">
        <f t="shared" si="42"/>
        <v>12323</v>
      </c>
      <c r="S223" s="185">
        <f t="shared" si="52"/>
        <v>2.7844626981443545E-2</v>
      </c>
      <c r="T223" s="62">
        <f t="shared" si="51"/>
        <v>3.7349235386820619E-2</v>
      </c>
      <c r="V223" s="146"/>
    </row>
    <row r="224" spans="1:22" x14ac:dyDescent="0.25">
      <c r="A224" s="191">
        <v>44115</v>
      </c>
      <c r="B224" s="192">
        <v>10324</v>
      </c>
      <c r="C224" s="199">
        <f t="shared" si="48"/>
        <v>894206</v>
      </c>
      <c r="D224" s="192">
        <v>287</v>
      </c>
      <c r="E224" s="193">
        <f t="shared" si="47"/>
        <v>23868</v>
      </c>
      <c r="F224" s="16">
        <f t="shared" si="40"/>
        <v>11916</v>
      </c>
      <c r="G224" s="194">
        <v>721380</v>
      </c>
      <c r="H224" s="195">
        <v>4237</v>
      </c>
      <c r="I224" s="192">
        <v>14237</v>
      </c>
      <c r="J224" s="199">
        <v>2225558</v>
      </c>
      <c r="K224" s="193">
        <v>1567</v>
      </c>
      <c r="L224" s="193">
        <v>1189378</v>
      </c>
      <c r="M224" s="200">
        <f t="shared" si="50"/>
        <v>1190945</v>
      </c>
      <c r="N224" s="196">
        <v>7932</v>
      </c>
      <c r="O224" s="196">
        <v>177557</v>
      </c>
      <c r="P224" s="196">
        <v>599352</v>
      </c>
      <c r="Q224" s="192">
        <f t="shared" si="45"/>
        <v>109365</v>
      </c>
      <c r="R224" s="29">
        <f t="shared" si="42"/>
        <v>11916</v>
      </c>
      <c r="S224" s="197">
        <f t="shared" si="52"/>
        <v>2.8444259455685496E-2</v>
      </c>
      <c r="T224" s="156">
        <f t="shared" si="51"/>
        <v>3.7285186058827115E-2</v>
      </c>
      <c r="V224" s="146"/>
    </row>
    <row r="225" spans="1:22" x14ac:dyDescent="0.25">
      <c r="A225" s="158">
        <v>44116</v>
      </c>
      <c r="B225" s="4">
        <v>9524</v>
      </c>
      <c r="C225" s="16">
        <f t="shared" si="48"/>
        <v>903730</v>
      </c>
      <c r="D225" s="4">
        <v>318</v>
      </c>
      <c r="E225" s="7">
        <f t="shared" si="47"/>
        <v>24186</v>
      </c>
      <c r="F225" s="16">
        <f t="shared" si="40"/>
        <v>11202</v>
      </c>
      <c r="G225" s="198">
        <v>732582</v>
      </c>
      <c r="H225" s="16">
        <v>4287</v>
      </c>
      <c r="I225" s="4">
        <v>13956</v>
      </c>
      <c r="J225" s="16">
        <f t="shared" ref="J225:J231" si="53">J224+I225</f>
        <v>2239514</v>
      </c>
      <c r="K225" s="7">
        <v>1567</v>
      </c>
      <c r="L225" s="7">
        <v>1196534</v>
      </c>
      <c r="M225" s="12">
        <f t="shared" si="50"/>
        <v>1198101</v>
      </c>
      <c r="N225" s="9">
        <v>7963</v>
      </c>
      <c r="O225" s="9">
        <v>179298</v>
      </c>
      <c r="P225" s="9">
        <v>608522</v>
      </c>
      <c r="Q225" s="4">
        <f t="shared" si="45"/>
        <v>107947</v>
      </c>
      <c r="R225" s="29">
        <f t="shared" si="42"/>
        <v>11202</v>
      </c>
      <c r="S225" s="72">
        <f t="shared" si="52"/>
        <v>2.9170806058709055E-2</v>
      </c>
      <c r="T225" s="62">
        <f t="shared" si="51"/>
        <v>3.7085195055307323E-2</v>
      </c>
      <c r="V225" s="146"/>
    </row>
    <row r="226" spans="1:22" x14ac:dyDescent="0.25">
      <c r="A226" s="158">
        <v>44117</v>
      </c>
      <c r="B226" s="4">
        <v>13305</v>
      </c>
      <c r="C226" s="16">
        <f t="shared" si="48"/>
        <v>917035</v>
      </c>
      <c r="D226" s="4">
        <v>385</v>
      </c>
      <c r="E226" s="7">
        <f t="shared" si="47"/>
        <v>24571</v>
      </c>
      <c r="F226" s="16">
        <f t="shared" si="40"/>
        <v>9653</v>
      </c>
      <c r="G226" s="198">
        <v>742235</v>
      </c>
      <c r="H226" s="16">
        <v>4294</v>
      </c>
      <c r="I226" s="16">
        <v>20544</v>
      </c>
      <c r="J226" s="16">
        <f t="shared" si="53"/>
        <v>2260058</v>
      </c>
      <c r="K226" s="7">
        <v>1574</v>
      </c>
      <c r="L226" s="7">
        <v>1207475</v>
      </c>
      <c r="M226" s="7">
        <f t="shared" ref="M226:M231" si="54">K226+L226</f>
        <v>1209049</v>
      </c>
      <c r="N226" s="9">
        <v>8033</v>
      </c>
      <c r="O226" s="9">
        <v>182045</v>
      </c>
      <c r="P226" s="9">
        <v>619199</v>
      </c>
      <c r="Q226" s="4">
        <f t="shared" si="45"/>
        <v>107758</v>
      </c>
      <c r="R226" s="29">
        <f t="shared" si="42"/>
        <v>9653</v>
      </c>
      <c r="S226" s="72">
        <f t="shared" si="52"/>
        <v>2.8583029907674282E-2</v>
      </c>
      <c r="T226" s="62">
        <f t="shared" si="51"/>
        <v>3.6960043562039052E-2</v>
      </c>
      <c r="V226" s="146"/>
    </row>
    <row r="227" spans="1:22" x14ac:dyDescent="0.25">
      <c r="A227" s="158">
        <v>44118</v>
      </c>
      <c r="B227" s="4">
        <v>14932</v>
      </c>
      <c r="C227" s="16">
        <f t="shared" si="48"/>
        <v>931967</v>
      </c>
      <c r="D227" s="4">
        <v>350</v>
      </c>
      <c r="E227" s="7">
        <f t="shared" si="47"/>
        <v>24921</v>
      </c>
      <c r="F227" s="16">
        <f t="shared" si="40"/>
        <v>8911</v>
      </c>
      <c r="G227" s="198">
        <v>751146</v>
      </c>
      <c r="H227" s="16">
        <v>4316</v>
      </c>
      <c r="I227" s="4">
        <v>23519</v>
      </c>
      <c r="J227" s="16">
        <f t="shared" si="53"/>
        <v>2283577</v>
      </c>
      <c r="K227" s="7">
        <v>1574</v>
      </c>
      <c r="L227" s="7">
        <v>1219715</v>
      </c>
      <c r="M227" s="7">
        <f t="shared" si="54"/>
        <v>1221289</v>
      </c>
      <c r="N227" s="9">
        <v>8098</v>
      </c>
      <c r="O227" s="9">
        <v>184890</v>
      </c>
      <c r="P227" s="9">
        <v>629734</v>
      </c>
      <c r="Q227" s="4">
        <f t="shared" si="45"/>
        <v>109245</v>
      </c>
      <c r="R227" s="29">
        <f t="shared" si="42"/>
        <v>8911</v>
      </c>
      <c r="S227" s="72">
        <f t="shared" si="52"/>
        <v>2.7684413085311096E-2</v>
      </c>
      <c r="T227" s="62">
        <f t="shared" si="51"/>
        <v>3.6742222078063769E-2</v>
      </c>
      <c r="V227" s="146"/>
    </row>
    <row r="228" spans="1:22" x14ac:dyDescent="0.25">
      <c r="A228" s="158">
        <v>44119</v>
      </c>
      <c r="B228" s="149">
        <v>17096</v>
      </c>
      <c r="C228" s="16">
        <f t="shared" si="48"/>
        <v>949063</v>
      </c>
      <c r="D228" s="4">
        <v>421</v>
      </c>
      <c r="E228" s="7">
        <f t="shared" si="47"/>
        <v>25342</v>
      </c>
      <c r="F228" s="16">
        <f t="shared" si="40"/>
        <v>13713</v>
      </c>
      <c r="G228" s="198">
        <v>764859</v>
      </c>
      <c r="H228" s="16">
        <v>4278</v>
      </c>
      <c r="I228" s="4">
        <v>27662</v>
      </c>
      <c r="J228" s="16">
        <f t="shared" si="53"/>
        <v>2311239</v>
      </c>
      <c r="K228" s="7">
        <v>1575</v>
      </c>
      <c r="L228" s="7">
        <v>1234321</v>
      </c>
      <c r="M228" s="7">
        <f t="shared" si="54"/>
        <v>1235896</v>
      </c>
      <c r="N228" s="9">
        <v>8172</v>
      </c>
      <c r="O228" s="9">
        <v>187747</v>
      </c>
      <c r="P228" s="9">
        <v>642465</v>
      </c>
      <c r="Q228" s="4">
        <f t="shared" si="45"/>
        <v>110679</v>
      </c>
      <c r="R228" s="29">
        <f t="shared" si="42"/>
        <v>13713</v>
      </c>
      <c r="S228" s="72">
        <f t="shared" ref="S228:S245" si="55">H228/(C228-E228-G228)</f>
        <v>2.692903274540167E-2</v>
      </c>
      <c r="T228" s="62">
        <f t="shared" si="51"/>
        <v>3.6661916714286751E-2</v>
      </c>
      <c r="V228" s="146"/>
    </row>
    <row r="229" spans="1:22" x14ac:dyDescent="0.25">
      <c r="A229" s="158">
        <v>44120</v>
      </c>
      <c r="B229" s="16">
        <v>16546</v>
      </c>
      <c r="C229" s="16">
        <f t="shared" si="48"/>
        <v>965609</v>
      </c>
      <c r="D229" s="4">
        <v>379</v>
      </c>
      <c r="E229" s="7">
        <f t="shared" si="47"/>
        <v>25721</v>
      </c>
      <c r="F229" s="16">
        <f t="shared" si="40"/>
        <v>13642</v>
      </c>
      <c r="G229" s="198">
        <v>778501</v>
      </c>
      <c r="H229" s="16">
        <v>4346</v>
      </c>
      <c r="I229" s="4">
        <v>27412</v>
      </c>
      <c r="J229" s="16">
        <f t="shared" si="53"/>
        <v>2338651</v>
      </c>
      <c r="K229" s="7">
        <v>1597</v>
      </c>
      <c r="L229" s="7">
        <v>1248101</v>
      </c>
      <c r="M229" s="7">
        <f t="shared" si="54"/>
        <v>1249698</v>
      </c>
      <c r="N229" s="9">
        <v>8249</v>
      </c>
      <c r="O229" s="9">
        <v>190484</v>
      </c>
      <c r="P229" s="9">
        <v>653179</v>
      </c>
      <c r="Q229" s="4">
        <f t="shared" si="45"/>
        <v>113697</v>
      </c>
      <c r="R229" s="29">
        <f t="shared" si="42"/>
        <v>13642</v>
      </c>
      <c r="S229" s="72">
        <f t="shared" si="55"/>
        <v>2.6929058722201912E-2</v>
      </c>
      <c r="T229" s="62">
        <f t="shared" si="51"/>
        <v>3.6614357052972023E-2</v>
      </c>
      <c r="V229" s="146"/>
    </row>
    <row r="230" spans="1:22" x14ac:dyDescent="0.25">
      <c r="A230" s="158">
        <v>44121</v>
      </c>
      <c r="B230" s="16">
        <v>13510</v>
      </c>
      <c r="C230" s="16">
        <f t="shared" si="48"/>
        <v>979119</v>
      </c>
      <c r="D230" s="4">
        <v>383</v>
      </c>
      <c r="E230" s="7">
        <f t="shared" si="47"/>
        <v>26104</v>
      </c>
      <c r="F230" s="16">
        <f t="shared" si="40"/>
        <v>12673</v>
      </c>
      <c r="G230" s="198">
        <v>791174</v>
      </c>
      <c r="H230" s="16">
        <v>4386</v>
      </c>
      <c r="I230" s="4">
        <v>20955</v>
      </c>
      <c r="J230" s="16">
        <f t="shared" si="53"/>
        <v>2359606</v>
      </c>
      <c r="K230" s="7">
        <v>1611</v>
      </c>
      <c r="L230" s="7">
        <v>1260920</v>
      </c>
      <c r="M230" s="7">
        <f t="shared" si="54"/>
        <v>1262531</v>
      </c>
      <c r="N230" s="9">
        <v>8311</v>
      </c>
      <c r="O230" s="9">
        <v>192192</v>
      </c>
      <c r="P230" s="9">
        <v>661955</v>
      </c>
      <c r="Q230" s="4">
        <f t="shared" si="45"/>
        <v>116661</v>
      </c>
      <c r="R230" s="29">
        <f t="shared" si="42"/>
        <v>12673</v>
      </c>
      <c r="S230" s="72">
        <f t="shared" si="55"/>
        <v>2.7100672882644075E-2</v>
      </c>
      <c r="T230" s="62">
        <f t="shared" si="51"/>
        <v>3.6697712016307595E-2</v>
      </c>
      <c r="V230" s="146"/>
    </row>
    <row r="231" spans="1:22" x14ac:dyDescent="0.25">
      <c r="A231" s="158">
        <v>44122</v>
      </c>
      <c r="B231" s="16">
        <v>10561</v>
      </c>
      <c r="C231" s="16">
        <f t="shared" ref="C231:C241" si="56">C230+B231</f>
        <v>989680</v>
      </c>
      <c r="D231" s="4">
        <v>161</v>
      </c>
      <c r="E231" s="7">
        <f t="shared" ref="E231:E239" si="57">E230+D231</f>
        <v>26265</v>
      </c>
      <c r="F231" s="16">
        <f t="shared" si="40"/>
        <v>12791</v>
      </c>
      <c r="G231" s="198">
        <v>803965</v>
      </c>
      <c r="H231" s="16">
        <v>4387</v>
      </c>
      <c r="I231" s="4">
        <v>13890</v>
      </c>
      <c r="J231" s="16">
        <f t="shared" si="53"/>
        <v>2373496</v>
      </c>
      <c r="K231" s="7">
        <v>1617</v>
      </c>
      <c r="L231" s="7">
        <v>1269203</v>
      </c>
      <c r="M231" s="4">
        <f t="shared" si="54"/>
        <v>1270820</v>
      </c>
      <c r="N231" s="9">
        <v>8370</v>
      </c>
      <c r="O231" s="9">
        <v>193297</v>
      </c>
      <c r="P231" s="9">
        <v>669231</v>
      </c>
      <c r="Q231" s="4">
        <f t="shared" si="45"/>
        <v>118782</v>
      </c>
      <c r="R231" s="29">
        <f t="shared" si="42"/>
        <v>12791</v>
      </c>
      <c r="S231" s="72">
        <f t="shared" si="55"/>
        <v>2.751332706177485E-2</v>
      </c>
      <c r="T231" s="62">
        <f t="shared" si="51"/>
        <v>3.6321169578998024E-2</v>
      </c>
      <c r="V231" s="146"/>
    </row>
    <row r="232" spans="1:22" x14ac:dyDescent="0.25">
      <c r="A232" s="158">
        <v>44123</v>
      </c>
      <c r="B232" s="16">
        <v>12982</v>
      </c>
      <c r="C232" s="16">
        <f t="shared" si="56"/>
        <v>1002662</v>
      </c>
      <c r="D232" s="4">
        <v>448</v>
      </c>
      <c r="E232" s="7">
        <f t="shared" si="57"/>
        <v>26713</v>
      </c>
      <c r="F232" s="16">
        <f t="shared" si="40"/>
        <v>12282</v>
      </c>
      <c r="G232" s="198">
        <v>816247</v>
      </c>
      <c r="H232" s="16">
        <v>4392</v>
      </c>
      <c r="I232" s="4">
        <v>28395</v>
      </c>
      <c r="J232" s="16">
        <v>2626406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29">
        <f t="shared" si="42"/>
        <v>12282</v>
      </c>
      <c r="S232" s="72">
        <f t="shared" si="55"/>
        <v>2.7501221024157495E-2</v>
      </c>
      <c r="T232" s="62">
        <f t="shared" si="51"/>
        <v>3.6264829780792797E-2</v>
      </c>
      <c r="V232" s="146"/>
    </row>
    <row r="233" spans="1:22" x14ac:dyDescent="0.25">
      <c r="A233" s="158">
        <v>44124</v>
      </c>
      <c r="B233" s="16">
        <v>16337</v>
      </c>
      <c r="C233" s="16">
        <f t="shared" si="56"/>
        <v>1018999</v>
      </c>
      <c r="D233" s="4">
        <v>382</v>
      </c>
      <c r="E233" s="7">
        <f t="shared" si="57"/>
        <v>27095</v>
      </c>
      <c r="F233" s="16">
        <f t="shared" si="40"/>
        <v>13400</v>
      </c>
      <c r="G233" s="198">
        <v>829647</v>
      </c>
      <c r="H233" s="16">
        <v>4451</v>
      </c>
      <c r="I233" s="16">
        <v>37474</v>
      </c>
      <c r="J233" s="16">
        <v>2663880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6">
        <f>C233-N233-O233-P233</f>
        <v>121503</v>
      </c>
      <c r="R233" s="29">
        <f t="shared" si="42"/>
        <v>13400</v>
      </c>
      <c r="S233" s="72">
        <f t="shared" si="55"/>
        <v>2.7431790307968225E-2</v>
      </c>
      <c r="T233" s="62">
        <f t="shared" ref="T233:T245" si="58">E233/C213</f>
        <v>3.6078513876812414E-2</v>
      </c>
      <c r="V233" s="146"/>
    </row>
    <row r="234" spans="1:22" x14ac:dyDescent="0.25">
      <c r="A234" s="158">
        <v>44125</v>
      </c>
      <c r="B234" s="201">
        <v>18326</v>
      </c>
      <c r="C234" s="16">
        <f t="shared" si="56"/>
        <v>1037325</v>
      </c>
      <c r="D234" s="4">
        <v>423</v>
      </c>
      <c r="E234" s="7">
        <f t="shared" si="57"/>
        <v>27518</v>
      </c>
      <c r="F234" s="16">
        <f t="shared" si="40"/>
        <v>10873</v>
      </c>
      <c r="G234" s="198">
        <v>840520</v>
      </c>
      <c r="H234" s="16">
        <v>4573</v>
      </c>
      <c r="I234" s="16">
        <v>38340</v>
      </c>
      <c r="J234" s="16">
        <f t="shared" ref="J234:J239" si="59">J233+I234</f>
        <v>2702220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6">
        <f>C234-N234-O234-P234</f>
        <v>124454</v>
      </c>
      <c r="R234" s="29">
        <f t="shared" si="42"/>
        <v>10873</v>
      </c>
      <c r="S234" s="72">
        <f t="shared" si="55"/>
        <v>2.7013296945424044E-2</v>
      </c>
      <c r="T234" s="62">
        <f t="shared" si="58"/>
        <v>3.597114778784892E-2</v>
      </c>
      <c r="V234" s="146"/>
    </row>
    <row r="235" spans="1:22" x14ac:dyDescent="0.25">
      <c r="A235" s="158">
        <v>44126</v>
      </c>
      <c r="B235" s="16">
        <v>16325</v>
      </c>
      <c r="C235" s="16">
        <f t="shared" si="56"/>
        <v>1053650</v>
      </c>
      <c r="D235" s="205">
        <v>437</v>
      </c>
      <c r="E235" s="206">
        <f t="shared" si="57"/>
        <v>27955</v>
      </c>
      <c r="F235" s="16">
        <f t="shared" si="40"/>
        <v>11334</v>
      </c>
      <c r="G235" s="207">
        <v>851854</v>
      </c>
      <c r="H235" s="206">
        <v>4611</v>
      </c>
      <c r="I235" s="206">
        <v>39196</v>
      </c>
      <c r="J235" s="206">
        <f t="shared" si="59"/>
        <v>2741416</v>
      </c>
      <c r="K235" s="206">
        <v>1832</v>
      </c>
      <c r="L235" s="206">
        <v>1332741</v>
      </c>
      <c r="M235" s="206">
        <f>L235+K235</f>
        <v>1334573</v>
      </c>
      <c r="N235" s="206">
        <v>8614</v>
      </c>
      <c r="O235" s="206">
        <v>205085</v>
      </c>
      <c r="P235" s="206">
        <v>714929</v>
      </c>
      <c r="Q235" s="206">
        <f>C235-N235-O235-P235</f>
        <v>125022</v>
      </c>
      <c r="R235" s="207">
        <f t="shared" si="42"/>
        <v>11334</v>
      </c>
      <c r="S235" s="72">
        <f t="shared" si="55"/>
        <v>2.6524237665452914E-2</v>
      </c>
      <c r="T235" s="62">
        <f t="shared" si="58"/>
        <v>3.5854039238722109E-2</v>
      </c>
      <c r="V235" s="146"/>
    </row>
    <row r="236" spans="1:22" x14ac:dyDescent="0.25">
      <c r="A236" s="158">
        <v>44127</v>
      </c>
      <c r="B236" s="16">
        <v>15718</v>
      </c>
      <c r="C236" s="16">
        <f t="shared" si="56"/>
        <v>1069368</v>
      </c>
      <c r="D236" s="205">
        <v>382</v>
      </c>
      <c r="E236" s="206">
        <f t="shared" si="57"/>
        <v>28337</v>
      </c>
      <c r="F236" s="16">
        <f t="shared" si="40"/>
        <v>14841</v>
      </c>
      <c r="G236" s="207">
        <v>866695</v>
      </c>
      <c r="H236" s="206">
        <v>4696</v>
      </c>
      <c r="I236" s="206">
        <v>35671</v>
      </c>
      <c r="J236" s="206">
        <f t="shared" si="59"/>
        <v>2777087</v>
      </c>
      <c r="K236" s="206">
        <v>1839</v>
      </c>
      <c r="L236" s="206">
        <v>1348372</v>
      </c>
      <c r="M236" s="206">
        <f t="shared" ref="M236:M298" si="60">L236+K236</f>
        <v>1350211</v>
      </c>
      <c r="N236" s="206">
        <v>8671</v>
      </c>
      <c r="O236" s="208">
        <v>208116</v>
      </c>
      <c r="P236" s="208">
        <v>727467</v>
      </c>
      <c r="Q236" s="206">
        <f t="shared" ref="Q236:Q298" si="61">C236-N236-O236-P236</f>
        <v>125114</v>
      </c>
      <c r="R236" s="207">
        <f t="shared" si="42"/>
        <v>14841</v>
      </c>
      <c r="S236" s="72">
        <f t="shared" si="55"/>
        <v>2.6936490455212923E-2</v>
      </c>
      <c r="T236" s="62">
        <f t="shared" si="58"/>
        <v>3.5832517722156045E-2</v>
      </c>
      <c r="V236" s="146"/>
    </row>
    <row r="237" spans="1:22" x14ac:dyDescent="0.25">
      <c r="A237" s="158">
        <v>44128</v>
      </c>
      <c r="B237" s="16">
        <v>11968</v>
      </c>
      <c r="C237" s="16">
        <f t="shared" si="56"/>
        <v>1081336</v>
      </c>
      <c r="D237" s="205">
        <v>274</v>
      </c>
      <c r="E237" s="206">
        <f t="shared" si="57"/>
        <v>28611</v>
      </c>
      <c r="F237" s="16">
        <f t="shared" si="40"/>
        <v>14418</v>
      </c>
      <c r="G237" s="207">
        <v>881113</v>
      </c>
      <c r="H237" s="206">
        <v>4850</v>
      </c>
      <c r="I237" s="206">
        <v>27027</v>
      </c>
      <c r="J237" s="206">
        <f t="shared" si="59"/>
        <v>2804114</v>
      </c>
      <c r="K237" s="206">
        <v>1868</v>
      </c>
      <c r="L237" s="206">
        <v>1359984</v>
      </c>
      <c r="M237" s="206">
        <f t="shared" si="60"/>
        <v>1361852</v>
      </c>
      <c r="N237" s="206">
        <v>8708</v>
      </c>
      <c r="O237" s="208">
        <v>210053</v>
      </c>
      <c r="P237" s="208">
        <v>735763</v>
      </c>
      <c r="Q237" s="206">
        <f t="shared" si="61"/>
        <v>126812</v>
      </c>
      <c r="R237" s="207">
        <f t="shared" si="42"/>
        <v>14418</v>
      </c>
      <c r="S237" s="72">
        <f t="shared" si="55"/>
        <v>2.8261426939841038E-2</v>
      </c>
      <c r="T237" s="62">
        <f t="shared" si="58"/>
        <v>3.5831561229627072E-2</v>
      </c>
      <c r="U237" s="213"/>
      <c r="V237" s="146"/>
    </row>
    <row r="238" spans="1:22" x14ac:dyDescent="0.25">
      <c r="A238" s="158">
        <v>44129</v>
      </c>
      <c r="B238" s="16">
        <v>9253</v>
      </c>
      <c r="C238" s="16">
        <f t="shared" si="56"/>
        <v>1090589</v>
      </c>
      <c r="D238" s="205">
        <v>283</v>
      </c>
      <c r="E238" s="206">
        <f t="shared" si="57"/>
        <v>28894</v>
      </c>
      <c r="F238" s="16">
        <f t="shared" si="40"/>
        <v>13706</v>
      </c>
      <c r="G238" s="207">
        <v>894819</v>
      </c>
      <c r="H238" s="206">
        <v>4863</v>
      </c>
      <c r="I238" s="206">
        <v>20303</v>
      </c>
      <c r="J238" s="206">
        <f t="shared" si="59"/>
        <v>2824417</v>
      </c>
      <c r="K238" s="206">
        <v>1904</v>
      </c>
      <c r="L238" s="206">
        <v>1367953</v>
      </c>
      <c r="M238" s="206">
        <f t="shared" si="60"/>
        <v>1369857</v>
      </c>
      <c r="N238" s="206">
        <v>8749</v>
      </c>
      <c r="O238" s="206">
        <v>211123</v>
      </c>
      <c r="P238" s="206">
        <v>741313</v>
      </c>
      <c r="Q238" s="206">
        <f t="shared" si="61"/>
        <v>129404</v>
      </c>
      <c r="R238" s="207">
        <f t="shared" si="42"/>
        <v>13706</v>
      </c>
      <c r="S238" s="72">
        <f t="shared" si="55"/>
        <v>2.9141398403605072E-2</v>
      </c>
      <c r="T238" s="62">
        <f t="shared" si="58"/>
        <v>3.5683587575086946E-2</v>
      </c>
      <c r="U238" s="213"/>
      <c r="V238" s="146"/>
    </row>
    <row r="239" spans="1:22" x14ac:dyDescent="0.25">
      <c r="A239" s="158">
        <v>44130</v>
      </c>
      <c r="B239" s="16">
        <v>11712</v>
      </c>
      <c r="C239" s="16">
        <f t="shared" si="56"/>
        <v>1102301</v>
      </c>
      <c r="D239" s="205">
        <v>405</v>
      </c>
      <c r="E239" s="206">
        <f t="shared" si="57"/>
        <v>29299</v>
      </c>
      <c r="F239" s="16">
        <f t="shared" si="40"/>
        <v>14767</v>
      </c>
      <c r="G239" s="207">
        <v>909586</v>
      </c>
      <c r="H239" s="206">
        <v>5038</v>
      </c>
      <c r="I239" s="206">
        <v>26448</v>
      </c>
      <c r="J239" s="206">
        <f t="shared" si="59"/>
        <v>2850865</v>
      </c>
      <c r="K239" s="206">
        <v>1956</v>
      </c>
      <c r="L239" s="206">
        <v>1378916</v>
      </c>
      <c r="M239" s="206">
        <f t="shared" si="60"/>
        <v>1380872</v>
      </c>
      <c r="N239" s="208">
        <v>8816</v>
      </c>
      <c r="O239" s="208">
        <v>213578</v>
      </c>
      <c r="P239" s="208">
        <v>753406</v>
      </c>
      <c r="Q239" s="206">
        <f t="shared" si="61"/>
        <v>126501</v>
      </c>
      <c r="R239" s="207">
        <f t="shared" si="42"/>
        <v>14767</v>
      </c>
      <c r="S239" s="72">
        <f t="shared" si="55"/>
        <v>3.0829294561120085E-2</v>
      </c>
      <c r="T239" s="62">
        <f t="shared" si="58"/>
        <v>3.5536855281223773E-2</v>
      </c>
      <c r="U239" s="213"/>
      <c r="V239" s="146"/>
    </row>
    <row r="240" spans="1:22" x14ac:dyDescent="0.25">
      <c r="A240" s="158">
        <v>44131</v>
      </c>
      <c r="B240" s="16">
        <v>14308</v>
      </c>
      <c r="C240" s="16">
        <f t="shared" si="56"/>
        <v>1116609</v>
      </c>
      <c r="D240" s="205">
        <v>425</v>
      </c>
      <c r="E240" s="206">
        <f>E239+D240</f>
        <v>29724</v>
      </c>
      <c r="F240" s="16">
        <f t="shared" si="40"/>
        <v>11758</v>
      </c>
      <c r="G240" s="207">
        <v>921344</v>
      </c>
      <c r="H240" s="206">
        <v>4952</v>
      </c>
      <c r="I240" s="206">
        <v>32847</v>
      </c>
      <c r="J240" s="206">
        <v>2882949</v>
      </c>
      <c r="K240" s="206">
        <v>2043</v>
      </c>
      <c r="L240" s="206">
        <v>1392805</v>
      </c>
      <c r="M240" s="206">
        <f t="shared" si="60"/>
        <v>1394848</v>
      </c>
      <c r="N240" s="206">
        <v>8868</v>
      </c>
      <c r="O240" s="206">
        <v>216480</v>
      </c>
      <c r="P240" s="206">
        <v>765831</v>
      </c>
      <c r="Q240" s="206">
        <f t="shared" si="61"/>
        <v>125430</v>
      </c>
      <c r="R240" s="207">
        <f t="shared" si="42"/>
        <v>11758</v>
      </c>
      <c r="S240" s="72">
        <f t="shared" si="55"/>
        <v>2.991403942225793E-2</v>
      </c>
      <c r="T240" s="62">
        <f t="shared" si="58"/>
        <v>3.5347211073651914E-2</v>
      </c>
      <c r="U240" s="213"/>
      <c r="V240" s="146"/>
    </row>
    <row r="241" spans="1:24" x14ac:dyDescent="0.25">
      <c r="A241" s="158">
        <v>44132</v>
      </c>
      <c r="B241" s="16">
        <v>13924</v>
      </c>
      <c r="C241" s="16">
        <f t="shared" si="56"/>
        <v>1130533</v>
      </c>
      <c r="D241" s="205">
        <v>345</v>
      </c>
      <c r="E241" s="206">
        <f t="shared" ref="E241:E256" si="62">E240+D241</f>
        <v>30069</v>
      </c>
      <c r="F241" s="16">
        <f t="shared" si="40"/>
        <v>9803</v>
      </c>
      <c r="G241" s="207">
        <v>931147</v>
      </c>
      <c r="H241" s="206">
        <v>5037</v>
      </c>
      <c r="I241" s="206">
        <v>32827</v>
      </c>
      <c r="J241" s="206">
        <f t="shared" ref="J241:J246" si="63">J240+I241</f>
        <v>2915776</v>
      </c>
      <c r="K241" s="206">
        <v>2109</v>
      </c>
      <c r="L241" s="206">
        <v>1406416</v>
      </c>
      <c r="M241" s="206">
        <f t="shared" si="60"/>
        <v>1408525</v>
      </c>
      <c r="N241" s="208">
        <v>8959</v>
      </c>
      <c r="O241" s="208">
        <v>219233</v>
      </c>
      <c r="P241" s="208">
        <v>777424</v>
      </c>
      <c r="Q241" s="206">
        <f t="shared" si="61"/>
        <v>124917</v>
      </c>
      <c r="R241" s="207">
        <f t="shared" si="42"/>
        <v>9803</v>
      </c>
      <c r="S241" s="72">
        <f t="shared" si="55"/>
        <v>2.97489324757703E-2</v>
      </c>
      <c r="T241" s="62">
        <f t="shared" si="58"/>
        <v>3.5112200464986469E-2</v>
      </c>
      <c r="U241" s="213"/>
      <c r="V241" s="146"/>
      <c r="W241" s="95"/>
      <c r="X241" s="213"/>
    </row>
    <row r="242" spans="1:24" x14ac:dyDescent="0.25">
      <c r="A242" s="158">
        <v>44133</v>
      </c>
      <c r="B242" s="16">
        <v>13267</v>
      </c>
      <c r="C242" s="16">
        <f>C241+B242</f>
        <v>1143800</v>
      </c>
      <c r="D242" s="205">
        <v>372</v>
      </c>
      <c r="E242" s="206">
        <f t="shared" si="62"/>
        <v>30441</v>
      </c>
      <c r="F242" s="16">
        <f t="shared" si="40"/>
        <v>14987</v>
      </c>
      <c r="G242" s="207">
        <v>946134</v>
      </c>
      <c r="H242" s="206">
        <v>4981</v>
      </c>
      <c r="I242" s="206">
        <v>31568</v>
      </c>
      <c r="J242" s="206">
        <f t="shared" si="63"/>
        <v>2947344</v>
      </c>
      <c r="K242" s="206">
        <v>2160</v>
      </c>
      <c r="L242" s="206">
        <v>1420288</v>
      </c>
      <c r="M242" s="206">
        <f t="shared" si="60"/>
        <v>1422448</v>
      </c>
      <c r="N242" s="206">
        <v>9010</v>
      </c>
      <c r="O242" s="206">
        <v>221851</v>
      </c>
      <c r="P242" s="206">
        <v>788337</v>
      </c>
      <c r="Q242" s="206">
        <f t="shared" si="61"/>
        <v>124602</v>
      </c>
      <c r="R242" s="207">
        <f t="shared" si="42"/>
        <v>14987</v>
      </c>
      <c r="S242" s="72">
        <f t="shared" si="55"/>
        <v>2.9786216175811033E-2</v>
      </c>
      <c r="T242" s="62">
        <f t="shared" si="58"/>
        <v>3.4930714610289765E-2</v>
      </c>
      <c r="U242" s="213"/>
      <c r="V242" s="146"/>
      <c r="W242" s="95"/>
      <c r="X242" s="213"/>
    </row>
    <row r="243" spans="1:24" x14ac:dyDescent="0.25">
      <c r="A243" s="158">
        <v>44134</v>
      </c>
      <c r="B243" s="16">
        <v>13379</v>
      </c>
      <c r="C243" s="16">
        <f>C242+B243</f>
        <v>1157179</v>
      </c>
      <c r="D243" s="205">
        <v>349</v>
      </c>
      <c r="E243" s="206">
        <f t="shared" si="62"/>
        <v>30790</v>
      </c>
      <c r="F243" s="16">
        <f t="shared" si="40"/>
        <v>14967</v>
      </c>
      <c r="G243" s="207">
        <v>961101</v>
      </c>
      <c r="H243" s="206">
        <v>4981</v>
      </c>
      <c r="I243" s="206">
        <v>32761</v>
      </c>
      <c r="J243" s="206">
        <f t="shared" si="63"/>
        <v>2980105</v>
      </c>
      <c r="K243" s="206">
        <v>2198</v>
      </c>
      <c r="L243" s="206">
        <v>1435121</v>
      </c>
      <c r="M243" s="206">
        <f t="shared" si="60"/>
        <v>1437319</v>
      </c>
      <c r="N243" s="206">
        <v>9073</v>
      </c>
      <c r="O243" s="206">
        <v>224367</v>
      </c>
      <c r="P243" s="206">
        <v>799735</v>
      </c>
      <c r="Q243" s="206">
        <f t="shared" si="61"/>
        <v>124004</v>
      </c>
      <c r="R243" s="207">
        <f t="shared" si="42"/>
        <v>14967</v>
      </c>
      <c r="S243" s="72">
        <f t="shared" si="55"/>
        <v>3.0135279028120614E-2</v>
      </c>
      <c r="T243" s="62">
        <f t="shared" si="58"/>
        <v>3.4834966658445356E-2</v>
      </c>
      <c r="U243" s="213"/>
      <c r="V243" s="146"/>
      <c r="W243" s="95"/>
      <c r="X243" s="213"/>
    </row>
    <row r="244" spans="1:24" x14ac:dyDescent="0.25">
      <c r="A244" s="245">
        <v>44135</v>
      </c>
      <c r="B244" s="16">
        <v>9745</v>
      </c>
      <c r="C244" s="16">
        <f t="shared" ref="C244:C256" si="64">C243+B244</f>
        <v>1166924</v>
      </c>
      <c r="D244" s="205">
        <v>210</v>
      </c>
      <c r="E244" s="206">
        <f t="shared" si="62"/>
        <v>31000</v>
      </c>
      <c r="F244" s="16">
        <f t="shared" si="40"/>
        <v>12838</v>
      </c>
      <c r="G244" s="207">
        <v>973939</v>
      </c>
      <c r="H244" s="206">
        <v>4969</v>
      </c>
      <c r="I244" s="206">
        <v>26699</v>
      </c>
      <c r="J244" s="206">
        <f t="shared" si="63"/>
        <v>3006804</v>
      </c>
      <c r="K244" s="208">
        <v>2357</v>
      </c>
      <c r="L244" s="209">
        <v>1447945</v>
      </c>
      <c r="M244" s="206">
        <f t="shared" si="60"/>
        <v>1450302</v>
      </c>
      <c r="N244" s="208">
        <v>9103</v>
      </c>
      <c r="O244" s="208">
        <v>225845</v>
      </c>
      <c r="P244" s="208">
        <v>808139</v>
      </c>
      <c r="Q244" s="206">
        <f t="shared" si="61"/>
        <v>123837</v>
      </c>
      <c r="R244" s="207">
        <f t="shared" si="42"/>
        <v>12838</v>
      </c>
      <c r="S244" s="72">
        <f t="shared" si="55"/>
        <v>3.0675679846899406E-2</v>
      </c>
      <c r="T244" s="62">
        <f t="shared" si="58"/>
        <v>3.4667626922655403E-2</v>
      </c>
      <c r="U244" s="213"/>
      <c r="V244" s="146"/>
      <c r="W244" s="95"/>
      <c r="X244" s="213"/>
    </row>
    <row r="245" spans="1:24" x14ac:dyDescent="0.25">
      <c r="A245" s="245">
        <v>44136</v>
      </c>
      <c r="B245" s="16">
        <v>6609</v>
      </c>
      <c r="C245" s="16">
        <f t="shared" si="64"/>
        <v>1173533</v>
      </c>
      <c r="D245" s="205">
        <v>135</v>
      </c>
      <c r="E245" s="206">
        <f t="shared" si="62"/>
        <v>31135</v>
      </c>
      <c r="F245" s="16">
        <f t="shared" si="40"/>
        <v>11377</v>
      </c>
      <c r="G245" s="207">
        <v>985316</v>
      </c>
      <c r="H245" s="206">
        <v>5119</v>
      </c>
      <c r="I245" s="206">
        <v>15645</v>
      </c>
      <c r="J245" s="206">
        <f t="shared" si="63"/>
        <v>3022449</v>
      </c>
      <c r="K245" s="208">
        <v>2393</v>
      </c>
      <c r="L245" s="208">
        <v>1455146</v>
      </c>
      <c r="M245" s="206">
        <f t="shared" si="60"/>
        <v>1457539</v>
      </c>
      <c r="N245" s="208">
        <v>9123</v>
      </c>
      <c r="O245" s="208">
        <v>226864</v>
      </c>
      <c r="P245" s="208">
        <v>813376</v>
      </c>
      <c r="Q245" s="206">
        <f t="shared" si="61"/>
        <v>124170</v>
      </c>
      <c r="R245" s="207">
        <f t="shared" si="42"/>
        <v>11377</v>
      </c>
      <c r="S245" s="72">
        <f t="shared" si="55"/>
        <v>3.2588075018143391E-2</v>
      </c>
      <c r="T245" s="62">
        <f t="shared" si="58"/>
        <v>3.4451661447556237E-2</v>
      </c>
      <c r="U245" s="213"/>
      <c r="V245" s="146"/>
      <c r="W245" s="95"/>
      <c r="X245" s="213"/>
    </row>
    <row r="246" spans="1:24" x14ac:dyDescent="0.25">
      <c r="A246" s="158">
        <v>44137</v>
      </c>
      <c r="B246" s="16">
        <v>9598</v>
      </c>
      <c r="C246" s="16">
        <f t="shared" si="64"/>
        <v>1183131</v>
      </c>
      <c r="D246" s="205">
        <v>482</v>
      </c>
      <c r="E246" s="206">
        <f t="shared" si="62"/>
        <v>31617</v>
      </c>
      <c r="F246" s="16">
        <f t="shared" si="40"/>
        <v>12700</v>
      </c>
      <c r="G246" s="207">
        <v>998016</v>
      </c>
      <c r="H246" s="206">
        <v>4992</v>
      </c>
      <c r="I246" s="206">
        <v>249864</v>
      </c>
      <c r="J246" s="206">
        <f t="shared" si="63"/>
        <v>3272313</v>
      </c>
      <c r="K246" s="208">
        <v>2514</v>
      </c>
      <c r="L246" s="208">
        <v>1467420</v>
      </c>
      <c r="M246" s="206">
        <f t="shared" si="60"/>
        <v>1469934</v>
      </c>
      <c r="N246" s="208">
        <v>9159</v>
      </c>
      <c r="O246" s="208">
        <v>229301</v>
      </c>
      <c r="P246" s="208">
        <v>822808</v>
      </c>
      <c r="Q246" s="206">
        <f t="shared" si="61"/>
        <v>121863</v>
      </c>
      <c r="R246" s="207">
        <f t="shared" si="42"/>
        <v>12700</v>
      </c>
      <c r="S246" s="9">
        <f t="shared" ref="S246:S252" si="65">H246-H245</f>
        <v>-127</v>
      </c>
      <c r="T246" s="4"/>
      <c r="U246" s="213"/>
      <c r="V246" s="146"/>
      <c r="W246" s="95"/>
      <c r="X246" s="213"/>
    </row>
    <row r="247" spans="1:24" x14ac:dyDescent="0.25">
      <c r="A247" s="158">
        <v>44138</v>
      </c>
      <c r="B247" s="16">
        <v>12145</v>
      </c>
      <c r="C247" s="16">
        <f t="shared" si="64"/>
        <v>1195276</v>
      </c>
      <c r="D247" s="205">
        <v>430</v>
      </c>
      <c r="E247" s="206">
        <f t="shared" si="62"/>
        <v>32047</v>
      </c>
      <c r="F247" s="16">
        <f t="shared" si="40"/>
        <v>11262</v>
      </c>
      <c r="G247" s="207">
        <v>1009278</v>
      </c>
      <c r="H247" s="206">
        <v>4854</v>
      </c>
      <c r="I247" s="206">
        <v>30999</v>
      </c>
      <c r="J247" s="206">
        <f t="shared" ref="J247:J256" si="66">J246+I247</f>
        <v>3303312</v>
      </c>
      <c r="K247" s="208">
        <v>2583</v>
      </c>
      <c r="L247" s="208">
        <v>1482833</v>
      </c>
      <c r="M247" s="206">
        <f t="shared" si="60"/>
        <v>1485416</v>
      </c>
      <c r="N247" s="208">
        <v>9211</v>
      </c>
      <c r="O247" s="208">
        <v>232229</v>
      </c>
      <c r="P247" s="208">
        <v>832741</v>
      </c>
      <c r="Q247" s="206">
        <f t="shared" si="61"/>
        <v>121095</v>
      </c>
      <c r="R247" s="207">
        <f t="shared" si="42"/>
        <v>11262</v>
      </c>
      <c r="S247" s="9">
        <f t="shared" si="65"/>
        <v>-138</v>
      </c>
      <c r="T247" s="4"/>
      <c r="U247" s="213"/>
      <c r="V247" s="146"/>
      <c r="W247" s="95"/>
      <c r="X247" s="213"/>
    </row>
    <row r="248" spans="1:24" x14ac:dyDescent="0.25">
      <c r="A248" s="158">
        <v>44139</v>
      </c>
      <c r="B248" s="16">
        <v>10652</v>
      </c>
      <c r="C248" s="16">
        <f t="shared" si="64"/>
        <v>1205928</v>
      </c>
      <c r="D248" s="205">
        <v>465</v>
      </c>
      <c r="E248" s="206">
        <f t="shared" si="62"/>
        <v>32512</v>
      </c>
      <c r="F248" s="16">
        <f t="shared" si="40"/>
        <v>8369</v>
      </c>
      <c r="G248" s="207">
        <v>1017647</v>
      </c>
      <c r="H248" s="206">
        <v>4816</v>
      </c>
      <c r="I248" s="206">
        <v>36435</v>
      </c>
      <c r="J248" s="206">
        <f t="shared" si="66"/>
        <v>3339747</v>
      </c>
      <c r="K248" s="208">
        <v>2640</v>
      </c>
      <c r="L248" s="208">
        <v>1503103</v>
      </c>
      <c r="M248" s="206">
        <f t="shared" si="60"/>
        <v>1505743</v>
      </c>
      <c r="N248" s="208">
        <v>9251</v>
      </c>
      <c r="O248" s="208">
        <v>234718</v>
      </c>
      <c r="P248" s="208">
        <v>842950</v>
      </c>
      <c r="Q248" s="206">
        <f t="shared" si="61"/>
        <v>119009</v>
      </c>
      <c r="R248" s="207">
        <f t="shared" si="42"/>
        <v>8369</v>
      </c>
      <c r="S248" s="79">
        <f t="shared" si="65"/>
        <v>-38</v>
      </c>
      <c r="T248" s="4"/>
      <c r="U248" s="213"/>
      <c r="V248" s="146"/>
      <c r="W248" s="95"/>
      <c r="X248" s="213"/>
    </row>
    <row r="249" spans="1:24" x14ac:dyDescent="0.25">
      <c r="A249" s="158">
        <v>44140</v>
      </c>
      <c r="B249" s="16">
        <v>11100</v>
      </c>
      <c r="C249" s="16">
        <f t="shared" si="64"/>
        <v>1217028</v>
      </c>
      <c r="D249" s="205">
        <v>247</v>
      </c>
      <c r="E249" s="206">
        <f t="shared" si="62"/>
        <v>32759</v>
      </c>
      <c r="F249" s="16">
        <f t="shared" si="40"/>
        <v>12490</v>
      </c>
      <c r="G249" s="207">
        <v>1030137</v>
      </c>
      <c r="H249" s="206">
        <v>4713</v>
      </c>
      <c r="I249" s="206">
        <v>28900</v>
      </c>
      <c r="J249" s="206">
        <f t="shared" si="66"/>
        <v>3368647</v>
      </c>
      <c r="K249" s="208">
        <v>2667</v>
      </c>
      <c r="L249" s="208">
        <v>1516132</v>
      </c>
      <c r="M249" s="206">
        <f t="shared" si="60"/>
        <v>1518799</v>
      </c>
      <c r="N249" s="208">
        <v>9294</v>
      </c>
      <c r="O249" s="208">
        <v>237018</v>
      </c>
      <c r="P249" s="208">
        <v>851916</v>
      </c>
      <c r="Q249" s="206">
        <f t="shared" si="61"/>
        <v>118800</v>
      </c>
      <c r="R249" s="207">
        <f t="shared" ref="R249:R255" si="67">G249-G248</f>
        <v>12490</v>
      </c>
      <c r="S249" s="79">
        <f t="shared" si="65"/>
        <v>-103</v>
      </c>
      <c r="T249" s="4"/>
      <c r="U249" s="213"/>
      <c r="V249" s="146"/>
      <c r="W249" s="95"/>
      <c r="X249" s="213"/>
    </row>
    <row r="250" spans="1:24" x14ac:dyDescent="0.25">
      <c r="A250" s="158">
        <v>44141</v>
      </c>
      <c r="B250" s="16">
        <v>11786</v>
      </c>
      <c r="C250" s="16">
        <f t="shared" si="64"/>
        <v>1228814</v>
      </c>
      <c r="D250" s="205">
        <v>370</v>
      </c>
      <c r="E250" s="206">
        <f t="shared" si="62"/>
        <v>33129</v>
      </c>
      <c r="F250" s="16">
        <f t="shared" si="40"/>
        <v>12100</v>
      </c>
      <c r="G250" s="207">
        <v>1042237</v>
      </c>
      <c r="H250" s="206">
        <v>4666</v>
      </c>
      <c r="I250" s="206">
        <v>34727</v>
      </c>
      <c r="J250" s="206">
        <f t="shared" si="66"/>
        <v>3403374</v>
      </c>
      <c r="K250" s="208">
        <v>2702</v>
      </c>
      <c r="L250" s="208">
        <v>1534460</v>
      </c>
      <c r="M250" s="206">
        <f t="shared" si="60"/>
        <v>1537162</v>
      </c>
      <c r="N250" s="208">
        <v>9349</v>
      </c>
      <c r="O250" s="208">
        <v>239488</v>
      </c>
      <c r="P250" s="208">
        <v>861070</v>
      </c>
      <c r="Q250" s="206">
        <f t="shared" si="61"/>
        <v>118907</v>
      </c>
      <c r="R250" s="207">
        <f t="shared" si="67"/>
        <v>12100</v>
      </c>
      <c r="S250" s="79">
        <f t="shared" si="65"/>
        <v>-47</v>
      </c>
      <c r="T250" s="4"/>
      <c r="U250" s="213"/>
      <c r="V250" s="146"/>
      <c r="W250" s="95"/>
      <c r="X250" s="213"/>
    </row>
    <row r="251" spans="1:24" x14ac:dyDescent="0.25">
      <c r="A251" s="245">
        <v>44142</v>
      </c>
      <c r="B251" s="16">
        <v>8037</v>
      </c>
      <c r="C251" s="16">
        <f t="shared" si="64"/>
        <v>1236851</v>
      </c>
      <c r="D251" s="205">
        <v>212</v>
      </c>
      <c r="E251" s="206">
        <f t="shared" si="62"/>
        <v>33341</v>
      </c>
      <c r="F251" s="16">
        <f t="shared" si="40"/>
        <v>11076</v>
      </c>
      <c r="G251" s="207">
        <v>1053313</v>
      </c>
      <c r="H251" s="206">
        <v>4593</v>
      </c>
      <c r="I251" s="206">
        <v>37062</v>
      </c>
      <c r="J251" s="206">
        <f t="shared" si="66"/>
        <v>3440436</v>
      </c>
      <c r="K251" s="208">
        <v>2727</v>
      </c>
      <c r="L251" s="208">
        <v>1559126</v>
      </c>
      <c r="M251" s="206">
        <f t="shared" si="60"/>
        <v>1561853</v>
      </c>
      <c r="N251" s="208">
        <v>9387</v>
      </c>
      <c r="O251" s="208">
        <v>240865</v>
      </c>
      <c r="P251" s="208">
        <v>866690</v>
      </c>
      <c r="Q251" s="206">
        <f t="shared" si="61"/>
        <v>119909</v>
      </c>
      <c r="R251" s="207">
        <f t="shared" si="67"/>
        <v>11076</v>
      </c>
      <c r="S251" s="79">
        <f t="shared" si="65"/>
        <v>-73</v>
      </c>
      <c r="T251" s="4"/>
      <c r="U251" s="213"/>
      <c r="V251" s="146"/>
      <c r="W251" s="95"/>
      <c r="X251" s="213"/>
    </row>
    <row r="252" spans="1:24" x14ac:dyDescent="0.25">
      <c r="A252" s="245">
        <v>44143</v>
      </c>
      <c r="B252" s="16">
        <v>5331</v>
      </c>
      <c r="C252" s="16">
        <f t="shared" si="64"/>
        <v>1242182</v>
      </c>
      <c r="D252" s="205">
        <v>211</v>
      </c>
      <c r="E252" s="206">
        <f t="shared" si="62"/>
        <v>33552</v>
      </c>
      <c r="F252" s="16">
        <f t="shared" si="40"/>
        <v>9598</v>
      </c>
      <c r="G252" s="207">
        <v>1062911</v>
      </c>
      <c r="H252" s="206">
        <v>4608</v>
      </c>
      <c r="I252" s="206">
        <v>14025</v>
      </c>
      <c r="J252" s="206">
        <f t="shared" si="66"/>
        <v>3454461</v>
      </c>
      <c r="K252" s="208">
        <v>2760</v>
      </c>
      <c r="L252" s="208">
        <v>1566231</v>
      </c>
      <c r="M252" s="206">
        <f t="shared" si="60"/>
        <v>1568991</v>
      </c>
      <c r="N252" s="208">
        <v>9403</v>
      </c>
      <c r="O252" s="208">
        <v>241673</v>
      </c>
      <c r="P252" s="208">
        <v>871132</v>
      </c>
      <c r="Q252" s="206">
        <f t="shared" si="61"/>
        <v>119974</v>
      </c>
      <c r="R252" s="207">
        <f t="shared" si="67"/>
        <v>9598</v>
      </c>
      <c r="S252" s="79">
        <f t="shared" si="65"/>
        <v>15</v>
      </c>
      <c r="T252" s="4"/>
      <c r="U252" s="213"/>
      <c r="V252" s="146"/>
      <c r="W252" s="95"/>
      <c r="X252" s="213"/>
    </row>
    <row r="253" spans="1:24" x14ac:dyDescent="0.25">
      <c r="A253" s="158">
        <v>44144</v>
      </c>
      <c r="B253" s="16">
        <v>8317</v>
      </c>
      <c r="C253" s="16">
        <f t="shared" si="64"/>
        <v>1250499</v>
      </c>
      <c r="D253" s="205">
        <v>348</v>
      </c>
      <c r="E253" s="206">
        <f t="shared" si="62"/>
        <v>33900</v>
      </c>
      <c r="F253" s="16">
        <f t="shared" si="40"/>
        <v>10666</v>
      </c>
      <c r="G253" s="207">
        <v>1073577</v>
      </c>
      <c r="H253" s="206">
        <v>4577</v>
      </c>
      <c r="I253" s="206">
        <v>29570</v>
      </c>
      <c r="J253" s="206">
        <f t="shared" si="66"/>
        <v>3484031</v>
      </c>
      <c r="K253" s="208">
        <v>2798</v>
      </c>
      <c r="L253" s="208">
        <v>1581460</v>
      </c>
      <c r="M253" s="206">
        <f t="shared" si="60"/>
        <v>1584258</v>
      </c>
      <c r="N253" s="208">
        <v>9444</v>
      </c>
      <c r="O253" s="208">
        <v>243982</v>
      </c>
      <c r="P253" s="208">
        <v>878724</v>
      </c>
      <c r="Q253" s="206">
        <f t="shared" si="61"/>
        <v>118349</v>
      </c>
      <c r="R253" s="207">
        <f t="shared" si="67"/>
        <v>10666</v>
      </c>
      <c r="S253" s="79">
        <f t="shared" ref="S253:S261" si="68">H253-H252</f>
        <v>-31</v>
      </c>
      <c r="T253" s="4"/>
      <c r="U253" s="213"/>
      <c r="V253" s="146"/>
      <c r="W253" s="95"/>
      <c r="X253" s="213"/>
    </row>
    <row r="254" spans="1:24" x14ac:dyDescent="0.25">
      <c r="A254" s="158">
        <v>44145</v>
      </c>
      <c r="B254" s="4">
        <v>11977</v>
      </c>
      <c r="C254" s="16">
        <f t="shared" si="64"/>
        <v>1262476</v>
      </c>
      <c r="D254" s="4">
        <v>279</v>
      </c>
      <c r="E254" s="206">
        <f t="shared" si="62"/>
        <v>34179</v>
      </c>
      <c r="F254" s="16">
        <f t="shared" si="40"/>
        <v>8320</v>
      </c>
      <c r="G254" s="207">
        <v>1081897</v>
      </c>
      <c r="H254" s="4">
        <v>4494</v>
      </c>
      <c r="I254" s="4">
        <v>31535</v>
      </c>
      <c r="J254" s="206">
        <f t="shared" si="66"/>
        <v>3515566</v>
      </c>
      <c r="K254" s="7">
        <v>2879</v>
      </c>
      <c r="L254" s="7">
        <v>1599337</v>
      </c>
      <c r="M254" s="211">
        <f t="shared" si="60"/>
        <v>1602216</v>
      </c>
      <c r="N254" s="47">
        <v>9481</v>
      </c>
      <c r="O254" s="47">
        <v>246898</v>
      </c>
      <c r="P254" s="47">
        <v>885833</v>
      </c>
      <c r="Q254" s="211">
        <f t="shared" si="61"/>
        <v>120264</v>
      </c>
      <c r="R254" s="212">
        <f t="shared" si="67"/>
        <v>8320</v>
      </c>
      <c r="S254" s="134">
        <f t="shared" si="68"/>
        <v>-83</v>
      </c>
      <c r="T254" s="4"/>
      <c r="U254" s="213"/>
      <c r="V254" s="146"/>
      <c r="W254" s="95"/>
      <c r="X254" s="213"/>
    </row>
    <row r="255" spans="1:24" x14ac:dyDescent="0.25">
      <c r="A255" s="158">
        <v>44146</v>
      </c>
      <c r="B255" s="4">
        <v>10880</v>
      </c>
      <c r="C255" s="16">
        <f t="shared" si="64"/>
        <v>1273356</v>
      </c>
      <c r="D255" s="4">
        <v>348</v>
      </c>
      <c r="E255" s="206">
        <f t="shared" si="62"/>
        <v>34527</v>
      </c>
      <c r="F255" s="16">
        <f t="shared" si="40"/>
        <v>7632</v>
      </c>
      <c r="G255" s="198">
        <v>1089529</v>
      </c>
      <c r="H255" s="4">
        <v>4418</v>
      </c>
      <c r="I255" s="4">
        <v>56473</v>
      </c>
      <c r="J255" s="206">
        <f t="shared" si="66"/>
        <v>3572039</v>
      </c>
      <c r="K255" s="7">
        <v>2939</v>
      </c>
      <c r="L255" s="7">
        <v>1635003</v>
      </c>
      <c r="M255" s="206">
        <f t="shared" si="60"/>
        <v>1637942</v>
      </c>
      <c r="N255" s="4">
        <v>9521</v>
      </c>
      <c r="O255" s="4">
        <v>249148</v>
      </c>
      <c r="P255" s="4">
        <v>892532</v>
      </c>
      <c r="Q255" s="206">
        <f t="shared" si="61"/>
        <v>122155</v>
      </c>
      <c r="R255" s="207">
        <f t="shared" si="67"/>
        <v>7632</v>
      </c>
      <c r="S255" s="79">
        <f t="shared" si="68"/>
        <v>-76</v>
      </c>
      <c r="T255" s="4"/>
      <c r="U255" s="213"/>
      <c r="V255" s="146"/>
      <c r="W255" s="95"/>
      <c r="X255" s="213"/>
    </row>
    <row r="256" spans="1:24" x14ac:dyDescent="0.25">
      <c r="A256" s="158">
        <v>44147</v>
      </c>
      <c r="B256" s="4">
        <v>11163</v>
      </c>
      <c r="C256" s="16">
        <f t="shared" si="64"/>
        <v>1284519</v>
      </c>
      <c r="D256" s="4">
        <v>249</v>
      </c>
      <c r="E256" s="206">
        <f t="shared" si="62"/>
        <v>34776</v>
      </c>
      <c r="F256" s="16">
        <f t="shared" si="40"/>
        <v>10651</v>
      </c>
      <c r="G256" s="198">
        <v>1100180</v>
      </c>
      <c r="H256" s="4">
        <v>4397</v>
      </c>
      <c r="I256" s="4">
        <v>31520</v>
      </c>
      <c r="J256" s="206">
        <f t="shared" si="66"/>
        <v>3603559</v>
      </c>
      <c r="K256" s="7">
        <v>2991</v>
      </c>
      <c r="L256" s="7">
        <v>1655824</v>
      </c>
      <c r="M256" s="206">
        <f t="shared" si="60"/>
        <v>1658815</v>
      </c>
      <c r="N256" s="4">
        <v>9553</v>
      </c>
      <c r="O256" s="4">
        <v>251515</v>
      </c>
      <c r="P256" s="4">
        <v>901700</v>
      </c>
      <c r="Q256" s="206">
        <f t="shared" si="61"/>
        <v>121751</v>
      </c>
      <c r="R256" s="207">
        <f t="shared" ref="R256:R261" si="69">G256-G255</f>
        <v>10651</v>
      </c>
      <c r="S256" s="79">
        <f t="shared" si="68"/>
        <v>-21</v>
      </c>
      <c r="T256" s="4"/>
      <c r="U256" s="213"/>
      <c r="V256" s="146"/>
      <c r="W256" s="95"/>
      <c r="X256" s="213"/>
    </row>
    <row r="257" spans="1:24" x14ac:dyDescent="0.25">
      <c r="A257" s="158">
        <v>44148</v>
      </c>
      <c r="B257" s="4">
        <v>11859</v>
      </c>
      <c r="C257" s="16">
        <f t="shared" ref="C257:C282" si="70">C256+B257</f>
        <v>1296378</v>
      </c>
      <c r="D257" s="4">
        <v>264</v>
      </c>
      <c r="E257" s="16">
        <f t="shared" ref="E257:E282" si="71">E256+D257</f>
        <v>35040</v>
      </c>
      <c r="F257" s="16">
        <f t="shared" si="40"/>
        <v>10297</v>
      </c>
      <c r="G257" s="198">
        <v>1110477</v>
      </c>
      <c r="H257" s="4">
        <v>4381</v>
      </c>
      <c r="I257" s="4">
        <v>31738</v>
      </c>
      <c r="J257" s="16">
        <f t="shared" ref="J257:J264" si="72">J256+I257</f>
        <v>3635297</v>
      </c>
      <c r="K257" s="210">
        <v>3104</v>
      </c>
      <c r="L257" s="210">
        <v>1671421</v>
      </c>
      <c r="M257" s="206">
        <f t="shared" si="60"/>
        <v>1674525</v>
      </c>
      <c r="N257" s="9">
        <v>9613</v>
      </c>
      <c r="O257" s="9">
        <v>253981</v>
      </c>
      <c r="P257" s="9">
        <v>910204</v>
      </c>
      <c r="Q257" s="206">
        <f t="shared" si="61"/>
        <v>122580</v>
      </c>
      <c r="R257" s="207">
        <f t="shared" si="69"/>
        <v>10297</v>
      </c>
      <c r="S257" s="79">
        <f t="shared" si="68"/>
        <v>-16</v>
      </c>
      <c r="T257" s="4"/>
      <c r="U257" s="213"/>
      <c r="V257" s="146"/>
      <c r="W257" s="95"/>
      <c r="X257" s="213"/>
    </row>
    <row r="258" spans="1:24" x14ac:dyDescent="0.25">
      <c r="A258" s="245">
        <v>44149</v>
      </c>
      <c r="B258" s="4">
        <v>8468</v>
      </c>
      <c r="C258" s="16">
        <f t="shared" si="70"/>
        <v>1304846</v>
      </c>
      <c r="D258" s="4">
        <v>262</v>
      </c>
      <c r="E258" s="16">
        <f t="shared" si="71"/>
        <v>35302</v>
      </c>
      <c r="F258" s="16">
        <f t="shared" si="40"/>
        <v>8889</v>
      </c>
      <c r="G258" s="198">
        <v>1119366</v>
      </c>
      <c r="H258" s="4">
        <v>4346</v>
      </c>
      <c r="I258" s="4">
        <v>25314</v>
      </c>
      <c r="J258" s="16">
        <f t="shared" si="72"/>
        <v>3660611</v>
      </c>
      <c r="K258" s="9">
        <v>3156</v>
      </c>
      <c r="L258" s="9">
        <v>1683861</v>
      </c>
      <c r="M258" s="206">
        <f t="shared" si="60"/>
        <v>1687017</v>
      </c>
      <c r="N258" s="9">
        <v>9646</v>
      </c>
      <c r="O258" s="9">
        <v>255493</v>
      </c>
      <c r="P258" s="9">
        <v>915339</v>
      </c>
      <c r="Q258" s="206">
        <f t="shared" si="61"/>
        <v>124368</v>
      </c>
      <c r="R258" s="207">
        <f t="shared" si="69"/>
        <v>8889</v>
      </c>
      <c r="S258" s="79">
        <f t="shared" si="68"/>
        <v>-35</v>
      </c>
      <c r="T258" s="4"/>
      <c r="U258" s="213"/>
      <c r="V258" s="146"/>
      <c r="W258" s="95"/>
      <c r="X258" s="213"/>
    </row>
    <row r="259" spans="1:24" x14ac:dyDescent="0.25">
      <c r="A259" s="245">
        <v>44150</v>
      </c>
      <c r="B259" s="16">
        <v>5645</v>
      </c>
      <c r="C259" s="16">
        <f t="shared" si="70"/>
        <v>1310491</v>
      </c>
      <c r="D259" s="4">
        <v>128</v>
      </c>
      <c r="E259" s="16">
        <f t="shared" si="71"/>
        <v>35430</v>
      </c>
      <c r="F259" s="16">
        <f t="shared" ref="F259:F286" si="73">G259-G258</f>
        <v>9736</v>
      </c>
      <c r="G259" s="198">
        <v>1129102</v>
      </c>
      <c r="H259" s="4">
        <v>4365</v>
      </c>
      <c r="I259" s="4">
        <v>17718</v>
      </c>
      <c r="J259" s="16">
        <f t="shared" si="72"/>
        <v>3678329</v>
      </c>
      <c r="K259" s="9">
        <v>3168</v>
      </c>
      <c r="L259" s="9">
        <v>1693448</v>
      </c>
      <c r="M259" s="206">
        <f t="shared" si="60"/>
        <v>1696616</v>
      </c>
      <c r="N259" s="9">
        <v>9672</v>
      </c>
      <c r="O259" s="9">
        <v>256696</v>
      </c>
      <c r="P259" s="9">
        <v>918729</v>
      </c>
      <c r="Q259" s="206">
        <f t="shared" si="61"/>
        <v>125394</v>
      </c>
      <c r="R259" s="207">
        <f t="shared" si="69"/>
        <v>9736</v>
      </c>
      <c r="S259" s="79">
        <f t="shared" si="68"/>
        <v>19</v>
      </c>
      <c r="T259" s="4"/>
      <c r="U259" s="218"/>
      <c r="V259" s="146"/>
      <c r="W259" s="95"/>
      <c r="X259" s="213"/>
    </row>
    <row r="260" spans="1:24" x14ac:dyDescent="0.25">
      <c r="A260" s="158">
        <v>44151</v>
      </c>
      <c r="B260" s="4">
        <v>7893</v>
      </c>
      <c r="C260" s="16">
        <f t="shared" si="70"/>
        <v>1318384</v>
      </c>
      <c r="D260" s="4">
        <v>292</v>
      </c>
      <c r="E260" s="16">
        <f t="shared" si="71"/>
        <v>35722</v>
      </c>
      <c r="F260" s="16">
        <f t="shared" si="73"/>
        <v>11094</v>
      </c>
      <c r="G260" s="198">
        <v>1140196</v>
      </c>
      <c r="H260" s="4">
        <v>4322</v>
      </c>
      <c r="I260" s="4">
        <v>21572</v>
      </c>
      <c r="J260" s="16">
        <f t="shared" si="72"/>
        <v>3699901</v>
      </c>
      <c r="K260" s="7">
        <v>3225</v>
      </c>
      <c r="L260" s="7">
        <v>1704129</v>
      </c>
      <c r="M260" s="206">
        <f t="shared" si="60"/>
        <v>1707354</v>
      </c>
      <c r="N260" s="4">
        <v>9692</v>
      </c>
      <c r="O260" s="4">
        <v>258870</v>
      </c>
      <c r="P260" s="4">
        <v>926820</v>
      </c>
      <c r="Q260" s="206">
        <f t="shared" si="61"/>
        <v>123002</v>
      </c>
      <c r="R260" s="207">
        <f t="shared" si="69"/>
        <v>11094</v>
      </c>
      <c r="S260" s="79">
        <f t="shared" si="68"/>
        <v>-43</v>
      </c>
      <c r="T260" s="4"/>
      <c r="U260" s="218"/>
      <c r="V260" s="146"/>
      <c r="W260" s="95"/>
      <c r="X260" s="213"/>
    </row>
    <row r="261" spans="1:24" x14ac:dyDescent="0.25">
      <c r="A261" s="158">
        <v>44152</v>
      </c>
      <c r="B261" s="4">
        <v>10621</v>
      </c>
      <c r="C261" s="16">
        <f t="shared" si="70"/>
        <v>1329005</v>
      </c>
      <c r="D261" s="4">
        <v>379</v>
      </c>
      <c r="E261" s="16">
        <f t="shared" si="71"/>
        <v>36101</v>
      </c>
      <c r="F261" s="16">
        <f t="shared" si="73"/>
        <v>8637</v>
      </c>
      <c r="G261" s="198">
        <v>1148833</v>
      </c>
      <c r="H261" s="4">
        <v>4379</v>
      </c>
      <c r="I261" s="4">
        <v>34573</v>
      </c>
      <c r="J261" s="16">
        <f t="shared" si="72"/>
        <v>3734474</v>
      </c>
      <c r="K261" s="7">
        <v>3279</v>
      </c>
      <c r="L261" s="7">
        <v>1716729</v>
      </c>
      <c r="M261" s="206">
        <f t="shared" si="60"/>
        <v>1720008</v>
      </c>
      <c r="N261" s="4">
        <v>9722</v>
      </c>
      <c r="O261" s="4">
        <v>261348</v>
      </c>
      <c r="P261" s="4">
        <v>934997</v>
      </c>
      <c r="Q261" s="206">
        <f t="shared" si="61"/>
        <v>122938</v>
      </c>
      <c r="R261" s="207">
        <f t="shared" si="69"/>
        <v>8637</v>
      </c>
      <c r="S261" s="79">
        <f t="shared" si="68"/>
        <v>57</v>
      </c>
      <c r="T261" s="4"/>
      <c r="U261" s="218"/>
      <c r="V261" s="146"/>
      <c r="W261" s="95"/>
      <c r="X261" s="213"/>
    </row>
    <row r="262" spans="1:24" x14ac:dyDescent="0.25">
      <c r="A262" s="158">
        <v>44153</v>
      </c>
      <c r="B262" s="4">
        <v>10332</v>
      </c>
      <c r="C262" s="16">
        <f t="shared" si="70"/>
        <v>1339337</v>
      </c>
      <c r="D262" s="4">
        <v>241</v>
      </c>
      <c r="E262" s="16">
        <f t="shared" si="71"/>
        <v>36342</v>
      </c>
      <c r="F262" s="16">
        <f t="shared" si="73"/>
        <v>7641</v>
      </c>
      <c r="G262" s="198">
        <v>1156474</v>
      </c>
      <c r="H262" s="4">
        <v>4267</v>
      </c>
      <c r="I262" s="4">
        <v>34573</v>
      </c>
      <c r="J262" s="16">
        <f t="shared" si="72"/>
        <v>3769047</v>
      </c>
      <c r="K262" s="7">
        <v>3346</v>
      </c>
      <c r="L262" s="7">
        <v>1734731</v>
      </c>
      <c r="M262" s="206">
        <f t="shared" si="60"/>
        <v>1738077</v>
      </c>
      <c r="N262" s="4">
        <v>9766</v>
      </c>
      <c r="O262" s="4">
        <v>264014</v>
      </c>
      <c r="P262" s="4">
        <v>943339</v>
      </c>
      <c r="Q262" s="206">
        <f t="shared" si="61"/>
        <v>122218</v>
      </c>
      <c r="R262" s="207">
        <f t="shared" ref="R262:R287" si="74">G262-G261</f>
        <v>7641</v>
      </c>
      <c r="S262" s="79">
        <f t="shared" ref="S262:S287" si="75">H262-H261</f>
        <v>-112</v>
      </c>
      <c r="T262" s="4"/>
      <c r="U262" s="218"/>
      <c r="V262" s="146"/>
      <c r="W262" s="95"/>
      <c r="X262" s="213"/>
    </row>
    <row r="263" spans="1:24" x14ac:dyDescent="0.25">
      <c r="A263" s="158">
        <v>44154</v>
      </c>
      <c r="B263" s="4">
        <v>10097</v>
      </c>
      <c r="C263" s="16">
        <f t="shared" si="70"/>
        <v>1349434</v>
      </c>
      <c r="D263" s="4">
        <v>184</v>
      </c>
      <c r="E263" s="16">
        <f t="shared" si="71"/>
        <v>36526</v>
      </c>
      <c r="F263" s="16">
        <f t="shared" si="73"/>
        <v>11040</v>
      </c>
      <c r="G263" s="198">
        <v>1167514</v>
      </c>
      <c r="H263" s="4">
        <v>4292</v>
      </c>
      <c r="I263" s="4">
        <v>48691</v>
      </c>
      <c r="J263" s="16">
        <f t="shared" si="72"/>
        <v>3817738</v>
      </c>
      <c r="K263" s="7">
        <v>3474</v>
      </c>
      <c r="L263" s="7">
        <v>1767560</v>
      </c>
      <c r="M263" s="206">
        <f t="shared" si="60"/>
        <v>1771034</v>
      </c>
      <c r="N263" s="4">
        <v>9802</v>
      </c>
      <c r="O263" s="4">
        <v>266642</v>
      </c>
      <c r="P263" s="4">
        <v>951081</v>
      </c>
      <c r="Q263" s="206">
        <f t="shared" si="61"/>
        <v>121909</v>
      </c>
      <c r="R263" s="207">
        <f t="shared" si="74"/>
        <v>11040</v>
      </c>
      <c r="S263" s="79">
        <f t="shared" si="75"/>
        <v>25</v>
      </c>
      <c r="T263" s="4"/>
      <c r="U263" s="218"/>
      <c r="V263" s="146"/>
      <c r="W263" s="95"/>
      <c r="X263" s="213"/>
    </row>
    <row r="264" spans="1:24" x14ac:dyDescent="0.25">
      <c r="A264" s="158">
        <v>44155</v>
      </c>
      <c r="B264" s="4">
        <v>9608</v>
      </c>
      <c r="C264" s="16">
        <f t="shared" si="70"/>
        <v>1359042</v>
      </c>
      <c r="D264" s="4">
        <v>261</v>
      </c>
      <c r="E264" s="16">
        <f t="shared" si="71"/>
        <v>36787</v>
      </c>
      <c r="F264" s="16">
        <f t="shared" si="73"/>
        <v>10305</v>
      </c>
      <c r="G264" s="198">
        <v>1177819</v>
      </c>
      <c r="H264" s="4">
        <v>4187</v>
      </c>
      <c r="I264" s="4">
        <v>37816</v>
      </c>
      <c r="J264" s="16">
        <f t="shared" si="72"/>
        <v>3855554</v>
      </c>
      <c r="K264" s="7">
        <v>3601</v>
      </c>
      <c r="L264" s="7">
        <v>1789964</v>
      </c>
      <c r="M264" s="206">
        <f t="shared" si="60"/>
        <v>1793565</v>
      </c>
      <c r="N264" s="4">
        <v>9840</v>
      </c>
      <c r="O264" s="4">
        <v>268940</v>
      </c>
      <c r="P264" s="4">
        <v>957937</v>
      </c>
      <c r="Q264" s="206">
        <f t="shared" si="61"/>
        <v>122325</v>
      </c>
      <c r="R264" s="207">
        <f t="shared" si="74"/>
        <v>10305</v>
      </c>
      <c r="S264" s="79">
        <f t="shared" si="75"/>
        <v>-105</v>
      </c>
      <c r="T264" s="4"/>
      <c r="U264" s="218"/>
      <c r="V264" s="146"/>
      <c r="W264" s="95"/>
      <c r="X264" s="213"/>
    </row>
    <row r="265" spans="1:24" x14ac:dyDescent="0.25">
      <c r="A265" s="245">
        <v>44156</v>
      </c>
      <c r="B265" s="4">
        <v>7140</v>
      </c>
      <c r="C265" s="16">
        <f t="shared" si="70"/>
        <v>1366182</v>
      </c>
      <c r="D265" s="4">
        <v>112</v>
      </c>
      <c r="E265" s="16">
        <f t="shared" si="71"/>
        <v>36899</v>
      </c>
      <c r="F265" s="16">
        <f t="shared" si="73"/>
        <v>9234</v>
      </c>
      <c r="G265" s="198">
        <v>1187053</v>
      </c>
      <c r="H265" s="4">
        <v>4132</v>
      </c>
      <c r="I265" s="4">
        <v>39055</v>
      </c>
      <c r="J265" s="16">
        <v>3661948</v>
      </c>
      <c r="K265" s="7">
        <v>3625</v>
      </c>
      <c r="L265" s="7">
        <v>1815364</v>
      </c>
      <c r="M265" s="206">
        <f t="shared" si="60"/>
        <v>1818989</v>
      </c>
      <c r="N265" s="4">
        <v>9862</v>
      </c>
      <c r="O265" s="4">
        <v>270149</v>
      </c>
      <c r="P265" s="4">
        <v>962192</v>
      </c>
      <c r="Q265" s="206">
        <f t="shared" si="61"/>
        <v>123979</v>
      </c>
      <c r="R265" s="207">
        <f t="shared" si="74"/>
        <v>9234</v>
      </c>
      <c r="S265" s="79">
        <f t="shared" si="75"/>
        <v>-55</v>
      </c>
      <c r="T265" s="4"/>
      <c r="U265" s="218"/>
      <c r="V265" s="146"/>
      <c r="W265" s="95"/>
      <c r="X265" s="213"/>
    </row>
    <row r="266" spans="1:24" x14ac:dyDescent="0.25">
      <c r="A266" s="245">
        <v>44157</v>
      </c>
      <c r="B266" s="4">
        <v>4184</v>
      </c>
      <c r="C266" s="16">
        <f t="shared" si="70"/>
        <v>1370366</v>
      </c>
      <c r="D266" s="4">
        <v>100</v>
      </c>
      <c r="E266" s="16">
        <f t="shared" si="71"/>
        <v>36999</v>
      </c>
      <c r="F266" s="16">
        <f t="shared" si="73"/>
        <v>8439</v>
      </c>
      <c r="G266" s="198">
        <v>1195492</v>
      </c>
      <c r="H266" s="4">
        <v>4245</v>
      </c>
      <c r="I266" s="4">
        <v>15740</v>
      </c>
      <c r="J266" s="4">
        <v>3677688</v>
      </c>
      <c r="K266" s="7">
        <v>3691</v>
      </c>
      <c r="L266" s="7">
        <v>1823849</v>
      </c>
      <c r="M266" s="206">
        <f t="shared" si="60"/>
        <v>1827540</v>
      </c>
      <c r="N266" s="4">
        <v>9876</v>
      </c>
      <c r="O266" s="4">
        <v>270893</v>
      </c>
      <c r="P266" s="4">
        <v>965274</v>
      </c>
      <c r="Q266" s="206">
        <f t="shared" si="61"/>
        <v>124323</v>
      </c>
      <c r="R266" s="207">
        <f t="shared" si="74"/>
        <v>8439</v>
      </c>
      <c r="S266" s="79">
        <f t="shared" si="75"/>
        <v>113</v>
      </c>
      <c r="T266" s="4"/>
      <c r="U266" s="218"/>
      <c r="V266" s="146"/>
      <c r="W266" s="95"/>
      <c r="X266" s="213"/>
    </row>
    <row r="267" spans="1:24" x14ac:dyDescent="0.25">
      <c r="A267" s="158">
        <v>44158</v>
      </c>
      <c r="B267" s="4">
        <v>4265</v>
      </c>
      <c r="C267" s="16">
        <f t="shared" si="70"/>
        <v>1374631</v>
      </c>
      <c r="D267" s="4">
        <v>119</v>
      </c>
      <c r="E267" s="16">
        <f t="shared" si="71"/>
        <v>37118</v>
      </c>
      <c r="F267" s="16">
        <f t="shared" si="73"/>
        <v>8308</v>
      </c>
      <c r="G267" s="198">
        <v>1203800</v>
      </c>
      <c r="H267" s="4">
        <v>4165</v>
      </c>
      <c r="I267" s="4">
        <v>13149</v>
      </c>
      <c r="J267" s="4">
        <f t="shared" ref="J267:J282" si="76">J266+I267</f>
        <v>3690837</v>
      </c>
      <c r="K267" s="7">
        <v>3798</v>
      </c>
      <c r="L267" s="7">
        <v>1830584</v>
      </c>
      <c r="M267" s="206">
        <f t="shared" si="60"/>
        <v>1834382</v>
      </c>
      <c r="N267" s="4">
        <v>9894</v>
      </c>
      <c r="O267" s="4">
        <v>272054</v>
      </c>
      <c r="P267" s="4">
        <v>972396</v>
      </c>
      <c r="Q267" s="206">
        <f t="shared" si="61"/>
        <v>120287</v>
      </c>
      <c r="R267" s="207">
        <f t="shared" si="74"/>
        <v>8308</v>
      </c>
      <c r="S267" s="79">
        <f t="shared" si="75"/>
        <v>-80</v>
      </c>
      <c r="T267" s="4"/>
      <c r="U267" s="218"/>
      <c r="V267" s="146"/>
      <c r="W267" s="95"/>
      <c r="X267" s="213"/>
    </row>
    <row r="268" spans="1:24" x14ac:dyDescent="0.25">
      <c r="A268" s="158">
        <v>44159</v>
      </c>
      <c r="B268" s="4">
        <v>7164</v>
      </c>
      <c r="C268" s="16">
        <f t="shared" si="70"/>
        <v>1381795</v>
      </c>
      <c r="D268" s="4">
        <v>311</v>
      </c>
      <c r="E268" s="16">
        <f t="shared" si="71"/>
        <v>37429</v>
      </c>
      <c r="F268" s="16">
        <f t="shared" si="73"/>
        <v>6834</v>
      </c>
      <c r="G268" s="198">
        <v>1210634</v>
      </c>
      <c r="H268" s="4">
        <v>4148</v>
      </c>
      <c r="I268" s="4">
        <v>22043</v>
      </c>
      <c r="J268" s="4">
        <f t="shared" si="76"/>
        <v>3712880</v>
      </c>
      <c r="K268" s="9">
        <v>3828</v>
      </c>
      <c r="L268" s="9">
        <v>1842058</v>
      </c>
      <c r="M268" s="206">
        <f t="shared" si="60"/>
        <v>1845886</v>
      </c>
      <c r="N268" s="4">
        <v>9912</v>
      </c>
      <c r="O268" s="4">
        <v>273939</v>
      </c>
      <c r="P268" s="4">
        <v>979797</v>
      </c>
      <c r="Q268" s="206">
        <f t="shared" si="61"/>
        <v>118147</v>
      </c>
      <c r="R268" s="207">
        <f t="shared" si="74"/>
        <v>6834</v>
      </c>
      <c r="S268" s="79">
        <f t="shared" si="75"/>
        <v>-17</v>
      </c>
      <c r="T268" s="4"/>
      <c r="U268" s="218"/>
      <c r="V268" s="146"/>
      <c r="W268" s="95"/>
      <c r="X268" s="213"/>
    </row>
    <row r="269" spans="1:24" x14ac:dyDescent="0.25">
      <c r="A269" s="158">
        <v>44160</v>
      </c>
      <c r="B269" s="4">
        <v>8593</v>
      </c>
      <c r="C269" s="16">
        <f t="shared" si="70"/>
        <v>1390388</v>
      </c>
      <c r="D269" s="4">
        <v>280</v>
      </c>
      <c r="E269" s="16">
        <f t="shared" si="71"/>
        <v>37709</v>
      </c>
      <c r="F269" s="16">
        <f t="shared" si="73"/>
        <v>6650</v>
      </c>
      <c r="G269" s="198">
        <v>1217284</v>
      </c>
      <c r="H269" s="4">
        <v>4039</v>
      </c>
      <c r="I269" s="4">
        <v>29437</v>
      </c>
      <c r="J269" s="4">
        <f t="shared" si="76"/>
        <v>3742317</v>
      </c>
      <c r="K269" s="9">
        <v>3872</v>
      </c>
      <c r="L269" s="9">
        <v>1855809</v>
      </c>
      <c r="M269" s="206">
        <f t="shared" si="60"/>
        <v>1859681</v>
      </c>
      <c r="N269" s="4">
        <v>9949</v>
      </c>
      <c r="O269" s="4">
        <v>275968</v>
      </c>
      <c r="P269" s="4">
        <v>986401</v>
      </c>
      <c r="Q269" s="206">
        <f t="shared" si="61"/>
        <v>118070</v>
      </c>
      <c r="R269" s="207">
        <f t="shared" si="74"/>
        <v>6650</v>
      </c>
      <c r="S269" s="79">
        <f t="shared" si="75"/>
        <v>-109</v>
      </c>
      <c r="T269" s="4"/>
      <c r="U269" s="218"/>
      <c r="V269" s="146"/>
      <c r="W269" s="95"/>
      <c r="X269" s="213"/>
    </row>
    <row r="270" spans="1:24" x14ac:dyDescent="0.25">
      <c r="A270" s="158">
        <v>44161</v>
      </c>
      <c r="B270" s="4">
        <v>9043</v>
      </c>
      <c r="C270" s="16">
        <f t="shared" si="70"/>
        <v>1399431</v>
      </c>
      <c r="D270" s="4">
        <v>229</v>
      </c>
      <c r="E270" s="16">
        <f t="shared" si="71"/>
        <v>37938</v>
      </c>
      <c r="F270" s="16">
        <f t="shared" si="73"/>
        <v>9378</v>
      </c>
      <c r="G270" s="198">
        <v>1226662</v>
      </c>
      <c r="H270" s="4">
        <v>3960</v>
      </c>
      <c r="I270" s="4">
        <v>32781</v>
      </c>
      <c r="J270" s="4">
        <f t="shared" si="76"/>
        <v>3775098</v>
      </c>
      <c r="K270" s="9">
        <v>3941</v>
      </c>
      <c r="L270" s="9">
        <v>1871509</v>
      </c>
      <c r="M270" s="206">
        <f t="shared" si="60"/>
        <v>1875450</v>
      </c>
      <c r="N270" s="4">
        <v>9979</v>
      </c>
      <c r="O270" s="4">
        <v>278371</v>
      </c>
      <c r="P270" s="4">
        <v>992925</v>
      </c>
      <c r="Q270" s="206">
        <f t="shared" si="61"/>
        <v>118156</v>
      </c>
      <c r="R270" s="207">
        <f t="shared" si="74"/>
        <v>9378</v>
      </c>
      <c r="S270" s="79">
        <f t="shared" si="75"/>
        <v>-79</v>
      </c>
      <c r="T270" s="4"/>
      <c r="U270" s="218"/>
      <c r="V270" s="146"/>
      <c r="W270" s="95"/>
      <c r="X270" s="213"/>
    </row>
    <row r="271" spans="1:24" x14ac:dyDescent="0.25">
      <c r="A271" s="158">
        <v>44162</v>
      </c>
      <c r="B271" s="4">
        <v>7846</v>
      </c>
      <c r="C271" s="16">
        <f t="shared" si="70"/>
        <v>1407277</v>
      </c>
      <c r="D271" s="4">
        <v>275</v>
      </c>
      <c r="E271" s="16">
        <f t="shared" si="71"/>
        <v>38213</v>
      </c>
      <c r="F271" s="16">
        <f t="shared" si="73"/>
        <v>8595</v>
      </c>
      <c r="G271" s="198">
        <v>1235257</v>
      </c>
      <c r="H271" s="4">
        <v>4120</v>
      </c>
      <c r="I271" s="4">
        <v>55323</v>
      </c>
      <c r="J271" s="4">
        <f t="shared" si="76"/>
        <v>3830421</v>
      </c>
      <c r="K271" s="7">
        <v>4020</v>
      </c>
      <c r="L271" s="9">
        <v>1912056</v>
      </c>
      <c r="M271" s="206">
        <f t="shared" si="60"/>
        <v>1916076</v>
      </c>
      <c r="N271" s="4">
        <v>10016</v>
      </c>
      <c r="O271" s="4">
        <v>280344</v>
      </c>
      <c r="P271" s="4">
        <v>999456</v>
      </c>
      <c r="Q271" s="206">
        <f t="shared" si="61"/>
        <v>117461</v>
      </c>
      <c r="R271" s="207">
        <f t="shared" si="74"/>
        <v>8595</v>
      </c>
      <c r="S271" s="79">
        <f t="shared" si="75"/>
        <v>160</v>
      </c>
      <c r="T271" s="4"/>
      <c r="U271" s="218"/>
      <c r="V271" s="146"/>
      <c r="W271" s="95"/>
      <c r="X271" s="213"/>
    </row>
    <row r="272" spans="1:24" x14ac:dyDescent="0.25">
      <c r="A272" s="245">
        <v>44163</v>
      </c>
      <c r="B272" s="4">
        <v>6098</v>
      </c>
      <c r="C272" s="16">
        <f t="shared" si="70"/>
        <v>1413375</v>
      </c>
      <c r="D272" s="4">
        <v>106</v>
      </c>
      <c r="E272" s="16">
        <f t="shared" si="71"/>
        <v>38319</v>
      </c>
      <c r="F272" s="16">
        <f t="shared" si="73"/>
        <v>7620</v>
      </c>
      <c r="G272" s="198">
        <v>1242877</v>
      </c>
      <c r="H272" s="4">
        <v>4021</v>
      </c>
      <c r="I272" s="4">
        <v>25472</v>
      </c>
      <c r="J272" s="4">
        <f t="shared" si="76"/>
        <v>3855893</v>
      </c>
      <c r="K272" s="7">
        <v>4105</v>
      </c>
      <c r="L272" s="9">
        <v>1926130</v>
      </c>
      <c r="M272" s="206">
        <f t="shared" si="60"/>
        <v>1930235</v>
      </c>
      <c r="N272" s="4">
        <v>10046</v>
      </c>
      <c r="O272" s="4">
        <v>281257</v>
      </c>
      <c r="P272" s="4">
        <v>1003512</v>
      </c>
      <c r="Q272" s="206">
        <f t="shared" si="61"/>
        <v>118560</v>
      </c>
      <c r="R272" s="207">
        <f t="shared" si="74"/>
        <v>7620</v>
      </c>
      <c r="S272" s="79">
        <f t="shared" si="75"/>
        <v>-99</v>
      </c>
      <c r="T272" s="4"/>
      <c r="U272" s="218"/>
      <c r="V272" s="146"/>
      <c r="W272" s="95"/>
      <c r="X272" s="213"/>
    </row>
    <row r="273" spans="1:25" x14ac:dyDescent="0.25">
      <c r="A273" s="245">
        <v>44164</v>
      </c>
      <c r="B273" s="4">
        <v>5432</v>
      </c>
      <c r="C273" s="16">
        <f t="shared" si="70"/>
        <v>1418807</v>
      </c>
      <c r="D273" s="16">
        <v>151</v>
      </c>
      <c r="E273" s="16">
        <f t="shared" si="71"/>
        <v>38470</v>
      </c>
      <c r="F273" s="16">
        <f t="shared" si="73"/>
        <v>6966</v>
      </c>
      <c r="G273" s="198">
        <v>1249843</v>
      </c>
      <c r="H273" s="4">
        <v>4013</v>
      </c>
      <c r="I273" s="4">
        <v>17338</v>
      </c>
      <c r="J273" s="4">
        <f t="shared" si="76"/>
        <v>3873231</v>
      </c>
      <c r="K273" s="7">
        <v>4139</v>
      </c>
      <c r="L273" s="7">
        <v>1935553</v>
      </c>
      <c r="M273" s="206">
        <f t="shared" si="60"/>
        <v>1939692</v>
      </c>
      <c r="N273" s="4">
        <v>10067</v>
      </c>
      <c r="O273" s="4">
        <v>281995</v>
      </c>
      <c r="P273" s="4">
        <v>1006055</v>
      </c>
      <c r="Q273" s="206">
        <f t="shared" si="61"/>
        <v>120690</v>
      </c>
      <c r="R273" s="207">
        <f t="shared" si="74"/>
        <v>6966</v>
      </c>
      <c r="S273" s="79">
        <f t="shared" si="75"/>
        <v>-8</v>
      </c>
      <c r="T273" s="4"/>
      <c r="U273" s="218"/>
      <c r="V273" s="146"/>
      <c r="W273" s="95"/>
      <c r="X273" s="213"/>
    </row>
    <row r="274" spans="1:25" x14ac:dyDescent="0.25">
      <c r="A274" s="158">
        <v>44165</v>
      </c>
      <c r="B274" s="4">
        <v>5726</v>
      </c>
      <c r="C274" s="16">
        <f t="shared" si="70"/>
        <v>1424533</v>
      </c>
      <c r="D274" s="4">
        <v>257</v>
      </c>
      <c r="E274" s="16">
        <f t="shared" si="71"/>
        <v>38727</v>
      </c>
      <c r="F274" s="16">
        <f t="shared" si="73"/>
        <v>7384</v>
      </c>
      <c r="G274" s="198">
        <v>1257227</v>
      </c>
      <c r="H274" s="4">
        <v>4062</v>
      </c>
      <c r="I274" s="4">
        <v>19291</v>
      </c>
      <c r="J274" s="4">
        <f t="shared" si="76"/>
        <v>3892522</v>
      </c>
      <c r="K274" s="7">
        <v>4209</v>
      </c>
      <c r="L274" s="7">
        <v>1945524</v>
      </c>
      <c r="M274" s="206">
        <f t="shared" si="60"/>
        <v>1949733</v>
      </c>
      <c r="N274" s="4">
        <v>10089</v>
      </c>
      <c r="O274" s="4">
        <v>283567</v>
      </c>
      <c r="P274" s="4">
        <v>1009382</v>
      </c>
      <c r="Q274" s="206">
        <f t="shared" si="61"/>
        <v>121495</v>
      </c>
      <c r="R274" s="207">
        <f t="shared" si="74"/>
        <v>7384</v>
      </c>
      <c r="S274" s="79">
        <f t="shared" si="75"/>
        <v>49</v>
      </c>
      <c r="T274" s="4"/>
      <c r="U274" s="218"/>
      <c r="V274" s="146"/>
      <c r="W274" s="95"/>
      <c r="X274" s="213"/>
    </row>
    <row r="275" spans="1:25" x14ac:dyDescent="0.25">
      <c r="A275" s="158">
        <v>44166</v>
      </c>
      <c r="B275" s="4">
        <v>8037</v>
      </c>
      <c r="C275" s="16">
        <f t="shared" si="70"/>
        <v>1432570</v>
      </c>
      <c r="D275" s="4">
        <v>198</v>
      </c>
      <c r="E275" s="16">
        <f t="shared" si="71"/>
        <v>38925</v>
      </c>
      <c r="F275" s="16">
        <f t="shared" si="73"/>
        <v>6024</v>
      </c>
      <c r="G275" s="198">
        <v>1263251</v>
      </c>
      <c r="H275" s="4">
        <v>3946</v>
      </c>
      <c r="I275" s="4">
        <v>33764</v>
      </c>
      <c r="J275" s="4">
        <f t="shared" si="76"/>
        <v>3926286</v>
      </c>
      <c r="K275" s="7">
        <v>4328</v>
      </c>
      <c r="L275" s="7">
        <v>1964346</v>
      </c>
      <c r="M275" s="206">
        <f t="shared" si="60"/>
        <v>1968674</v>
      </c>
      <c r="N275" s="4">
        <v>10120</v>
      </c>
      <c r="O275" s="4">
        <v>285518</v>
      </c>
      <c r="P275" s="4">
        <v>1015923</v>
      </c>
      <c r="Q275" s="206">
        <f t="shared" si="61"/>
        <v>121009</v>
      </c>
      <c r="R275" s="207">
        <f t="shared" si="74"/>
        <v>6024</v>
      </c>
      <c r="S275" s="79">
        <f t="shared" si="75"/>
        <v>-116</v>
      </c>
      <c r="T275" s="4"/>
      <c r="U275" s="218"/>
      <c r="V275" s="146"/>
      <c r="W275" s="95"/>
      <c r="X275" s="213"/>
    </row>
    <row r="276" spans="1:25" x14ac:dyDescent="0.25">
      <c r="A276" s="158">
        <v>44167</v>
      </c>
      <c r="B276" s="152">
        <v>7533</v>
      </c>
      <c r="C276" s="214">
        <f t="shared" si="70"/>
        <v>1440103</v>
      </c>
      <c r="D276" s="152">
        <v>228</v>
      </c>
      <c r="E276" s="214">
        <f t="shared" si="71"/>
        <v>39153</v>
      </c>
      <c r="F276" s="16">
        <f t="shared" si="73"/>
        <v>5107</v>
      </c>
      <c r="G276" s="198">
        <v>1268358</v>
      </c>
      <c r="H276" s="152">
        <v>3983</v>
      </c>
      <c r="I276" s="152">
        <v>49474</v>
      </c>
      <c r="J276" s="152">
        <f t="shared" si="76"/>
        <v>3975760</v>
      </c>
      <c r="K276" s="215">
        <v>4476</v>
      </c>
      <c r="L276" s="215">
        <v>2000098</v>
      </c>
      <c r="M276" s="216">
        <f t="shared" si="60"/>
        <v>2004574</v>
      </c>
      <c r="N276" s="152">
        <v>10155</v>
      </c>
      <c r="O276" s="152">
        <v>287233</v>
      </c>
      <c r="P276" s="152">
        <v>1022204</v>
      </c>
      <c r="Q276" s="216">
        <f t="shared" si="61"/>
        <v>120511</v>
      </c>
      <c r="R276" s="216">
        <f t="shared" si="74"/>
        <v>5107</v>
      </c>
      <c r="S276" s="217">
        <f t="shared" si="75"/>
        <v>37</v>
      </c>
      <c r="T276" s="4"/>
      <c r="U276" s="218"/>
      <c r="V276" s="146"/>
      <c r="W276" s="95"/>
      <c r="X276" s="213"/>
    </row>
    <row r="277" spans="1:25" x14ac:dyDescent="0.25">
      <c r="A277" s="158">
        <v>44168</v>
      </c>
      <c r="B277" s="152">
        <v>7629</v>
      </c>
      <c r="C277" s="214">
        <f t="shared" si="70"/>
        <v>1447732</v>
      </c>
      <c r="D277" s="152">
        <v>148</v>
      </c>
      <c r="E277" s="214">
        <f t="shared" si="71"/>
        <v>39301</v>
      </c>
      <c r="F277" s="16">
        <f t="shared" si="73"/>
        <v>6317</v>
      </c>
      <c r="G277" s="198">
        <v>1274675</v>
      </c>
      <c r="H277" s="152">
        <v>3916</v>
      </c>
      <c r="I277" s="152">
        <v>47112</v>
      </c>
      <c r="J277" s="152">
        <f t="shared" si="76"/>
        <v>4022872</v>
      </c>
      <c r="K277" s="215">
        <v>4554</v>
      </c>
      <c r="L277" s="215">
        <v>2033435</v>
      </c>
      <c r="M277" s="216">
        <f t="shared" si="60"/>
        <v>2037989</v>
      </c>
      <c r="N277" s="152">
        <v>10186</v>
      </c>
      <c r="O277" s="152">
        <v>288999</v>
      </c>
      <c r="P277" s="152">
        <v>1028077</v>
      </c>
      <c r="Q277" s="216">
        <f t="shared" si="61"/>
        <v>120470</v>
      </c>
      <c r="R277" s="216">
        <f t="shared" si="74"/>
        <v>6317</v>
      </c>
      <c r="S277" s="217">
        <f t="shared" si="75"/>
        <v>-67</v>
      </c>
      <c r="T277" s="4"/>
      <c r="U277" s="218"/>
      <c r="V277" s="146"/>
      <c r="W277" s="95"/>
      <c r="X277" s="213"/>
    </row>
    <row r="278" spans="1:25" x14ac:dyDescent="0.25">
      <c r="A278" s="158">
        <v>44169</v>
      </c>
      <c r="B278" s="152">
        <v>6899</v>
      </c>
      <c r="C278" s="214">
        <f t="shared" si="70"/>
        <v>1454631</v>
      </c>
      <c r="D278" s="248">
        <v>208</v>
      </c>
      <c r="E278" s="214">
        <f t="shared" si="71"/>
        <v>39509</v>
      </c>
      <c r="F278" s="16">
        <f t="shared" si="73"/>
        <v>7280</v>
      </c>
      <c r="G278" s="198">
        <v>1281955</v>
      </c>
      <c r="H278" s="152">
        <v>3929</v>
      </c>
      <c r="I278" s="152">
        <v>32923</v>
      </c>
      <c r="J278" s="152">
        <f t="shared" si="76"/>
        <v>4055795</v>
      </c>
      <c r="K278" s="215">
        <v>4609</v>
      </c>
      <c r="L278" s="215">
        <v>2054205</v>
      </c>
      <c r="M278" s="216">
        <f t="shared" si="60"/>
        <v>2058814</v>
      </c>
      <c r="N278" s="152">
        <v>10211</v>
      </c>
      <c r="O278" s="152">
        <v>290538</v>
      </c>
      <c r="P278" s="152">
        <v>1033772</v>
      </c>
      <c r="Q278" s="216">
        <f t="shared" si="61"/>
        <v>120110</v>
      </c>
      <c r="R278" s="216">
        <f t="shared" si="74"/>
        <v>7280</v>
      </c>
      <c r="S278" s="217">
        <f t="shared" si="75"/>
        <v>13</v>
      </c>
      <c r="T278" s="16">
        <f t="shared" ref="T278:T287" si="77">(C278-G278-E278)-(C277-E277-G277)</f>
        <v>-589</v>
      </c>
      <c r="U278" s="218"/>
      <c r="V278" s="146"/>
      <c r="W278" s="95"/>
      <c r="X278" s="213"/>
    </row>
    <row r="279" spans="1:25" x14ac:dyDescent="0.25">
      <c r="A279" s="245">
        <v>44170</v>
      </c>
      <c r="B279" s="152">
        <v>5201</v>
      </c>
      <c r="C279" s="214">
        <f t="shared" si="70"/>
        <v>1459832</v>
      </c>
      <c r="D279" s="152">
        <v>121</v>
      </c>
      <c r="E279" s="214">
        <f t="shared" si="71"/>
        <v>39630</v>
      </c>
      <c r="F279" s="16">
        <f t="shared" si="73"/>
        <v>6830</v>
      </c>
      <c r="G279" s="198">
        <v>1288785</v>
      </c>
      <c r="H279" s="152">
        <v>3757</v>
      </c>
      <c r="I279" s="152">
        <v>28567</v>
      </c>
      <c r="J279" s="152">
        <f t="shared" si="76"/>
        <v>4084362</v>
      </c>
      <c r="K279" s="215">
        <v>4687</v>
      </c>
      <c r="L279" s="215">
        <v>2072109</v>
      </c>
      <c r="M279" s="216">
        <f t="shared" si="60"/>
        <v>2076796</v>
      </c>
      <c r="N279" s="152">
        <v>10228</v>
      </c>
      <c r="O279" s="152">
        <v>291315</v>
      </c>
      <c r="P279" s="152">
        <v>1037782</v>
      </c>
      <c r="Q279" s="216">
        <f t="shared" si="61"/>
        <v>120507</v>
      </c>
      <c r="R279" s="216">
        <f t="shared" si="74"/>
        <v>6830</v>
      </c>
      <c r="S279" s="217">
        <f t="shared" si="75"/>
        <v>-172</v>
      </c>
      <c r="T279" s="16">
        <f t="shared" si="77"/>
        <v>-1750</v>
      </c>
      <c r="U279" s="218"/>
      <c r="V279" s="146"/>
      <c r="W279" s="95"/>
      <c r="X279" s="213"/>
    </row>
    <row r="280" spans="1:25" x14ac:dyDescent="0.25">
      <c r="A280" s="245">
        <v>44171</v>
      </c>
      <c r="B280" s="152">
        <v>3278</v>
      </c>
      <c r="C280" s="214">
        <f t="shared" si="70"/>
        <v>1463110</v>
      </c>
      <c r="D280" s="152">
        <v>138</v>
      </c>
      <c r="E280" s="214">
        <f t="shared" si="71"/>
        <v>39768</v>
      </c>
      <c r="F280" s="16">
        <f t="shared" si="73"/>
        <v>5907</v>
      </c>
      <c r="G280" s="198">
        <v>1294692</v>
      </c>
      <c r="H280" s="152">
        <v>3735</v>
      </c>
      <c r="I280" s="152">
        <v>16826</v>
      </c>
      <c r="J280" s="152">
        <f t="shared" si="76"/>
        <v>4101188</v>
      </c>
      <c r="K280" s="215">
        <v>4696</v>
      </c>
      <c r="L280" s="215">
        <v>2083087</v>
      </c>
      <c r="M280" s="216">
        <f t="shared" si="60"/>
        <v>2087783</v>
      </c>
      <c r="N280" s="152">
        <v>10245</v>
      </c>
      <c r="O280" s="152">
        <v>291769</v>
      </c>
      <c r="P280" s="152">
        <v>1041718</v>
      </c>
      <c r="Q280" s="216">
        <f t="shared" si="61"/>
        <v>119378</v>
      </c>
      <c r="R280" s="216">
        <f t="shared" si="74"/>
        <v>5907</v>
      </c>
      <c r="S280" s="217">
        <f t="shared" si="75"/>
        <v>-22</v>
      </c>
      <c r="T280" s="16">
        <f t="shared" si="77"/>
        <v>-2767</v>
      </c>
      <c r="U280" s="218"/>
      <c r="V280" s="146"/>
      <c r="W280" s="95"/>
      <c r="X280" s="213"/>
    </row>
    <row r="281" spans="1:25" x14ac:dyDescent="0.25">
      <c r="A281" s="245">
        <v>44172</v>
      </c>
      <c r="B281" s="4">
        <v>3199</v>
      </c>
      <c r="C281" s="247">
        <f t="shared" si="70"/>
        <v>1466309</v>
      </c>
      <c r="D281" s="4">
        <v>118</v>
      </c>
      <c r="E281" s="16">
        <f t="shared" si="71"/>
        <v>39886</v>
      </c>
      <c r="F281" s="16">
        <f t="shared" si="73"/>
        <v>6004</v>
      </c>
      <c r="G281" s="198">
        <v>1300696</v>
      </c>
      <c r="H281" s="4">
        <v>3723</v>
      </c>
      <c r="I281" s="4">
        <v>9951</v>
      </c>
      <c r="J281" s="4">
        <f t="shared" si="76"/>
        <v>4111139</v>
      </c>
      <c r="K281" s="7">
        <v>4703</v>
      </c>
      <c r="L281" s="7">
        <v>2088287</v>
      </c>
      <c r="M281" s="216">
        <f t="shared" si="60"/>
        <v>2092990</v>
      </c>
      <c r="N281" s="4">
        <v>10262</v>
      </c>
      <c r="O281" s="4">
        <v>292290</v>
      </c>
      <c r="P281" s="4">
        <v>1047405</v>
      </c>
      <c r="Q281" s="216">
        <f t="shared" si="61"/>
        <v>116352</v>
      </c>
      <c r="R281" s="216">
        <f t="shared" si="74"/>
        <v>6004</v>
      </c>
      <c r="S281" s="217">
        <f t="shared" si="75"/>
        <v>-12</v>
      </c>
      <c r="T281" s="16">
        <f t="shared" si="77"/>
        <v>-2923</v>
      </c>
      <c r="U281" s="218"/>
      <c r="V281" s="146"/>
      <c r="W281" s="95"/>
      <c r="X281" s="213"/>
    </row>
    <row r="282" spans="1:25" x14ac:dyDescent="0.25">
      <c r="A282" s="245">
        <v>44173</v>
      </c>
      <c r="B282" s="4">
        <v>3610</v>
      </c>
      <c r="C282" s="16">
        <f t="shared" si="70"/>
        <v>1469919</v>
      </c>
      <c r="D282" s="4">
        <v>120</v>
      </c>
      <c r="E282" s="16">
        <f t="shared" si="71"/>
        <v>40006</v>
      </c>
      <c r="F282" s="16">
        <f t="shared" si="73"/>
        <v>4891</v>
      </c>
      <c r="G282" s="198">
        <v>1305587</v>
      </c>
      <c r="H282" s="4">
        <v>3715</v>
      </c>
      <c r="I282" s="4">
        <v>13302</v>
      </c>
      <c r="J282" s="4">
        <f t="shared" si="76"/>
        <v>4124441</v>
      </c>
      <c r="K282" s="7">
        <v>4726</v>
      </c>
      <c r="L282" s="7">
        <v>2095475</v>
      </c>
      <c r="M282" s="216">
        <f t="shared" si="60"/>
        <v>2100201</v>
      </c>
      <c r="N282" s="4">
        <v>10276</v>
      </c>
      <c r="O282" s="4">
        <v>292866</v>
      </c>
      <c r="P282" s="4">
        <v>1053314</v>
      </c>
      <c r="Q282" s="216">
        <f t="shared" si="61"/>
        <v>113463</v>
      </c>
      <c r="R282" s="216">
        <f t="shared" si="74"/>
        <v>4891</v>
      </c>
      <c r="S282" s="217">
        <f t="shared" si="75"/>
        <v>-8</v>
      </c>
      <c r="T282" s="16">
        <f t="shared" si="77"/>
        <v>-1401</v>
      </c>
      <c r="U282" s="218"/>
      <c r="V282" s="146"/>
      <c r="X282" s="213"/>
    </row>
    <row r="283" spans="1:25" x14ac:dyDescent="0.25">
      <c r="A283" s="158">
        <v>44174</v>
      </c>
      <c r="B283" s="4">
        <v>5303</v>
      </c>
      <c r="C283" s="16">
        <f t="shared" ref="C283:C289" si="78">C282+B283</f>
        <v>1475222</v>
      </c>
      <c r="D283" s="4">
        <v>212</v>
      </c>
      <c r="E283" s="16">
        <f t="shared" ref="E283:E289" si="79">E282+D283</f>
        <v>40218</v>
      </c>
      <c r="F283" s="16">
        <f t="shared" si="73"/>
        <v>5901</v>
      </c>
      <c r="G283" s="198">
        <v>1311488</v>
      </c>
      <c r="H283" s="4">
        <v>3688</v>
      </c>
      <c r="I283" s="4">
        <v>20785</v>
      </c>
      <c r="J283" s="4">
        <f t="shared" ref="J283:J289" si="80">J282+I283</f>
        <v>4145226</v>
      </c>
      <c r="K283" s="7">
        <v>4782</v>
      </c>
      <c r="L283" s="7">
        <v>2108441</v>
      </c>
      <c r="M283" s="216">
        <f t="shared" si="60"/>
        <v>2113223</v>
      </c>
      <c r="N283" s="4">
        <v>10316</v>
      </c>
      <c r="O283" s="4">
        <v>294068</v>
      </c>
      <c r="P283" s="4">
        <v>1058646</v>
      </c>
      <c r="Q283" s="216">
        <f t="shared" si="61"/>
        <v>112192</v>
      </c>
      <c r="R283" s="216">
        <f t="shared" si="74"/>
        <v>5901</v>
      </c>
      <c r="S283" s="217">
        <f t="shared" si="75"/>
        <v>-27</v>
      </c>
      <c r="T283" s="16">
        <f t="shared" si="77"/>
        <v>-810</v>
      </c>
      <c r="X283" s="74"/>
    </row>
    <row r="284" spans="1:25" x14ac:dyDescent="0.25">
      <c r="A284" s="158">
        <v>44175</v>
      </c>
      <c r="B284" s="4">
        <v>6994</v>
      </c>
      <c r="C284" s="16">
        <f t="shared" si="78"/>
        <v>1482216</v>
      </c>
      <c r="D284" s="4">
        <v>209</v>
      </c>
      <c r="E284" s="16">
        <f t="shared" si="79"/>
        <v>40427</v>
      </c>
      <c r="F284" s="16">
        <f t="shared" si="73"/>
        <v>6699</v>
      </c>
      <c r="G284" s="198">
        <v>1318187</v>
      </c>
      <c r="H284" s="4">
        <v>3665</v>
      </c>
      <c r="I284" s="4">
        <v>28166</v>
      </c>
      <c r="J284" s="4">
        <f t="shared" si="80"/>
        <v>4173392</v>
      </c>
      <c r="K284" s="7">
        <v>4881</v>
      </c>
      <c r="L284" s="7">
        <v>2124880</v>
      </c>
      <c r="M284" s="216">
        <f t="shared" si="60"/>
        <v>2129761</v>
      </c>
      <c r="N284" s="4">
        <v>10335</v>
      </c>
      <c r="O284" s="4">
        <v>295491</v>
      </c>
      <c r="P284" s="4">
        <v>1064115</v>
      </c>
      <c r="Q284" s="216">
        <f t="shared" si="61"/>
        <v>112275</v>
      </c>
      <c r="R284" s="216">
        <f t="shared" si="74"/>
        <v>6699</v>
      </c>
      <c r="S284" s="217">
        <f t="shared" si="75"/>
        <v>-23</v>
      </c>
      <c r="T284" s="16">
        <f t="shared" si="77"/>
        <v>86</v>
      </c>
      <c r="X284" s="74"/>
    </row>
    <row r="285" spans="1:25" x14ac:dyDescent="0.25">
      <c r="A285" s="158">
        <v>44176</v>
      </c>
      <c r="B285" s="4">
        <v>7112</v>
      </c>
      <c r="C285" s="16">
        <f t="shared" si="78"/>
        <v>1489328</v>
      </c>
      <c r="D285" s="4">
        <v>177</v>
      </c>
      <c r="E285" s="16">
        <f t="shared" si="79"/>
        <v>40604</v>
      </c>
      <c r="F285" s="16">
        <f t="shared" si="73"/>
        <v>6605</v>
      </c>
      <c r="G285" s="198">
        <v>1324792</v>
      </c>
      <c r="H285" s="4">
        <v>3620</v>
      </c>
      <c r="I285" s="4">
        <v>36805</v>
      </c>
      <c r="J285" s="4">
        <f t="shared" si="80"/>
        <v>4210197</v>
      </c>
      <c r="K285" s="7">
        <v>4940</v>
      </c>
      <c r="L285" s="7">
        <v>2147972</v>
      </c>
      <c r="M285" s="216">
        <f t="shared" si="60"/>
        <v>2152912</v>
      </c>
      <c r="N285" s="4">
        <v>10375</v>
      </c>
      <c r="O285" s="4">
        <v>296884</v>
      </c>
      <c r="P285" s="4">
        <v>1068414</v>
      </c>
      <c r="Q285" s="216">
        <f t="shared" si="61"/>
        <v>113655</v>
      </c>
      <c r="R285" s="216">
        <f t="shared" si="74"/>
        <v>6605</v>
      </c>
      <c r="S285" s="217">
        <f t="shared" si="75"/>
        <v>-45</v>
      </c>
      <c r="T285" s="16">
        <f t="shared" si="77"/>
        <v>330</v>
      </c>
      <c r="W285" s="95"/>
      <c r="X285" s="74"/>
      <c r="Y285" s="95"/>
    </row>
    <row r="286" spans="1:25" x14ac:dyDescent="0.25">
      <c r="A286" s="249">
        <v>44177</v>
      </c>
      <c r="B286" s="4">
        <v>5274</v>
      </c>
      <c r="C286" s="16">
        <f t="shared" si="78"/>
        <v>1494602</v>
      </c>
      <c r="D286" s="4">
        <v>62</v>
      </c>
      <c r="E286" s="16">
        <f t="shared" si="79"/>
        <v>40666</v>
      </c>
      <c r="F286" s="16">
        <f t="shared" si="73"/>
        <v>5368</v>
      </c>
      <c r="G286" s="198">
        <v>1330160</v>
      </c>
      <c r="H286" s="4">
        <v>3594</v>
      </c>
      <c r="I286" s="4">
        <v>27204</v>
      </c>
      <c r="J286" s="4">
        <f t="shared" si="80"/>
        <v>4237401</v>
      </c>
      <c r="K286" s="7">
        <v>4983</v>
      </c>
      <c r="L286" s="7">
        <v>2164993</v>
      </c>
      <c r="M286" s="216">
        <f t="shared" si="60"/>
        <v>2169976</v>
      </c>
      <c r="N286" s="4">
        <v>10396</v>
      </c>
      <c r="O286" s="4">
        <v>297737</v>
      </c>
      <c r="P286" s="4">
        <v>1071431</v>
      </c>
      <c r="Q286" s="216">
        <f t="shared" si="61"/>
        <v>115038</v>
      </c>
      <c r="R286" s="216">
        <f t="shared" si="74"/>
        <v>5368</v>
      </c>
      <c r="S286" s="217">
        <f t="shared" si="75"/>
        <v>-26</v>
      </c>
      <c r="T286" s="16">
        <f t="shared" si="77"/>
        <v>-156</v>
      </c>
    </row>
    <row r="287" spans="1:25" x14ac:dyDescent="0.25">
      <c r="A287" s="249">
        <v>44178</v>
      </c>
      <c r="B287" s="4">
        <v>3558</v>
      </c>
      <c r="C287" s="16">
        <f t="shared" si="78"/>
        <v>1498160</v>
      </c>
      <c r="D287" s="4">
        <v>98</v>
      </c>
      <c r="E287" s="16">
        <f t="shared" si="79"/>
        <v>40764</v>
      </c>
      <c r="F287" s="16">
        <f t="shared" ref="F287:F301" si="81">G287-G286</f>
        <v>5157</v>
      </c>
      <c r="G287" s="198">
        <v>1335317</v>
      </c>
      <c r="H287" s="4">
        <v>3537</v>
      </c>
      <c r="I287" s="4">
        <v>21793</v>
      </c>
      <c r="J287" s="4">
        <f t="shared" si="80"/>
        <v>4259194</v>
      </c>
      <c r="K287" s="7">
        <v>5042</v>
      </c>
      <c r="L287" s="7">
        <v>2180522</v>
      </c>
      <c r="M287" s="216">
        <f t="shared" si="60"/>
        <v>2185564</v>
      </c>
      <c r="N287" s="4">
        <v>10424</v>
      </c>
      <c r="O287" s="4">
        <v>298310</v>
      </c>
      <c r="P287" s="4">
        <v>1073462</v>
      </c>
      <c r="Q287" s="216">
        <f t="shared" si="61"/>
        <v>115964</v>
      </c>
      <c r="R287" s="216">
        <f t="shared" si="74"/>
        <v>5157</v>
      </c>
      <c r="S287" s="217">
        <f t="shared" si="75"/>
        <v>-57</v>
      </c>
      <c r="T287" s="16">
        <f t="shared" si="77"/>
        <v>-1697</v>
      </c>
    </row>
    <row r="288" spans="1:25" x14ac:dyDescent="0.25">
      <c r="A288" s="250">
        <v>44179</v>
      </c>
      <c r="B288" s="4">
        <v>5062</v>
      </c>
      <c r="C288" s="16">
        <f t="shared" si="78"/>
        <v>1503222</v>
      </c>
      <c r="D288" s="4">
        <v>274</v>
      </c>
      <c r="E288" s="16">
        <f t="shared" si="79"/>
        <v>41038</v>
      </c>
      <c r="F288" s="16">
        <f t="shared" si="81"/>
        <v>4803</v>
      </c>
      <c r="G288" s="198">
        <v>1340120</v>
      </c>
      <c r="H288" s="4">
        <v>3478</v>
      </c>
      <c r="I288" s="4">
        <v>43000</v>
      </c>
      <c r="J288" s="19">
        <f t="shared" si="80"/>
        <v>4302194</v>
      </c>
      <c r="K288" s="7">
        <v>5131</v>
      </c>
      <c r="L288" s="7">
        <v>2215097</v>
      </c>
      <c r="M288" s="216">
        <f t="shared" si="60"/>
        <v>2220228</v>
      </c>
      <c r="N288" s="4">
        <v>10451</v>
      </c>
      <c r="O288" s="4">
        <v>299430</v>
      </c>
      <c r="P288" s="4">
        <v>1076117</v>
      </c>
      <c r="Q288" s="216">
        <f t="shared" si="61"/>
        <v>117224</v>
      </c>
      <c r="R288" s="216">
        <f t="shared" ref="R288:S295" si="82">G288-G287</f>
        <v>4803</v>
      </c>
      <c r="S288" s="217">
        <f t="shared" si="82"/>
        <v>-59</v>
      </c>
      <c r="T288" s="16">
        <f t="shared" ref="T288:T295" si="83">(C288-G288-E288)-(C287-E287-G287)</f>
        <v>-15</v>
      </c>
    </row>
    <row r="289" spans="1:21" x14ac:dyDescent="0.25">
      <c r="A289" s="250">
        <v>44180</v>
      </c>
      <c r="B289" s="4">
        <v>6981</v>
      </c>
      <c r="C289" s="16">
        <f t="shared" si="78"/>
        <v>1510203</v>
      </c>
      <c r="D289" s="4">
        <v>165</v>
      </c>
      <c r="E289" s="16">
        <f t="shared" si="79"/>
        <v>41203</v>
      </c>
      <c r="F289" s="16">
        <f t="shared" si="81"/>
        <v>4180</v>
      </c>
      <c r="G289" s="198">
        <v>1344300</v>
      </c>
      <c r="H289" s="4">
        <v>3475</v>
      </c>
      <c r="I289" s="4">
        <v>36591</v>
      </c>
      <c r="J289" s="4">
        <f t="shared" si="80"/>
        <v>4338785</v>
      </c>
      <c r="K289" s="7">
        <v>5271</v>
      </c>
      <c r="L289" s="7">
        <v>2238751</v>
      </c>
      <c r="M289" s="216">
        <f t="shared" si="60"/>
        <v>2244022</v>
      </c>
      <c r="N289" s="4">
        <v>10483</v>
      </c>
      <c r="O289" s="4">
        <v>301009</v>
      </c>
      <c r="P289" s="4">
        <v>1078240</v>
      </c>
      <c r="Q289" s="216">
        <f t="shared" si="61"/>
        <v>120471</v>
      </c>
      <c r="R289" s="216">
        <f t="shared" si="82"/>
        <v>4180</v>
      </c>
      <c r="S289" s="217">
        <f t="shared" si="82"/>
        <v>-3</v>
      </c>
      <c r="T289" s="16">
        <f t="shared" si="83"/>
        <v>2636</v>
      </c>
    </row>
    <row r="290" spans="1:21" x14ac:dyDescent="0.25">
      <c r="A290" s="250">
        <v>44181</v>
      </c>
      <c r="B290" s="4">
        <v>6843</v>
      </c>
      <c r="C290" s="16">
        <f t="shared" ref="C290:C295" si="84">C289+B290</f>
        <v>1517046</v>
      </c>
      <c r="D290" s="4">
        <v>162</v>
      </c>
      <c r="E290" s="16">
        <f t="shared" ref="E290:E295" si="85">E289+D290</f>
        <v>41365</v>
      </c>
      <c r="F290" s="16">
        <f t="shared" si="81"/>
        <v>3614</v>
      </c>
      <c r="G290" s="198">
        <v>1347914</v>
      </c>
      <c r="H290" s="4">
        <v>3443</v>
      </c>
      <c r="I290" s="4">
        <v>34599</v>
      </c>
      <c r="J290" s="4">
        <f t="shared" ref="J290:J295" si="86">J289+I290</f>
        <v>4373384</v>
      </c>
      <c r="K290" s="7">
        <v>5417</v>
      </c>
      <c r="L290" s="7">
        <v>2259690</v>
      </c>
      <c r="M290" s="216">
        <f t="shared" si="60"/>
        <v>2265107</v>
      </c>
      <c r="N290" s="4">
        <v>10548</v>
      </c>
      <c r="O290" s="4">
        <v>302498</v>
      </c>
      <c r="P290" s="4">
        <v>1083034</v>
      </c>
      <c r="Q290" s="216">
        <f t="shared" si="61"/>
        <v>120966</v>
      </c>
      <c r="R290" s="216">
        <f t="shared" si="82"/>
        <v>3614</v>
      </c>
      <c r="S290" s="217">
        <f t="shared" si="82"/>
        <v>-32</v>
      </c>
      <c r="T290" s="16">
        <f t="shared" si="83"/>
        <v>3067</v>
      </c>
    </row>
    <row r="291" spans="1:21" x14ac:dyDescent="0.25">
      <c r="A291" s="250">
        <v>44182</v>
      </c>
      <c r="B291" s="4">
        <v>7326</v>
      </c>
      <c r="C291" s="16">
        <f t="shared" si="84"/>
        <v>1524372</v>
      </c>
      <c r="D291" s="4">
        <v>169</v>
      </c>
      <c r="E291" s="16">
        <f t="shared" si="85"/>
        <v>41534</v>
      </c>
      <c r="F291" s="16">
        <f t="shared" si="81"/>
        <v>4642</v>
      </c>
      <c r="G291" s="198">
        <v>1352556</v>
      </c>
      <c r="H291" s="4">
        <v>3471</v>
      </c>
      <c r="I291" s="4">
        <v>31936</v>
      </c>
      <c r="J291" s="4">
        <f t="shared" si="86"/>
        <v>4405320</v>
      </c>
      <c r="K291" s="7">
        <v>5509</v>
      </c>
      <c r="L291" s="7">
        <v>2279140</v>
      </c>
      <c r="M291" s="216">
        <f t="shared" si="60"/>
        <v>2284649</v>
      </c>
      <c r="N291" s="4">
        <v>10614</v>
      </c>
      <c r="O291" s="4">
        <v>304151</v>
      </c>
      <c r="P291" s="4">
        <v>1088190</v>
      </c>
      <c r="Q291" s="216">
        <f t="shared" si="61"/>
        <v>121417</v>
      </c>
      <c r="R291" s="216">
        <f t="shared" si="82"/>
        <v>4642</v>
      </c>
      <c r="S291" s="217">
        <f t="shared" si="82"/>
        <v>28</v>
      </c>
      <c r="T291" s="16">
        <f t="shared" si="83"/>
        <v>2515</v>
      </c>
    </row>
    <row r="292" spans="1:21" x14ac:dyDescent="0.25">
      <c r="A292" s="252">
        <v>44183</v>
      </c>
      <c r="B292" s="47">
        <v>7002</v>
      </c>
      <c r="C292" s="199">
        <f t="shared" si="84"/>
        <v>1531374</v>
      </c>
      <c r="D292" s="47">
        <v>138</v>
      </c>
      <c r="E292" s="199">
        <f t="shared" si="85"/>
        <v>41672</v>
      </c>
      <c r="F292" s="199">
        <f t="shared" si="81"/>
        <v>4199</v>
      </c>
      <c r="G292" s="198">
        <v>1356755</v>
      </c>
      <c r="H292" s="47">
        <v>3434</v>
      </c>
      <c r="I292" s="47">
        <v>32002</v>
      </c>
      <c r="J292" s="47">
        <f t="shared" si="86"/>
        <v>4437322</v>
      </c>
      <c r="K292" s="66">
        <v>5573</v>
      </c>
      <c r="L292" s="66">
        <v>2298394</v>
      </c>
      <c r="M292" s="253">
        <f t="shared" si="60"/>
        <v>2303967</v>
      </c>
      <c r="N292" s="47">
        <v>10658</v>
      </c>
      <c r="O292" s="47">
        <v>305458</v>
      </c>
      <c r="P292" s="47">
        <v>1093180</v>
      </c>
      <c r="Q292" s="253">
        <f t="shared" si="61"/>
        <v>122078</v>
      </c>
      <c r="R292" s="253">
        <f t="shared" si="82"/>
        <v>4199</v>
      </c>
      <c r="S292" s="217">
        <f t="shared" si="82"/>
        <v>-37</v>
      </c>
      <c r="T292" s="16">
        <f t="shared" si="83"/>
        <v>2665</v>
      </c>
    </row>
    <row r="293" spans="1:21" x14ac:dyDescent="0.25">
      <c r="A293" s="260">
        <v>44184</v>
      </c>
      <c r="B293" s="261">
        <v>5795</v>
      </c>
      <c r="C293" s="262">
        <f t="shared" si="84"/>
        <v>1537169</v>
      </c>
      <c r="D293" s="261">
        <v>91</v>
      </c>
      <c r="E293" s="262">
        <f t="shared" si="85"/>
        <v>41763</v>
      </c>
      <c r="F293" s="262">
        <f t="shared" si="81"/>
        <v>5862</v>
      </c>
      <c r="G293" s="198">
        <v>1362617</v>
      </c>
      <c r="H293" s="261">
        <v>3452</v>
      </c>
      <c r="I293" s="261">
        <v>27403</v>
      </c>
      <c r="J293" s="261">
        <f t="shared" si="86"/>
        <v>4464725</v>
      </c>
      <c r="K293" s="255">
        <v>5632</v>
      </c>
      <c r="L293" s="255">
        <v>2314565</v>
      </c>
      <c r="M293" s="256">
        <f t="shared" si="60"/>
        <v>2320197</v>
      </c>
      <c r="N293" s="254">
        <v>10688</v>
      </c>
      <c r="O293" s="254">
        <v>306243</v>
      </c>
      <c r="P293" s="254">
        <v>1096091</v>
      </c>
      <c r="Q293" s="256">
        <f t="shared" si="61"/>
        <v>124147</v>
      </c>
      <c r="R293" s="256">
        <f t="shared" si="82"/>
        <v>5862</v>
      </c>
      <c r="S293" s="251">
        <f t="shared" si="82"/>
        <v>18</v>
      </c>
      <c r="T293" s="16">
        <f t="shared" si="83"/>
        <v>-158</v>
      </c>
    </row>
    <row r="294" spans="1:21" x14ac:dyDescent="0.25">
      <c r="A294" s="263">
        <v>44185</v>
      </c>
      <c r="B294" s="47">
        <v>4116</v>
      </c>
      <c r="C294" s="199">
        <f t="shared" si="84"/>
        <v>1541285</v>
      </c>
      <c r="D294" s="47">
        <v>50</v>
      </c>
      <c r="E294" s="199">
        <f t="shared" si="85"/>
        <v>41813</v>
      </c>
      <c r="F294" s="199">
        <f t="shared" si="81"/>
        <v>5729</v>
      </c>
      <c r="G294" s="198">
        <v>1368346</v>
      </c>
      <c r="H294" s="47">
        <v>3462</v>
      </c>
      <c r="I294" s="47">
        <v>32148</v>
      </c>
      <c r="J294" s="47">
        <f t="shared" si="86"/>
        <v>4496873</v>
      </c>
      <c r="K294" s="264">
        <v>5765</v>
      </c>
      <c r="L294" s="265">
        <v>2338847</v>
      </c>
      <c r="M294" s="266">
        <f t="shared" si="60"/>
        <v>2344612</v>
      </c>
      <c r="N294" s="261">
        <v>10715</v>
      </c>
      <c r="O294" s="261">
        <v>306830</v>
      </c>
      <c r="P294" s="261">
        <v>1098359</v>
      </c>
      <c r="Q294" s="266">
        <f t="shared" si="61"/>
        <v>125381</v>
      </c>
      <c r="R294" s="266">
        <f t="shared" si="82"/>
        <v>5729</v>
      </c>
      <c r="S294" s="267">
        <f t="shared" si="82"/>
        <v>10</v>
      </c>
      <c r="T294" s="199">
        <f t="shared" si="83"/>
        <v>-1663</v>
      </c>
    </row>
    <row r="295" spans="1:21" x14ac:dyDescent="0.25">
      <c r="A295" s="250">
        <v>44186</v>
      </c>
      <c r="B295" s="4">
        <v>5853</v>
      </c>
      <c r="C295" s="16">
        <f t="shared" si="84"/>
        <v>1547138</v>
      </c>
      <c r="D295" s="4">
        <v>184</v>
      </c>
      <c r="E295" s="16">
        <f t="shared" si="85"/>
        <v>41997</v>
      </c>
      <c r="F295" s="16">
        <f t="shared" si="81"/>
        <v>6055</v>
      </c>
      <c r="G295" s="198">
        <v>1374401</v>
      </c>
      <c r="H295" s="4">
        <v>3367</v>
      </c>
      <c r="I295" s="4">
        <v>24076</v>
      </c>
      <c r="J295" s="4">
        <f t="shared" si="86"/>
        <v>4520949</v>
      </c>
      <c r="K295" s="7">
        <v>5890</v>
      </c>
      <c r="L295" s="7">
        <v>2353622</v>
      </c>
      <c r="M295" s="216">
        <f t="shared" si="60"/>
        <v>2359512</v>
      </c>
      <c r="N295" s="4">
        <v>10750</v>
      </c>
      <c r="O295" s="4">
        <v>308256</v>
      </c>
      <c r="P295" s="4">
        <v>1103443</v>
      </c>
      <c r="Q295" s="216">
        <f t="shared" si="61"/>
        <v>124689</v>
      </c>
      <c r="R295" s="216">
        <f t="shared" si="82"/>
        <v>6055</v>
      </c>
      <c r="S295" s="217">
        <f t="shared" si="82"/>
        <v>-95</v>
      </c>
      <c r="T295" s="16">
        <f t="shared" si="83"/>
        <v>-386</v>
      </c>
      <c r="U295" s="259"/>
    </row>
    <row r="296" spans="1:21" x14ac:dyDescent="0.25">
      <c r="A296" s="250">
        <v>44187</v>
      </c>
      <c r="B296" s="4">
        <v>8141</v>
      </c>
      <c r="C296" s="16">
        <f>C295+B296</f>
        <v>1555279</v>
      </c>
      <c r="D296" s="4">
        <v>257</v>
      </c>
      <c r="E296" s="16">
        <f>E295+D296</f>
        <v>42254</v>
      </c>
      <c r="F296" s="16">
        <f t="shared" si="81"/>
        <v>5325</v>
      </c>
      <c r="G296" s="198">
        <v>1379726</v>
      </c>
      <c r="H296" s="4">
        <v>3399</v>
      </c>
      <c r="I296" s="4">
        <v>37688</v>
      </c>
      <c r="J296" s="4">
        <f>J295+I296</f>
        <v>4558637</v>
      </c>
      <c r="K296" s="7">
        <v>5936</v>
      </c>
      <c r="L296" s="7">
        <v>2390200</v>
      </c>
      <c r="M296" s="216">
        <f t="shared" si="60"/>
        <v>2396136</v>
      </c>
      <c r="N296" s="4">
        <v>10808</v>
      </c>
      <c r="O296" s="4">
        <v>309842</v>
      </c>
      <c r="P296" s="4">
        <v>1109025</v>
      </c>
      <c r="Q296" s="216">
        <f t="shared" si="61"/>
        <v>125604</v>
      </c>
      <c r="R296" s="207">
        <f t="shared" ref="R296" si="87">G296-G295</f>
        <v>5325</v>
      </c>
      <c r="S296" s="79">
        <f t="shared" ref="S296" si="88">H296-H295</f>
        <v>32</v>
      </c>
      <c r="T296" s="198">
        <f t="shared" ref="T296" si="89">(C296-G296-E296)-(C295-E295-G295)</f>
        <v>2559</v>
      </c>
    </row>
    <row r="297" spans="1:21" x14ac:dyDescent="0.25">
      <c r="A297" s="250">
        <v>44188</v>
      </c>
      <c r="B297" s="4">
        <v>8586</v>
      </c>
      <c r="C297" s="16">
        <f>C296+B297</f>
        <v>1563865</v>
      </c>
      <c r="D297" s="4">
        <v>60</v>
      </c>
      <c r="E297" s="16">
        <f>E296+D297</f>
        <v>42314</v>
      </c>
      <c r="F297" s="16">
        <f t="shared" si="81"/>
        <v>4551</v>
      </c>
      <c r="G297" s="198">
        <v>1384277</v>
      </c>
      <c r="H297" s="4">
        <v>3390</v>
      </c>
      <c r="I297" s="4">
        <v>39323</v>
      </c>
      <c r="J297" s="4">
        <f>J296+I297</f>
        <v>4597960</v>
      </c>
      <c r="K297" s="7">
        <v>5897</v>
      </c>
      <c r="L297" s="7">
        <v>2402139</v>
      </c>
      <c r="M297" s="216">
        <f t="shared" si="60"/>
        <v>2408036</v>
      </c>
      <c r="N297" s="4">
        <v>10873</v>
      </c>
      <c r="O297" s="4">
        <v>311072</v>
      </c>
      <c r="P297" s="4">
        <v>1114236</v>
      </c>
      <c r="Q297" s="216">
        <f t="shared" si="61"/>
        <v>127684</v>
      </c>
      <c r="R297" s="207">
        <f t="shared" ref="R297:R298" si="90">G297-G296</f>
        <v>4551</v>
      </c>
      <c r="S297" s="79">
        <f t="shared" ref="S297:S298" si="91">H297-H296</f>
        <v>-9</v>
      </c>
      <c r="T297" s="198">
        <f t="shared" ref="T297:T298" si="92">(C297-G297-E297)-(C296-E296-G296)</f>
        <v>3975</v>
      </c>
    </row>
    <row r="298" spans="1:21" x14ac:dyDescent="0.25">
      <c r="A298" s="250">
        <v>44189</v>
      </c>
      <c r="B298" s="4">
        <v>7815</v>
      </c>
      <c r="C298" s="16">
        <f t="shared" ref="C298:C301" si="93">C297+B298</f>
        <v>1571680</v>
      </c>
      <c r="D298" s="4">
        <v>78</v>
      </c>
      <c r="E298" s="16">
        <f>E297+D298</f>
        <v>42392</v>
      </c>
      <c r="F298" s="16">
        <f t="shared" si="81"/>
        <v>6439</v>
      </c>
      <c r="G298" s="198">
        <v>1390716</v>
      </c>
      <c r="H298" s="4"/>
      <c r="I298" s="4"/>
      <c r="J298" s="4"/>
      <c r="K298" s="7">
        <v>5908</v>
      </c>
      <c r="L298" s="7">
        <v>2423214</v>
      </c>
      <c r="M298" s="216">
        <f t="shared" si="60"/>
        <v>2429122</v>
      </c>
      <c r="N298" s="4">
        <v>10910</v>
      </c>
      <c r="O298" s="4">
        <v>311984</v>
      </c>
      <c r="P298" s="4">
        <v>1119801</v>
      </c>
      <c r="Q298" s="216">
        <f t="shared" si="61"/>
        <v>128985</v>
      </c>
      <c r="R298" s="207">
        <f t="shared" si="90"/>
        <v>6439</v>
      </c>
      <c r="S298" s="79">
        <f t="shared" si="91"/>
        <v>-3390</v>
      </c>
      <c r="T298" s="198">
        <f t="shared" si="92"/>
        <v>1298</v>
      </c>
    </row>
    <row r="299" spans="1:21" x14ac:dyDescent="0.25">
      <c r="A299" s="250">
        <v>44190</v>
      </c>
      <c r="B299" s="4">
        <v>2874</v>
      </c>
      <c r="C299" s="16">
        <f t="shared" si="93"/>
        <v>1574554</v>
      </c>
      <c r="D299" s="4">
        <v>30</v>
      </c>
      <c r="E299" s="16">
        <f>E298+D299</f>
        <v>42422</v>
      </c>
      <c r="F299" s="16">
        <f t="shared" si="81"/>
        <v>5946</v>
      </c>
      <c r="G299" s="198">
        <v>1396662</v>
      </c>
      <c r="H299" s="4"/>
      <c r="I299" s="4"/>
      <c r="J299" s="4"/>
      <c r="K299" s="7"/>
      <c r="L299" s="7"/>
      <c r="M299" s="4"/>
      <c r="N299" s="4"/>
      <c r="O299" s="4"/>
      <c r="P299" s="4"/>
      <c r="Q299" s="4"/>
      <c r="R299" s="207">
        <f t="shared" ref="R299:R300" si="94">G299-G298</f>
        <v>5946</v>
      </c>
      <c r="S299" s="79">
        <f t="shared" ref="S299:S300" si="95">H299-H298</f>
        <v>0</v>
      </c>
      <c r="T299" s="198">
        <f t="shared" ref="T299:T300" si="96">(C299-G299-E299)-(C298-E298-G298)</f>
        <v>-3102</v>
      </c>
    </row>
    <row r="300" spans="1:21" x14ac:dyDescent="0.25">
      <c r="A300" s="250">
        <v>44191</v>
      </c>
      <c r="B300" s="4">
        <v>3713</v>
      </c>
      <c r="C300" s="16">
        <f t="shared" si="93"/>
        <v>1578267</v>
      </c>
      <c r="D300" s="4">
        <v>79</v>
      </c>
      <c r="E300" s="16">
        <f>E299+D300</f>
        <v>42501</v>
      </c>
      <c r="F300" s="16">
        <f t="shared" si="81"/>
        <v>5565</v>
      </c>
      <c r="G300" s="198">
        <v>1402227</v>
      </c>
      <c r="H300" s="4">
        <v>3262</v>
      </c>
      <c r="I300" s="4"/>
      <c r="J300" s="4"/>
      <c r="K300" s="7"/>
      <c r="L300" s="7"/>
      <c r="M300" s="4"/>
      <c r="N300" s="4"/>
      <c r="O300" s="4"/>
      <c r="P300" s="4"/>
      <c r="Q300" s="4"/>
      <c r="R300" s="207">
        <f>G300-G299</f>
        <v>5565</v>
      </c>
      <c r="S300" s="79">
        <f>H300-H297</f>
        <v>-128</v>
      </c>
      <c r="T300" s="198">
        <f t="shared" si="96"/>
        <v>-1931</v>
      </c>
    </row>
    <row r="301" spans="1:21" x14ac:dyDescent="0.25">
      <c r="A301" s="250">
        <v>44192</v>
      </c>
      <c r="B301" s="95">
        <v>5030</v>
      </c>
      <c r="C301" s="16">
        <f t="shared" si="93"/>
        <v>1583297</v>
      </c>
      <c r="D301" s="95">
        <v>149</v>
      </c>
      <c r="E301" s="16">
        <f>E300+D301</f>
        <v>42650</v>
      </c>
      <c r="F301" s="16">
        <f t="shared" si="81"/>
        <v>5699</v>
      </c>
      <c r="G301" s="83">
        <v>1407926</v>
      </c>
      <c r="H301" s="95">
        <v>3313</v>
      </c>
      <c r="R301" s="207">
        <f>G301-G300</f>
        <v>5699</v>
      </c>
      <c r="S301" s="79">
        <f>H301-H298</f>
        <v>3313</v>
      </c>
      <c r="T301" s="198">
        <f t="shared" ref="T301" si="97">(C301-G301-E301)-(C300-E300-G300)</f>
        <v>-818</v>
      </c>
    </row>
  </sheetData>
  <autoFilter ref="A1:R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7201"/>
  <sheetViews>
    <sheetView tabSelected="1" zoomScale="70" zoomScaleNormal="70" workbookViewId="0">
      <pane ySplit="1" topLeftCell="A7180" activePane="bottomLeft" state="frozen"/>
      <selection activeCell="D2374" sqref="A1:D2374"/>
      <selection pane="bottomLeft" activeCell="G7177" sqref="G7177:I7201"/>
    </sheetView>
  </sheetViews>
  <sheetFormatPr baseColWidth="10" defaultRowHeight="15" x14ac:dyDescent="0.25"/>
  <cols>
    <col min="1" max="1" width="17.42578125" style="61" customWidth="1"/>
    <col min="2" max="2" width="14.140625" style="4" customWidth="1"/>
    <col min="3" max="3" width="8.42578125" style="4" customWidth="1"/>
    <col min="4" max="4" width="11.42578125" style="29" customWidth="1"/>
    <col min="5" max="5" width="6.42578125" style="4" customWidth="1"/>
    <col min="6" max="6" width="11.7109375" style="135" customWidth="1"/>
    <col min="7" max="7" width="6.7109375" customWidth="1"/>
    <col min="8" max="8" width="5.5703125" customWidth="1"/>
    <col min="9" max="9" width="6.28515625" customWidth="1"/>
    <col min="10" max="10" width="9.140625" customWidth="1"/>
  </cols>
  <sheetData>
    <row r="1" spans="1:6" x14ac:dyDescent="0.25">
      <c r="A1" s="86" t="s">
        <v>31</v>
      </c>
      <c r="B1" s="47" t="s">
        <v>32</v>
      </c>
      <c r="C1" s="47" t="s">
        <v>33</v>
      </c>
      <c r="D1" s="85" t="s">
        <v>34</v>
      </c>
      <c r="E1" s="84" t="s">
        <v>117</v>
      </c>
      <c r="F1" s="133" t="s">
        <v>140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79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79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79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79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79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79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79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79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79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79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79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79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79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79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79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79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79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79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79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79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79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79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79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79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79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79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79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79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79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79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79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79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79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79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79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79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79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79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79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79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79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79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79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79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79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79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79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79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79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79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79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79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79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79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79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79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79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79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79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79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79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79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79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79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79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79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79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79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79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79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79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79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79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79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79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79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79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79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79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79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79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79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79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79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79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79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79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79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79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79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79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79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79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79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79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79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79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79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79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79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79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79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79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79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79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79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79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79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79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79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79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79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79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79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79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79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79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79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79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79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79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79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79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79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79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79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79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79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79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79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79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79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79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79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79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79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79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79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79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79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79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79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79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79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79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79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79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79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79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79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79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79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79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79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79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79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79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79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79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79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79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79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79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79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79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79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79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79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79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79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79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79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79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79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79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79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79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79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79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79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79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79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79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79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79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79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79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79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79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79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79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79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79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79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79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79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79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79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79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79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79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79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79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79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79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79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79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79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79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79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79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79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79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79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79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79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79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79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79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79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79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79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79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79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79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79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79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79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79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79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79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79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79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79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79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79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79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79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79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79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79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79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79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79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79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79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79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79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79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79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79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79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79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79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79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79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79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79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79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79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79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79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79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79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79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79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79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79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79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79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79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79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79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79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79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79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79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79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79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79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79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79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79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79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79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79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79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79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79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79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79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79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79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79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79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79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79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79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79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79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79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79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79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79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79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79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79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79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79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79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79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79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79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79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79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79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79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79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79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79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79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79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79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79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79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79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79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79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79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79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79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79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79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79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79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79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79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79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79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79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79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79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79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79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79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79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79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79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79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79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79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79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79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79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79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79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79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79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79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79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79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79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79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79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79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79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79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79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79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79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79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79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79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79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79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79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79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79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79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79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79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79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79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79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79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79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79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79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79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79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79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79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79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79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79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79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79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79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79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79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79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79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79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79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79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79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79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79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79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79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79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79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79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79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79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79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79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79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79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79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79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79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79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79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79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79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79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79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79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79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79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79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79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79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79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79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79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79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79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79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79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79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79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79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79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79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79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79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79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79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79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79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79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79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79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79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79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79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79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79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79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79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79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79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79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79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79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79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79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79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79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79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79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79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79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79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79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79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79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79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79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79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79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79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79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79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79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79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79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79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79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79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79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79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79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79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79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79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79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79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79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79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79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79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79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79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79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79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79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79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79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79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79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79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79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79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79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79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79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79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79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79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79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79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79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79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79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79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79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79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79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79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79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79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79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79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79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79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79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79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79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79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79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79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79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79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79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79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79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79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79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79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79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79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79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79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79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79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79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79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79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79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79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79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79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79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79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79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79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79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79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79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79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79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79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79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79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79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79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79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79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79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79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79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79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79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79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79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79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79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79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79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79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79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79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79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79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79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79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79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79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79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79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79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79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79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79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79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79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79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79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79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79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79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79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79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79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79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79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79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79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79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79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79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79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79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79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79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79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79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79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79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79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79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79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79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79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79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79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79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79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79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79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79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79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79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79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79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79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79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79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79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79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79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79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79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79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79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79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79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79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79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79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79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79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79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79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79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79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79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79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79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79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79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79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79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79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79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79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79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79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79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79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79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79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79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79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79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79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79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79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79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79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79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79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79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79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79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79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79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79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79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79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79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79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79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79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79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79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79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79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79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79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79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79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79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79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79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79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79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79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79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79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79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79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79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79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79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79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79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79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79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79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79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79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79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79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79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79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79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79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79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79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79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79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79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79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79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79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79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79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79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79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79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79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79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79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79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79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79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79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79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79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79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79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79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79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79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79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79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79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79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79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79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79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79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79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79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79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79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79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79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79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79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79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79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79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79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79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79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79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79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79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79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79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79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79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79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79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79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79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79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79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79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79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79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79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79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79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79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79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79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79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79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79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79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79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79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79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79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79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79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79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79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79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79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79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79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79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79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79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79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79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79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79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79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79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79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79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79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79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79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79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79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79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79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79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79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79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79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79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79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79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79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79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79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79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79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79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79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79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79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79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79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79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79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79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79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79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79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79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79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79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79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79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79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79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79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79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79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79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79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79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79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79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79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79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79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79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79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79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79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79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79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79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79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79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79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79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79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79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79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79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79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79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79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79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79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79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79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79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79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79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79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79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79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79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79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79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79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79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79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79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79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79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79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79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79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79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79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79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79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79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79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79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79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79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79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79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79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79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79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79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79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79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79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79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79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79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79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79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79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79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79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79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79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79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79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79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79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79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79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79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79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79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79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79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79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79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79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79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79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79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79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79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79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79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79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79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79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79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79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79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79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79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79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79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79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79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79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79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79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79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79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79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79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79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79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79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79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79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79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79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79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79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79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79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79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79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79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79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79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79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79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79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79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79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79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79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79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79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79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79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79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79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79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79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79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79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79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79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79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79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79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79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79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79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79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79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79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79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79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79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79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79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79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79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79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79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79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79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79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79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79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79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79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79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79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79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79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79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79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79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79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79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79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79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79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79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79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79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79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79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79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79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79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79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79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79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79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79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79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79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79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79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79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79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79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79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79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79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79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79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79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79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79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79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79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79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79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79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79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79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79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79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79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79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79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79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79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79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79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79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79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79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79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79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79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79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79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79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79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79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79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79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79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79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79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79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79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79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79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79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79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79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79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79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79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79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79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79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79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79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79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79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79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79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79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79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79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79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79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79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79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79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79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79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79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79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79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79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79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79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79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79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79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79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79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79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79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79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79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79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79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79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79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79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79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79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79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79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79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79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79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79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79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79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79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79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79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79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79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79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79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79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79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79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79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79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79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79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79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79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79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79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79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79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79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79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79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79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79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79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79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79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79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79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79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79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79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79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79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79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79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79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79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79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79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79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79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79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79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79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79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79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79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79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79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79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79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79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79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79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79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79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79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79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79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79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79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79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79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79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79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79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79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79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79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79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79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79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79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79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79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79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79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79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79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79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79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79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79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79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79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79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79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79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79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79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79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79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79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79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79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79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79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79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79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79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79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79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79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79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79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79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79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79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79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79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79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79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79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79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79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79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79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79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79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79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79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79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79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79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79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79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79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79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79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79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79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79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79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79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79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79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79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79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79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79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79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79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79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79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79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79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79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79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79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79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79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79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79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79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79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79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79">
        <f t="shared" ref="F1347:F1353" si="53">E1347+F1323</f>
        <v>0</v>
      </c>
      <c r="G1347" s="88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79">
        <f t="shared" si="53"/>
        <v>12</v>
      </c>
      <c r="G1348" s="88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79">
        <f t="shared" si="53"/>
        <v>1</v>
      </c>
      <c r="G1349" s="88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79">
        <f t="shared" si="53"/>
        <v>61</v>
      </c>
      <c r="G1350" s="88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79">
        <f t="shared" si="53"/>
        <v>14</v>
      </c>
      <c r="G1351" s="88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79">
        <f t="shared" si="53"/>
        <v>0</v>
      </c>
      <c r="G1352" s="88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79">
        <f t="shared" si="53"/>
        <v>0</v>
      </c>
      <c r="G1353" s="88"/>
    </row>
    <row r="1354" spans="1:7" s="88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79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79">
        <f t="shared" si="54"/>
        <v>0</v>
      </c>
      <c r="G1355" s="88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79">
        <f t="shared" si="54"/>
        <v>0</v>
      </c>
      <c r="G1356" s="88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79">
        <f t="shared" si="54"/>
        <v>0</v>
      </c>
      <c r="G1357" s="88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79">
        <f t="shared" si="54"/>
        <v>6</v>
      </c>
      <c r="G1358" s="88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79">
        <f t="shared" si="54"/>
        <v>9</v>
      </c>
      <c r="G1359" s="88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79">
        <f t="shared" si="54"/>
        <v>2</v>
      </c>
      <c r="G1360" s="88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79">
        <f t="shared" si="54"/>
        <v>3</v>
      </c>
      <c r="G1361" s="88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79">
        <f t="shared" si="54"/>
        <v>8</v>
      </c>
      <c r="G1362" s="88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79">
        <f t="shared" si="54"/>
        <v>0</v>
      </c>
      <c r="G1363" s="88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79">
        <f t="shared" si="54"/>
        <v>0</v>
      </c>
      <c r="G1364" s="88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79">
        <f t="shared" si="54"/>
        <v>0</v>
      </c>
      <c r="G1365" s="88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79">
        <f>E1366+F1342</f>
        <v>2</v>
      </c>
      <c r="G1366" s="88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79">
        <f>E1367+F1343</f>
        <v>0</v>
      </c>
      <c r="G1367" s="88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79">
        <f t="shared" si="54"/>
        <v>0</v>
      </c>
      <c r="G1368" s="88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79">
        <f>E1369+F1345</f>
        <v>2</v>
      </c>
      <c r="G1369" s="88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79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79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79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79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79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79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79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79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79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79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79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79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79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79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79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79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79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79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79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79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79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79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79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79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79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79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79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79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79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79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79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79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79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79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79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79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79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79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79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79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79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79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79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79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79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79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79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79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79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79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79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79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79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79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79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79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79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79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79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79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79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79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79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79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79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79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79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79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79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79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79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79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79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79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79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79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79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79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79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79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79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79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79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79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79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79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79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79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79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79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79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79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79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79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79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79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79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79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79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79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79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79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79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79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79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79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79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79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79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79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79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79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79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79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79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79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79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79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79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79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79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79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79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79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79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79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79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79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79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79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79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79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79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79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79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79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79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79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79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79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79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79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79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79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79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79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79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79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79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79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79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79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79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79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79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79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79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79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79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79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79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79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79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79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79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79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79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79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79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79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79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79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79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79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79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79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79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79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79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79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79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79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79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79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79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79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79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79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79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79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79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79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79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79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79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79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79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79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79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79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79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79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79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79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79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79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79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79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79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79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79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79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79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79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79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79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79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79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79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79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79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79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79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79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79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79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79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79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79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79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79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79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79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79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79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79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79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79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79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79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79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79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79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79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79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79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79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79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79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79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79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79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79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79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79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79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79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79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79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79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79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79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79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79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79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79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79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79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79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79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79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79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79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79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79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79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79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79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79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79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79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79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79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79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79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79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79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79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79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79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79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79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79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79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79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79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79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79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79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79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79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79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79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79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79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79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79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79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79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79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79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79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79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79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79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79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79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79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79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79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79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79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79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79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79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79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79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79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79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79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79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79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79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79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79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79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79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79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79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79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79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79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79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79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79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79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79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79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79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79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79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79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79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79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79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79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79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79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79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79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79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79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79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79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79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79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79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79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79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79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79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79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79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79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79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79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79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79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79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79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79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79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79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79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79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79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79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79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79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79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79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79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79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79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79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79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79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79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79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79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79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79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79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79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79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79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79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79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79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79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79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79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79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79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79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79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79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79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79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79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79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79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79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79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79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79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79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79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79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79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79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79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79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79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79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79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79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79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79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79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79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79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79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79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79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79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79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79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79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79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79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79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79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79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79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79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79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79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79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79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79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79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79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79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79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79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79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79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79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79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79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79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79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79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79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79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79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79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79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79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79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79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79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79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79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79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79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79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79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79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79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79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79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79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79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79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79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79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79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79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79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79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79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79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79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79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79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79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79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79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79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79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79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79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79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79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79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79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79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79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79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79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79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79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79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79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79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79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79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79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79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79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79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79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79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79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79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79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79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79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79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79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79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79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79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79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79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79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79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79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79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79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79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79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79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79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79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79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79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79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79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79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79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79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79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79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79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79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79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79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79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79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79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79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79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79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79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79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79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79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79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79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79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79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79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79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79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79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79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79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79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79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79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79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79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79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79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79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79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79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79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79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79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79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79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79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79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79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79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79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79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79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79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79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79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79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79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79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79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79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79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79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79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79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79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79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79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79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79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79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79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79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79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79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79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79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79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79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79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79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79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79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79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79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79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79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79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79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79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79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79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79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79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79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79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79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79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79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79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79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79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79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79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79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79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79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79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79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79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79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79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79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79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79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79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79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79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79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79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79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79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79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79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79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79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79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79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79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79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79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79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79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79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79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79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79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79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79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79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79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79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79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79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79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79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79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79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79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79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79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79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79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79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79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79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79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79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79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79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79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79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79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79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79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79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79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79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79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79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79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79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79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79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79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79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79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79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79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79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79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79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79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79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79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79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79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79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79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79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79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79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79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79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79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79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79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79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79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79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79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79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79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79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79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79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79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79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79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79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79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79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79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79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79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79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79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79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79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79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79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79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79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79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79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79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79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79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79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79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79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79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79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79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79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79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79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79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79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79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79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79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79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79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79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79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79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79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79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79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79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79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79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79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79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79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79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79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79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79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79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79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79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79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79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79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79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79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79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79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79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79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79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79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79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79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79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79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79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79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79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79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79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79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79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79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79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79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79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79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79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79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79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79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79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79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79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79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79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79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79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79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79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79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79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79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79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79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79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79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79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79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79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79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79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79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79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79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79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79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79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79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79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79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79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79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79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79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79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79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79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79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79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79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79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79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79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79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79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79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79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79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79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79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79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79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79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79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79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79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79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79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79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79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79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79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79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79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79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79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79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79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79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79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79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79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79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79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79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79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79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79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79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79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79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79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79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79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79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79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79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79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79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79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79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79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79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79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79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79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79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79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79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79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79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79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79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79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79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79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79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79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79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79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79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79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79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79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79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79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79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79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79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79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79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79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79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79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79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79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79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79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79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79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79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79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79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79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79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79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79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79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79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79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79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79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79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79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79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79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79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79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79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79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79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79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79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79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79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79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79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79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79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79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79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79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79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79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79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79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79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79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79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79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79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79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79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79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79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79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79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79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79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79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79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79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79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79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79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79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79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79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79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79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79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79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79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79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79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79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79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79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79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79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79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79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79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79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79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79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79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79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79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79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79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79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79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79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79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79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79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79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79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79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79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79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79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79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79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79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79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79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79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79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79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79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79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79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79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79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79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79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79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79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79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79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79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79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79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79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79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79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79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79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79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79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79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79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79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79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79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79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79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79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79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79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79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79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79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79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79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79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79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79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79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79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79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79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79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79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79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79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79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79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79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79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79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79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79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79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79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79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79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79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79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79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79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79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79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79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79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79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79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79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79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79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79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79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79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79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79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79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79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79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79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79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79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79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79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79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79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79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79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79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79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79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79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79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79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79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79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79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79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79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79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79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79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79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79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79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79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79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79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79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79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79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79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79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79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79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79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79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79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79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79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79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79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79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79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79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79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79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79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79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79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79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79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79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79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79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79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79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79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79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79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79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79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79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79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79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79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79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79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79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79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79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79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79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79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79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79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79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79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79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79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79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79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79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79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79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79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79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79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79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79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79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79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79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79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79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79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79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79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79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79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79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79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79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79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79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79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79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79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79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79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79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79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79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79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79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79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79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79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79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79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79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79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79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79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79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79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79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79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79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79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79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79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79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79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79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79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79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79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79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79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79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79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79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79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79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79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79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79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79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79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79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79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79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79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79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79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79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79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79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79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79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79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79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79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79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79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79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79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79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79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79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79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79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79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79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79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79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79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79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79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79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79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79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79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79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79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79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79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79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79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79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79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79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79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79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79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79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79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79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79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79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79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79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79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79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79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79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79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79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79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79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79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79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79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79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79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79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79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79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79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79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79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79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79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79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79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79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79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79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79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79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79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79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79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79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79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79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79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79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79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79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79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79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79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79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79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79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79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79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79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79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79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79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79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79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79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79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79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79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79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79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79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79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79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79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79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79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79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79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79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79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79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79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79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79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79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79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79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79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79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79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79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79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79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79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79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79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79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79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79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79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79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79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79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79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79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79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79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79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79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79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79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79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79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79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79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79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79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79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79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79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79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79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79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79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79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79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79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79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79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79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79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79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79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79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79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79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79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79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79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79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79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79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79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79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79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79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79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79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79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79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79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79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79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79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79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79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79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79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79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79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79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79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79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79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79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79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79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79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79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79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79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79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79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79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79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79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79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79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79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79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79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79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79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79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79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79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79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79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79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79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79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79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79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79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79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79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79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79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79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79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79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79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79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79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79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79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79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79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79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79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79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79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79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79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79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79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79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79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79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79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79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79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79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79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79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79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79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79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79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79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79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79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79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79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79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79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79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79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79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79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79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79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79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79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79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79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79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79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79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79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79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79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79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79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79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79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79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79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79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79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79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79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79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79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79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79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79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79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79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79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79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79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79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79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79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79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79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79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79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79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79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79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79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79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79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79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79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79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79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79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79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79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79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79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79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79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79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79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79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79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79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79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79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79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79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79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79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79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79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79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79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79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79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79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79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79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79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79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79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79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79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79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79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79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79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79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79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79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79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79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79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79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79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79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79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79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79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79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79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79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79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79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79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79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79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79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79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79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79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79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79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79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79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79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79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79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79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79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79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79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79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79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79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79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79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79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79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79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79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79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79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79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79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79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79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79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79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79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79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79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79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79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79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79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79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79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79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79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79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79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79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79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79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79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79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79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79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79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79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79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79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79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79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79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79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79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79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79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79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79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79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79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79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79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79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79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79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79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79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79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79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79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79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79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79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79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79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79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79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79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79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79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79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79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79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79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79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79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79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79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79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79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79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79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79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79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79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79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79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79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79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79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79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79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79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79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79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79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79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79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79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79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79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79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79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79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79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79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79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79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79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79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79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79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79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79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79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79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79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79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79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79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79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79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79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79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79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79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79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79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79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79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79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79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79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79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79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79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79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79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79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79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79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79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79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79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79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79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79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79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79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79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79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79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79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79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79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79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79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79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79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79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79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79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79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79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79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79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79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79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79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79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79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79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79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79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79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79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79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79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79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79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79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79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79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79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79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79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79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79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79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79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79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79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79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79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79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79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79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79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79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79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79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79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79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79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79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79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79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79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79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79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79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79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79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79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79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79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79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79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79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79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79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79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79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79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79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79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79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79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79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79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79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79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79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79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79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79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79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79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79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79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79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79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79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79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79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79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79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79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79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79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79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79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79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79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79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79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79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79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79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79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79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79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79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79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79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79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79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79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79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79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79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79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79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79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79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79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79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79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79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79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79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79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79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79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79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79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79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79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79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79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79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79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79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79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79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79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79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79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79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79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79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79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79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79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79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79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79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79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79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79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79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79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79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79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79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79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79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79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79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79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79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79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79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79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79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79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79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79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79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79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79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79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79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79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79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79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79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79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79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79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79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79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79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79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79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79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79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79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79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79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79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79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79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79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79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79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79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79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79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79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79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79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79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79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79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79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79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79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79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79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79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79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79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79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79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79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79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79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79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79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79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79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79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79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79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79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79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79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79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79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79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79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79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79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79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79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79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79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79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79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79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79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79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79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79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79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79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79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79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79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79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79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79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79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79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79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79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79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79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79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79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79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79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79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79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79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79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79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79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79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79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79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79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79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79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79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79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79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79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79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79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79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79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79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79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79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79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79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79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79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79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79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79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79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79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79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79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79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79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79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79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79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79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79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79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79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79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79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79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79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79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79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79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79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79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79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79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79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79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79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79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79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79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79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79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79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79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79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79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79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79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79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79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79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79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79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79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79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79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79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79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79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79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79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79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79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79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79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79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79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79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79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79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79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79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79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79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79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79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79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79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79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79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79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79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79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79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79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79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79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79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79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79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79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79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79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79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79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79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79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79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79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79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79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79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79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79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79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79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79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79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79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79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79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79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79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79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79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79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79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79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79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79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79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79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79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79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79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79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79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79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79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79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79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79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79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79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79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79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79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79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79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79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79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79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79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79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79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79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79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79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79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79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79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79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79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79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79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79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79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79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79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79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79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79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79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79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79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79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79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79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79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79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79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79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79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79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79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79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79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79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79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79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79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79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79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79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79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79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79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79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79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79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79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79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79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79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79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79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79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79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79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79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79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79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79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79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79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79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79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79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79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79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79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79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79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79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79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79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79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79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79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79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79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79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79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79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79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79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79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79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79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79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79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79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79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79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79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79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79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79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79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79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79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79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79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79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79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79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79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79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79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79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79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79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79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79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79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79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79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79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79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79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79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79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79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79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79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79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79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79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79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79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79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79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79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79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79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79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79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79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79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79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79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79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79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79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79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79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79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79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79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79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79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79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79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79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79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79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79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79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79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79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79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79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79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79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79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79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79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79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79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79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79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79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79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79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79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79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79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79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79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79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79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79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79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79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79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79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79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79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79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79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79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79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79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79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79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79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79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79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79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79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79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79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79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79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79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79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79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79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79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79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79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79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79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79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79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79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79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79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79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79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79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79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79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79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79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79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79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79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79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79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79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79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79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79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79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79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79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79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79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79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79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79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79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79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79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79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79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79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79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79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79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79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79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79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79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79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79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79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79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79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79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79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79">
        <f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79">
        <f t="shared" ref="F3933:F3938" si="280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79">
        <f t="shared" si="280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79">
        <f t="shared" si="280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79">
        <f t="shared" si="280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79">
        <f t="shared" si="280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79">
        <f t="shared" si="280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1">C3939+D3915</f>
        <v>75593</v>
      </c>
      <c r="E3939" s="4">
        <f>3+7+17+11</f>
        <v>38</v>
      </c>
      <c r="F3939" s="79">
        <f t="shared" ref="F3939:F3977" si="282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1"/>
        <v>63</v>
      </c>
      <c r="F3940" s="79">
        <f t="shared" si="282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1"/>
        <v>4328</v>
      </c>
      <c r="F3941" s="79">
        <f t="shared" si="282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1"/>
        <v>391</v>
      </c>
      <c r="F3942" s="79">
        <f t="shared" si="282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1"/>
        <v>4293</v>
      </c>
      <c r="E3943" s="4">
        <f>1</f>
        <v>1</v>
      </c>
      <c r="F3943" s="79">
        <f t="shared" si="282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1"/>
        <v>224</v>
      </c>
      <c r="F3944" s="79">
        <f t="shared" si="282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1"/>
        <v>1464</v>
      </c>
      <c r="E3945" s="4">
        <v>2</v>
      </c>
      <c r="F3945" s="79">
        <f t="shared" si="282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1"/>
        <v>81</v>
      </c>
      <c r="F3946" s="79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1"/>
        <v>4326</v>
      </c>
      <c r="E3947" s="4">
        <f>14+7</f>
        <v>21</v>
      </c>
      <c r="F3947" s="79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1"/>
        <v>210</v>
      </c>
      <c r="F3948" s="79">
        <f t="shared" si="282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1"/>
        <v>660</v>
      </c>
      <c r="F3949" s="79">
        <f t="shared" si="282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1"/>
        <v>2906</v>
      </c>
      <c r="E3950" s="4">
        <v>2</v>
      </c>
      <c r="F3950" s="79">
        <f t="shared" si="282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1"/>
        <v>64</v>
      </c>
      <c r="F3951" s="79">
        <f t="shared" si="282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1"/>
        <v>1726</v>
      </c>
      <c r="E3952" s="4">
        <v>1</v>
      </c>
      <c r="F3952" s="79">
        <f t="shared" si="282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1"/>
        <v>3653</v>
      </c>
      <c r="E3953" s="4">
        <v>6</v>
      </c>
      <c r="F3953" s="79">
        <f t="shared" si="282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79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3">C3955+D3931</f>
        <v>22</v>
      </c>
      <c r="F3955" s="79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3"/>
        <v>34</v>
      </c>
      <c r="F3956" s="79">
        <f t="shared" si="282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3"/>
        <v>951</v>
      </c>
      <c r="F3957" s="79">
        <f t="shared" ref="F3957:F3962" si="284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3"/>
        <v>2954</v>
      </c>
      <c r="E3958" s="4">
        <v>1</v>
      </c>
      <c r="F3958" s="79">
        <f t="shared" si="284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3"/>
        <v>222</v>
      </c>
      <c r="F3959" s="79">
        <f t="shared" si="284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3"/>
        <v>1273</v>
      </c>
      <c r="E3960" s="4">
        <v>3</v>
      </c>
      <c r="F3960" s="79">
        <f t="shared" si="284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3"/>
        <v>540</v>
      </c>
      <c r="F3961" s="79">
        <f t="shared" si="284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79">
        <f t="shared" si="284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5">C3963+D3939</f>
        <v>76508</v>
      </c>
      <c r="E3963" s="4">
        <f>4+2+3</f>
        <v>9</v>
      </c>
      <c r="F3963" s="79">
        <f t="shared" si="282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5"/>
        <v>63</v>
      </c>
      <c r="F3964" s="79">
        <f t="shared" si="282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5"/>
        <v>4368</v>
      </c>
      <c r="E3965" s="4">
        <v>4</v>
      </c>
      <c r="F3965" s="79">
        <f t="shared" si="282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5"/>
        <v>395</v>
      </c>
      <c r="F3966" s="79">
        <f t="shared" si="282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5"/>
        <v>4454</v>
      </c>
      <c r="F3967" s="79">
        <f t="shared" si="282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5"/>
        <v>226</v>
      </c>
      <c r="F3968" s="79">
        <f t="shared" si="282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5"/>
        <v>1528</v>
      </c>
      <c r="E3969" s="4">
        <v>2</v>
      </c>
      <c r="F3969" s="79">
        <f t="shared" si="282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5"/>
        <v>82</v>
      </c>
      <c r="F3970" s="79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5"/>
        <v>4483</v>
      </c>
      <c r="F3971" s="79">
        <f t="shared" si="282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5"/>
        <v>211</v>
      </c>
      <c r="F3972" s="79">
        <f t="shared" si="282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5"/>
        <v>715</v>
      </c>
      <c r="F3973" s="79">
        <f t="shared" si="282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5"/>
        <v>3116</v>
      </c>
      <c r="E3974" s="4">
        <f>1+1+3</f>
        <v>5</v>
      </c>
      <c r="F3974" s="79">
        <f t="shared" si="282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5"/>
        <v>67</v>
      </c>
      <c r="F3975" s="79">
        <f t="shared" si="282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5"/>
        <v>1798</v>
      </c>
      <c r="F3976" s="79">
        <f t="shared" si="282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5"/>
        <v>3768</v>
      </c>
      <c r="E3977" s="4">
        <v>1</v>
      </c>
      <c r="F3977" s="79">
        <f t="shared" si="282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79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6">C3979+D3955</f>
        <v>22</v>
      </c>
      <c r="F3979" s="79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6"/>
        <v>34</v>
      </c>
      <c r="F3980" s="79">
        <f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6"/>
        <v>989</v>
      </c>
      <c r="F3981" s="79">
        <f t="shared" ref="F3981:F3986" si="287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6"/>
        <v>3133</v>
      </c>
      <c r="E3982" s="4">
        <v>1</v>
      </c>
      <c r="F3982" s="79">
        <f t="shared" si="287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6"/>
        <v>248</v>
      </c>
      <c r="F3983" s="79">
        <f t="shared" si="287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6"/>
        <v>1361</v>
      </c>
      <c r="E3984" s="4">
        <v>2</v>
      </c>
      <c r="F3984" s="79">
        <f t="shared" si="287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6"/>
        <v>568</v>
      </c>
      <c r="F3985" s="79">
        <f t="shared" si="287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79">
        <f t="shared" si="287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88">C3987+D3963</f>
        <v>77480</v>
      </c>
      <c r="E3987" s="4">
        <f>2+5+1</f>
        <v>8</v>
      </c>
      <c r="F3987" s="79">
        <f t="shared" ref="F3987:F4025" si="289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88"/>
        <v>63</v>
      </c>
      <c r="F3988" s="79">
        <f t="shared" si="289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88"/>
        <v>4436</v>
      </c>
      <c r="E3989" s="4">
        <v>3</v>
      </c>
      <c r="F3989" s="79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88"/>
        <v>404</v>
      </c>
      <c r="F3990" s="79">
        <f t="shared" si="289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88"/>
        <v>4595</v>
      </c>
      <c r="E3991" s="4">
        <v>4</v>
      </c>
      <c r="F3991" s="79">
        <f t="shared" si="289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88"/>
        <v>229</v>
      </c>
      <c r="F3992" s="79">
        <f t="shared" si="289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88"/>
        <v>1630</v>
      </c>
      <c r="E3993" s="4">
        <v>2</v>
      </c>
      <c r="F3993" s="79">
        <f t="shared" si="289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88"/>
        <v>83</v>
      </c>
      <c r="F3994" s="79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88"/>
        <v>4755</v>
      </c>
      <c r="E3995" s="4">
        <v>16</v>
      </c>
      <c r="F3995" s="79">
        <f t="shared" si="289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88"/>
        <v>212</v>
      </c>
      <c r="F3996" s="79">
        <f t="shared" si="289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88"/>
        <v>749</v>
      </c>
      <c r="F3997" s="79">
        <f t="shared" si="289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88"/>
        <v>3326</v>
      </c>
      <c r="E3998" s="4">
        <v>2</v>
      </c>
      <c r="F3998" s="79">
        <f t="shared" si="289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88"/>
        <v>67</v>
      </c>
      <c r="F3999" s="79">
        <f t="shared" si="289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88"/>
        <v>1825</v>
      </c>
      <c r="F4000" s="79">
        <f t="shared" si="289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88"/>
        <v>3854</v>
      </c>
      <c r="F4001" s="79">
        <f t="shared" si="289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79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0">C4003+D3979</f>
        <v>22</v>
      </c>
      <c r="F4003" s="79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0"/>
        <v>34</v>
      </c>
      <c r="F4004" s="79">
        <f t="shared" si="289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0"/>
        <v>1031</v>
      </c>
      <c r="F4005" s="79">
        <f t="shared" ref="F4005:F4010" si="291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0"/>
        <v>3293</v>
      </c>
      <c r="F4006" s="79">
        <f t="shared" si="291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0"/>
        <v>281</v>
      </c>
      <c r="F4007" s="79">
        <f t="shared" si="291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0"/>
        <v>1418</v>
      </c>
      <c r="F4008" s="79">
        <f t="shared" si="291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0"/>
        <v>610</v>
      </c>
      <c r="F4009" s="79">
        <f t="shared" si="291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79">
        <f t="shared" si="291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2">C4011+D3987</f>
        <v>78190</v>
      </c>
      <c r="E4011" s="4">
        <f>4+6+8+11</f>
        <v>29</v>
      </c>
      <c r="F4011" s="79">
        <f t="shared" si="289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2"/>
        <v>65</v>
      </c>
      <c r="F4012" s="79">
        <f t="shared" si="289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2"/>
        <v>4504</v>
      </c>
      <c r="E4013" s="4">
        <f>3+1</f>
        <v>4</v>
      </c>
      <c r="F4013" s="79">
        <f t="shared" si="289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2"/>
        <v>418</v>
      </c>
      <c r="F4014" s="79">
        <f t="shared" si="289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2"/>
        <v>4767</v>
      </c>
      <c r="E4015" s="4">
        <v>1</v>
      </c>
      <c r="F4015" s="79">
        <f t="shared" si="289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2"/>
        <v>231</v>
      </c>
      <c r="F4016" s="79">
        <f t="shared" si="289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2"/>
        <v>1703</v>
      </c>
      <c r="E4017" s="4">
        <v>2</v>
      </c>
      <c r="F4017" s="79">
        <f t="shared" si="289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2"/>
        <v>83</v>
      </c>
      <c r="F4018" s="79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2"/>
        <v>4999</v>
      </c>
      <c r="F4019" s="79">
        <f t="shared" si="289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2"/>
        <v>213</v>
      </c>
      <c r="F4020" s="79">
        <f t="shared" si="289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2"/>
        <v>794</v>
      </c>
      <c r="F4021" s="79">
        <f t="shared" si="289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2"/>
        <v>3495</v>
      </c>
      <c r="E4022" s="4">
        <v>1</v>
      </c>
      <c r="F4022" s="79">
        <f t="shared" si="289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2"/>
        <v>63</v>
      </c>
      <c r="F4023" s="79">
        <f t="shared" si="289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2"/>
        <v>1889</v>
      </c>
      <c r="E4024" s="4">
        <f>1</f>
        <v>1</v>
      </c>
      <c r="F4024" s="79">
        <f t="shared" si="289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2"/>
        <v>3936</v>
      </c>
      <c r="E4025" s="4">
        <f>1+3+1+1</f>
        <v>6</v>
      </c>
      <c r="F4025" s="79">
        <f t="shared" si="289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79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3">C4027+D4003</f>
        <v>22</v>
      </c>
      <c r="F4027" s="79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3"/>
        <v>34</v>
      </c>
      <c r="F4028" s="79">
        <f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3"/>
        <v>1064</v>
      </c>
      <c r="F4029" s="79">
        <f t="shared" ref="F4029:F4034" si="294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3"/>
        <v>3432</v>
      </c>
      <c r="E4030" s="4">
        <f>1</f>
        <v>1</v>
      </c>
      <c r="F4030" s="79">
        <f t="shared" si="294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3"/>
        <v>325</v>
      </c>
      <c r="F4031" s="79">
        <f t="shared" si="294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3"/>
        <v>1478</v>
      </c>
      <c r="E4032" s="4">
        <f>1</f>
        <v>1</v>
      </c>
      <c r="F4032" s="79">
        <f t="shared" si="294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3"/>
        <v>640</v>
      </c>
      <c r="F4033" s="79">
        <f t="shared" si="294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79">
        <f t="shared" si="294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79">
        <f t="shared" ref="F4035:F4073" si="295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79">
        <f t="shared" si="295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79">
        <f t="shared" si="295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79">
        <f t="shared" si="295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79">
        <f t="shared" si="295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79">
        <f t="shared" si="295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79">
        <f t="shared" si="295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79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79">
        <f t="shared" si="295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79">
        <f t="shared" si="295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79">
        <f t="shared" si="295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79">
        <f t="shared" si="295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79">
        <f t="shared" si="295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79">
        <f t="shared" si="295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79">
        <f t="shared" si="295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79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79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79">
        <f t="shared" si="295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79">
        <f t="shared" ref="F4053:F4058" si="296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79">
        <f t="shared" si="296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79">
        <f t="shared" si="296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79">
        <f t="shared" si="296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79">
        <f t="shared" si="296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79">
        <f t="shared" si="296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297">C4059+D4035</f>
        <v>80346</v>
      </c>
      <c r="E4059" s="4">
        <f>6+5+14+22</f>
        <v>47</v>
      </c>
      <c r="F4059" s="79">
        <f t="shared" si="295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297"/>
        <v>63</v>
      </c>
      <c r="F4060" s="79">
        <f t="shared" si="295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297"/>
        <v>4606</v>
      </c>
      <c r="E4061" s="4">
        <v>1</v>
      </c>
      <c r="F4061" s="79">
        <f t="shared" si="295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297"/>
        <v>437</v>
      </c>
      <c r="F4062" s="79">
        <f t="shared" si="295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297"/>
        <v>5091</v>
      </c>
      <c r="F4063" s="79">
        <f t="shared" si="295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297"/>
        <v>236</v>
      </c>
      <c r="F4064" s="79">
        <f t="shared" si="295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297"/>
        <v>1810</v>
      </c>
      <c r="E4065" s="4">
        <v>1</v>
      </c>
      <c r="F4065" s="79">
        <f t="shared" si="295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297"/>
        <v>79</v>
      </c>
      <c r="F4066" s="79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297"/>
        <v>5360</v>
      </c>
      <c r="E4067" s="4">
        <v>12</v>
      </c>
      <c r="F4067" s="79">
        <f t="shared" si="295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297"/>
        <v>186</v>
      </c>
      <c r="F4068" s="79">
        <f t="shared" si="295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297"/>
        <v>905</v>
      </c>
      <c r="F4069" s="79">
        <f t="shared" si="295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297"/>
        <v>3773</v>
      </c>
      <c r="E4070" s="4">
        <v>5</v>
      </c>
      <c r="F4070" s="79">
        <f t="shared" si="295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297"/>
        <v>55</v>
      </c>
      <c r="F4071" s="79">
        <f t="shared" si="295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297"/>
        <v>1961</v>
      </c>
      <c r="E4072" s="4">
        <v>1</v>
      </c>
      <c r="F4072" s="79">
        <f t="shared" si="295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297"/>
        <v>4168</v>
      </c>
      <c r="E4073" s="4">
        <v>3</v>
      </c>
      <c r="F4073" s="79">
        <f t="shared" si="295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79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298">C4075+D4051</f>
        <v>22</v>
      </c>
      <c r="F4075" s="79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298"/>
        <v>36</v>
      </c>
      <c r="F4076" s="79">
        <f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298"/>
        <v>1145</v>
      </c>
      <c r="F4077" s="79">
        <f t="shared" ref="F4077:F4082" si="299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298"/>
        <v>3763</v>
      </c>
      <c r="E4078" s="4">
        <v>2</v>
      </c>
      <c r="F4078" s="79">
        <f t="shared" si="299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298"/>
        <v>379</v>
      </c>
      <c r="F4079" s="79">
        <f t="shared" si="299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298"/>
        <v>1553</v>
      </c>
      <c r="F4080" s="79">
        <f t="shared" si="299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298"/>
        <v>782</v>
      </c>
      <c r="F4081" s="79">
        <f t="shared" si="299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79">
        <f t="shared" si="299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0">C4083+D4059</f>
        <v>81626</v>
      </c>
      <c r="E4083" s="4">
        <f>6+10+12+8</f>
        <v>36</v>
      </c>
      <c r="F4083" s="79">
        <f t="shared" ref="F4083:F4121" si="301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0"/>
        <v>64</v>
      </c>
      <c r="F4084" s="79">
        <f t="shared" si="301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0"/>
        <v>4701</v>
      </c>
      <c r="E4085" s="4">
        <v>2</v>
      </c>
      <c r="F4085" s="79">
        <f t="shared" si="301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0"/>
        <v>455</v>
      </c>
      <c r="E4086" s="4">
        <v>1</v>
      </c>
      <c r="F4086" s="79">
        <f t="shared" si="301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0"/>
        <v>5272</v>
      </c>
      <c r="E4087" s="4">
        <f>4+1</f>
        <v>5</v>
      </c>
      <c r="F4087" s="79">
        <f t="shared" si="301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0"/>
        <v>239</v>
      </c>
      <c r="F4088" s="79">
        <f t="shared" si="301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0"/>
        <v>1861</v>
      </c>
      <c r="F4089" s="79">
        <f t="shared" si="301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0"/>
        <v>80</v>
      </c>
      <c r="F4090" s="79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0"/>
        <v>5624</v>
      </c>
      <c r="E4091" s="4">
        <f>1+8+6</f>
        <v>15</v>
      </c>
      <c r="F4091" s="79">
        <f t="shared" si="301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0"/>
        <v>187</v>
      </c>
      <c r="F4092" s="79">
        <f t="shared" si="301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0"/>
        <v>927</v>
      </c>
      <c r="F4093" s="79">
        <f t="shared" si="301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0"/>
        <v>4040</v>
      </c>
      <c r="E4094" s="4">
        <f>2+2</f>
        <v>4</v>
      </c>
      <c r="F4094" s="79">
        <f t="shared" si="301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0"/>
        <v>53</v>
      </c>
      <c r="F4095" s="79">
        <f t="shared" si="301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0"/>
        <v>2020</v>
      </c>
      <c r="E4096" s="4">
        <v>1</v>
      </c>
      <c r="F4096" s="79">
        <f t="shared" si="301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0"/>
        <v>4329</v>
      </c>
      <c r="E4097" s="4">
        <f>3+1+2</f>
        <v>6</v>
      </c>
      <c r="F4097" s="79">
        <f t="shared" si="301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79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2">C4099+D4075</f>
        <v>35</v>
      </c>
      <c r="F4099" s="79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2"/>
        <v>39</v>
      </c>
      <c r="F4100" s="79">
        <f t="shared" si="301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2"/>
        <v>1178</v>
      </c>
      <c r="E4101" s="4">
        <f>3+3</f>
        <v>6</v>
      </c>
      <c r="F4101" s="79">
        <f t="shared" ref="F4101:F4106" si="303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2"/>
        <v>4053</v>
      </c>
      <c r="E4102" s="4">
        <v>3</v>
      </c>
      <c r="F4102" s="79">
        <f t="shared" si="303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2"/>
        <v>417</v>
      </c>
      <c r="F4103" s="79">
        <f t="shared" si="303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2"/>
        <v>1600</v>
      </c>
      <c r="E4104" s="4">
        <v>1</v>
      </c>
      <c r="F4104" s="79">
        <f t="shared" si="303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2"/>
        <v>837</v>
      </c>
      <c r="E4105" s="4">
        <v>1</v>
      </c>
      <c r="F4105" s="79">
        <f t="shared" si="303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79">
        <f t="shared" si="303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4">C4107+D4083</f>
        <v>82805</v>
      </c>
      <c r="E4107" s="4">
        <f>5+14+12</f>
        <v>31</v>
      </c>
      <c r="F4107" s="79">
        <f t="shared" si="301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4"/>
        <v>63</v>
      </c>
      <c r="F4108" s="79">
        <f t="shared" si="301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4"/>
        <v>4756</v>
      </c>
      <c r="E4109" s="4">
        <f>2</f>
        <v>2</v>
      </c>
      <c r="F4109" s="79">
        <f t="shared" si="301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4"/>
        <v>474</v>
      </c>
      <c r="E4110" s="4">
        <f>1</f>
        <v>1</v>
      </c>
      <c r="F4110" s="79">
        <f t="shared" si="301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4"/>
        <v>5454</v>
      </c>
      <c r="E4111" s="4">
        <v>2</v>
      </c>
      <c r="F4111" s="79">
        <f t="shared" si="301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4"/>
        <v>243</v>
      </c>
      <c r="E4112" s="4">
        <v>1</v>
      </c>
      <c r="F4112" s="79">
        <f t="shared" si="301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4"/>
        <v>1997</v>
      </c>
      <c r="E4113" s="4">
        <v>2</v>
      </c>
      <c r="F4113" s="79">
        <f t="shared" si="301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4"/>
        <v>79</v>
      </c>
      <c r="F4114" s="79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4"/>
        <v>5874</v>
      </c>
      <c r="E4115" s="4">
        <f>8+4+10+5</f>
        <v>27</v>
      </c>
      <c r="F4115" s="79">
        <f t="shared" si="301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4"/>
        <v>187</v>
      </c>
      <c r="F4116" s="79">
        <f t="shared" si="301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4"/>
        <v>978</v>
      </c>
      <c r="F4117" s="79">
        <f t="shared" si="301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4"/>
        <v>4252</v>
      </c>
      <c r="E4118" s="4">
        <f>1+2+1+1</f>
        <v>5</v>
      </c>
      <c r="F4118" s="79">
        <f t="shared" si="301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4"/>
        <v>58</v>
      </c>
      <c r="F4119" s="79">
        <f t="shared" si="301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4"/>
        <v>2067</v>
      </c>
      <c r="E4120" s="4">
        <f>2</f>
        <v>2</v>
      </c>
      <c r="F4120" s="79">
        <f t="shared" si="301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4"/>
        <v>4466</v>
      </c>
      <c r="F4121" s="79">
        <f t="shared" si="301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79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5">C4123+D4099</f>
        <v>36</v>
      </c>
      <c r="F4123" s="79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5"/>
        <v>39</v>
      </c>
      <c r="F4124" s="79">
        <f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5"/>
        <v>1246</v>
      </c>
      <c r="F4125" s="79">
        <f t="shared" ref="F4125:F4130" si="306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5"/>
        <v>4315</v>
      </c>
      <c r="E4126" s="4">
        <v>6</v>
      </c>
      <c r="F4126" s="79">
        <f t="shared" si="306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5"/>
        <v>455</v>
      </c>
      <c r="E4127" s="4">
        <v>1</v>
      </c>
      <c r="F4127" s="79">
        <f t="shared" si="306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5"/>
        <v>1636</v>
      </c>
      <c r="F4128" s="79">
        <f t="shared" si="306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5"/>
        <v>904</v>
      </c>
      <c r="F4129" s="79">
        <f t="shared" si="306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79">
        <f t="shared" si="306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07">C4131+D4107</f>
        <v>83905</v>
      </c>
      <c r="E4131" s="4">
        <f>1+1+3+5</f>
        <v>10</v>
      </c>
      <c r="F4131" s="79">
        <f t="shared" ref="F4131:F4169" si="308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07"/>
        <v>64</v>
      </c>
      <c r="F4132" s="79">
        <f t="shared" si="308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07"/>
        <v>4834</v>
      </c>
      <c r="F4133" s="79">
        <f t="shared" si="308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07"/>
        <v>510</v>
      </c>
      <c r="F4134" s="79">
        <f t="shared" si="308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07"/>
        <v>5673</v>
      </c>
      <c r="E4135" s="4">
        <v>4</v>
      </c>
      <c r="F4135" s="79">
        <f t="shared" si="308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07"/>
        <v>247</v>
      </c>
      <c r="F4136" s="79">
        <f t="shared" si="308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07"/>
        <v>2132</v>
      </c>
      <c r="F4137" s="79">
        <f t="shared" si="308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07"/>
        <v>80</v>
      </c>
      <c r="F4138" s="79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07"/>
        <v>6086</v>
      </c>
      <c r="E4139" s="4">
        <f>10+4</f>
        <v>14</v>
      </c>
      <c r="F4139" s="79">
        <f t="shared" si="308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07"/>
        <v>191</v>
      </c>
      <c r="F4140" s="79">
        <f t="shared" si="308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07"/>
        <v>1006</v>
      </c>
      <c r="F4141" s="79">
        <f t="shared" si="308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07"/>
        <v>4497</v>
      </c>
      <c r="E4142" s="4">
        <f>1+2</f>
        <v>3</v>
      </c>
      <c r="F4142" s="79">
        <f t="shared" si="308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07"/>
        <v>59</v>
      </c>
      <c r="F4143" s="79">
        <f t="shared" si="308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07"/>
        <v>2170</v>
      </c>
      <c r="F4144" s="79">
        <f t="shared" si="308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07"/>
        <v>4584</v>
      </c>
      <c r="E4145" s="4">
        <f>1+1</f>
        <v>2</v>
      </c>
      <c r="F4145" s="79">
        <f t="shared" si="308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79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09">C4147+D4123</f>
        <v>39</v>
      </c>
      <c r="F4147" s="79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09"/>
        <v>41</v>
      </c>
      <c r="F4148" s="79">
        <f t="shared" si="308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09"/>
        <v>1293</v>
      </c>
      <c r="F4149" s="79">
        <f t="shared" ref="F4149:F4154" si="310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09"/>
        <v>4609</v>
      </c>
      <c r="E4150" s="4">
        <f>2+2</f>
        <v>4</v>
      </c>
      <c r="F4150" s="79">
        <f t="shared" si="310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09"/>
        <v>489</v>
      </c>
      <c r="F4151" s="79">
        <f t="shared" si="310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09"/>
        <v>1670</v>
      </c>
      <c r="F4152" s="79">
        <f t="shared" si="310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09"/>
        <v>976</v>
      </c>
      <c r="F4153" s="79">
        <f t="shared" si="310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79">
        <f t="shared" si="310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1">C4155+D4131</f>
        <v>84925</v>
      </c>
      <c r="E4155" s="4">
        <f>5+3</f>
        <v>8</v>
      </c>
      <c r="F4155" s="79">
        <f t="shared" si="308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1"/>
        <v>63</v>
      </c>
      <c r="F4156" s="79">
        <f t="shared" si="308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1"/>
        <v>4861</v>
      </c>
      <c r="F4157" s="79">
        <f t="shared" si="308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1"/>
        <v>534</v>
      </c>
      <c r="F4158" s="79">
        <f t="shared" si="308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1"/>
        <v>5906</v>
      </c>
      <c r="E4159" s="4">
        <f>2</f>
        <v>2</v>
      </c>
      <c r="F4159" s="79">
        <f t="shared" si="308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1"/>
        <v>252</v>
      </c>
      <c r="E4160" s="4">
        <f>1</f>
        <v>1</v>
      </c>
      <c r="F4160" s="79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1"/>
        <v>2258</v>
      </c>
      <c r="F4161" s="79">
        <f t="shared" si="308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1"/>
        <v>82</v>
      </c>
      <c r="F4162" s="79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1"/>
        <v>6271</v>
      </c>
      <c r="F4163" s="79">
        <f t="shared" si="308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1"/>
        <v>195</v>
      </c>
      <c r="F4164" s="79">
        <f t="shared" si="308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1"/>
        <v>1040</v>
      </c>
      <c r="E4165" s="4">
        <f>9+1</f>
        <v>10</v>
      </c>
      <c r="F4165" s="79">
        <f t="shared" si="308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1"/>
        <v>4637</v>
      </c>
      <c r="E4166" s="4">
        <f>1+2</f>
        <v>3</v>
      </c>
      <c r="F4166" s="79">
        <f t="shared" si="308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1"/>
        <v>56</v>
      </c>
      <c r="F4167" s="79">
        <f t="shared" si="308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79">
        <f t="shared" si="308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79">
        <f t="shared" si="308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79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2">C4171+D4147</f>
        <v>58</v>
      </c>
      <c r="F4171" s="79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2"/>
        <v>43</v>
      </c>
      <c r="F4172" s="79">
        <f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2"/>
        <v>1334</v>
      </c>
      <c r="F4173" s="79">
        <f t="shared" ref="F4173:F4178" si="313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2"/>
        <v>4817</v>
      </c>
      <c r="E4174" s="4">
        <f>2+1</f>
        <v>3</v>
      </c>
      <c r="F4174" s="79">
        <f t="shared" si="313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2"/>
        <v>517</v>
      </c>
      <c r="F4175" s="79">
        <f t="shared" si="313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2"/>
        <v>1698</v>
      </c>
      <c r="E4176" s="4">
        <f>1</f>
        <v>1</v>
      </c>
      <c r="F4176" s="79">
        <f t="shared" si="313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2"/>
        <v>1053</v>
      </c>
      <c r="F4177" s="79">
        <f t="shared" si="313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79">
        <f t="shared" si="313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14">C4179+D4155</f>
        <v>86258</v>
      </c>
      <c r="E4179" s="4">
        <f>3+5+22+22</f>
        <v>52</v>
      </c>
      <c r="F4179" s="79">
        <f t="shared" ref="F4179:F4217" si="315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14"/>
        <v>64</v>
      </c>
      <c r="F4180" s="79">
        <f t="shared" si="315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14"/>
        <v>4914</v>
      </c>
      <c r="E4181" s="4">
        <f>1+2+1</f>
        <v>4</v>
      </c>
      <c r="F4181" s="79">
        <f t="shared" si="315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14"/>
        <v>546</v>
      </c>
      <c r="F4182" s="79">
        <f t="shared" si="315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14"/>
        <v>6114</v>
      </c>
      <c r="E4183" s="4">
        <f>3+1</f>
        <v>4</v>
      </c>
      <c r="F4183" s="79">
        <f t="shared" si="315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14"/>
        <v>259</v>
      </c>
      <c r="E4184" s="4">
        <f>1</f>
        <v>1</v>
      </c>
      <c r="F4184" s="79">
        <f t="shared" si="315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14"/>
        <v>2382</v>
      </c>
      <c r="F4185" s="79">
        <f t="shared" si="315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14"/>
        <v>84</v>
      </c>
      <c r="F4186" s="79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14"/>
        <v>6623</v>
      </c>
      <c r="E4187" s="4">
        <f>1+2+4+5</f>
        <v>12</v>
      </c>
      <c r="F4187" s="79">
        <f t="shared" si="315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14"/>
        <v>193</v>
      </c>
      <c r="F4188" s="79">
        <f t="shared" si="315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14"/>
        <v>1138</v>
      </c>
      <c r="E4189" s="4">
        <f>6+4</f>
        <v>10</v>
      </c>
      <c r="F4189" s="79">
        <f t="shared" si="315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14"/>
        <v>4809</v>
      </c>
      <c r="E4190" s="4">
        <f>1+1+1</f>
        <v>3</v>
      </c>
      <c r="F4190" s="79">
        <f t="shared" si="315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14"/>
        <v>58</v>
      </c>
      <c r="F4191" s="79">
        <f t="shared" si="315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79">
        <f t="shared" si="315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79">
        <f t="shared" si="315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79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16">C4195+D4171</f>
        <v>96</v>
      </c>
      <c r="F4195" s="79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16"/>
        <v>41</v>
      </c>
      <c r="F4196" s="79">
        <f t="shared" si="315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16"/>
        <v>1378</v>
      </c>
      <c r="E4197" s="4">
        <f>2</f>
        <v>2</v>
      </c>
      <c r="F4197" s="79">
        <f t="shared" ref="F4197:F4203" si="317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16"/>
        <v>5026</v>
      </c>
      <c r="E4198" s="4">
        <f>5+2</f>
        <v>7</v>
      </c>
      <c r="F4198" s="79">
        <f t="shared" si="317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16"/>
        <v>583</v>
      </c>
      <c r="E4199" s="4">
        <f>2</f>
        <v>2</v>
      </c>
      <c r="F4199" s="79">
        <f t="shared" si="317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16"/>
        <v>1752</v>
      </c>
      <c r="E4200" s="4">
        <f>1</f>
        <v>1</v>
      </c>
      <c r="F4200" s="79">
        <f t="shared" si="317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16"/>
        <v>1168</v>
      </c>
      <c r="F4201" s="79">
        <f t="shared" si="317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79">
        <f t="shared" si="317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18">C4203+D4179</f>
        <v>87569</v>
      </c>
      <c r="E4203" s="4">
        <f>3+14+16</f>
        <v>33</v>
      </c>
      <c r="F4203" s="79">
        <f t="shared" si="317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18"/>
        <v>64</v>
      </c>
      <c r="F4204" s="79">
        <f t="shared" si="315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18"/>
        <v>4967</v>
      </c>
      <c r="E4205" s="4">
        <v>1</v>
      </c>
      <c r="F4205" s="79">
        <f t="shared" si="315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18"/>
        <v>581</v>
      </c>
      <c r="F4206" s="79">
        <f t="shared" si="315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18"/>
        <v>6412</v>
      </c>
      <c r="E4207" s="4">
        <v>3</v>
      </c>
      <c r="F4207" s="79">
        <f t="shared" si="315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18"/>
        <v>260</v>
      </c>
      <c r="F4208" s="79">
        <f t="shared" si="315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18"/>
        <v>2509</v>
      </c>
      <c r="E4209" s="4">
        <v>3</v>
      </c>
      <c r="F4209" s="79">
        <f t="shared" si="315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18"/>
        <v>83</v>
      </c>
      <c r="F4210" s="79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18"/>
        <v>6838</v>
      </c>
      <c r="E4211" s="4">
        <v>10</v>
      </c>
      <c r="F4211" s="79">
        <f t="shared" si="315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18"/>
        <v>194</v>
      </c>
      <c r="E4212" s="4">
        <v>1</v>
      </c>
      <c r="F4212" s="79">
        <f t="shared" si="315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18"/>
        <v>1177</v>
      </c>
      <c r="E4213" s="4">
        <v>6</v>
      </c>
      <c r="F4213" s="79">
        <f t="shared" si="315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18"/>
        <v>5073</v>
      </c>
      <c r="E4214" s="4">
        <f>3+1</f>
        <v>4</v>
      </c>
      <c r="F4214" s="79">
        <f t="shared" si="315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18"/>
        <v>59</v>
      </c>
      <c r="F4215" s="79">
        <f t="shared" si="315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79">
        <f t="shared" si="315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79">
        <f t="shared" si="315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79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19">C4219+D4195</f>
        <v>110</v>
      </c>
      <c r="F4219" s="79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19"/>
        <v>40</v>
      </c>
      <c r="F4220" s="79">
        <f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19"/>
        <v>1416</v>
      </c>
      <c r="F4221" s="79">
        <f t="shared" ref="F4221:F4226" si="320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19"/>
        <v>5382</v>
      </c>
      <c r="E4222" s="4">
        <f>2+3</f>
        <v>5</v>
      </c>
      <c r="F4222" s="79">
        <f t="shared" si="320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19"/>
        <v>654</v>
      </c>
      <c r="E4223" s="4">
        <f>1+1</f>
        <v>2</v>
      </c>
      <c r="F4223" s="79">
        <f t="shared" si="320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19"/>
        <v>1803</v>
      </c>
      <c r="E4224" s="4">
        <f>1</f>
        <v>1</v>
      </c>
      <c r="F4224" s="79">
        <f t="shared" si="320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19"/>
        <v>1281</v>
      </c>
      <c r="E4225" s="4">
        <f>1</f>
        <v>1</v>
      </c>
      <c r="F4225" s="79">
        <f t="shared" si="320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79">
        <f t="shared" si="320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1">C4227+D4203</f>
        <v>89137</v>
      </c>
      <c r="E4227" s="4">
        <f>1+6+15+18</f>
        <v>40</v>
      </c>
      <c r="F4227" s="79">
        <f t="shared" ref="F4227:F4265" si="322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1"/>
        <v>63</v>
      </c>
      <c r="F4228" s="79">
        <f t="shared" si="322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1"/>
        <v>5041</v>
      </c>
      <c r="E4229" s="4">
        <f>1+2+1</f>
        <v>4</v>
      </c>
      <c r="F4229" s="79">
        <f t="shared" si="322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1"/>
        <v>650</v>
      </c>
      <c r="F4230" s="79">
        <f t="shared" si="322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1"/>
        <v>6767</v>
      </c>
      <c r="E4231" s="4">
        <f>4</f>
        <v>4</v>
      </c>
      <c r="F4231" s="79">
        <f t="shared" si="322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1"/>
        <v>272</v>
      </c>
      <c r="F4232" s="79">
        <f t="shared" si="322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1"/>
        <v>2621</v>
      </c>
      <c r="E4233" s="4">
        <f>1</f>
        <v>1</v>
      </c>
      <c r="F4233" s="79">
        <f t="shared" si="322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1"/>
        <v>82</v>
      </c>
      <c r="F4234" s="79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1"/>
        <v>7074</v>
      </c>
      <c r="E4235" s="4">
        <f>9+4</f>
        <v>13</v>
      </c>
      <c r="F4235" s="79">
        <f t="shared" si="322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1"/>
        <v>195</v>
      </c>
      <c r="F4236" s="79">
        <f t="shared" si="322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1"/>
        <v>1214</v>
      </c>
      <c r="E4237" s="4">
        <f>1</f>
        <v>1</v>
      </c>
      <c r="F4237" s="79">
        <f t="shared" si="322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1"/>
        <v>5349</v>
      </c>
      <c r="E4238" s="4">
        <f>3+1</f>
        <v>4</v>
      </c>
      <c r="F4238" s="79">
        <f t="shared" si="322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1"/>
        <v>59</v>
      </c>
      <c r="F4239" s="79">
        <f t="shared" si="322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79">
        <f t="shared" si="322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79">
        <f t="shared" si="322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79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23">C4243+D4219</f>
        <v>146</v>
      </c>
      <c r="F4243" s="79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23"/>
        <v>44</v>
      </c>
      <c r="F4244" s="79">
        <f t="shared" si="322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23"/>
        <v>1479</v>
      </c>
      <c r="F4245" s="79">
        <f t="shared" ref="F4245:F4250" si="324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23"/>
        <v>5763</v>
      </c>
      <c r="E4246" s="4">
        <f>2+2</f>
        <v>4</v>
      </c>
      <c r="F4246" s="79">
        <f t="shared" si="324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23"/>
        <v>692</v>
      </c>
      <c r="F4247" s="79">
        <f t="shared" si="324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23"/>
        <v>1854</v>
      </c>
      <c r="E4248" s="4">
        <f>1+1</f>
        <v>2</v>
      </c>
      <c r="F4248" s="79">
        <f t="shared" si="324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23"/>
        <v>1349</v>
      </c>
      <c r="F4249" s="79">
        <f t="shared" si="324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79">
        <f t="shared" si="324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25">C4251+D4227</f>
        <v>90357</v>
      </c>
      <c r="E4251" s="4">
        <f>4+4+16+10</f>
        <v>34</v>
      </c>
      <c r="F4251" s="79">
        <f t="shared" si="322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25"/>
        <v>64</v>
      </c>
      <c r="F4252" s="79">
        <f t="shared" si="322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25"/>
        <v>5104</v>
      </c>
      <c r="E4253" s="4">
        <f>1</f>
        <v>1</v>
      </c>
      <c r="F4253" s="79">
        <f t="shared" si="322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25"/>
        <v>699</v>
      </c>
      <c r="F4254" s="79">
        <f t="shared" si="322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25"/>
        <v>7130</v>
      </c>
      <c r="E4255" s="4">
        <v>1</v>
      </c>
      <c r="F4255" s="79">
        <f t="shared" si="322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25"/>
        <v>278</v>
      </c>
      <c r="F4256" s="79">
        <f t="shared" si="322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25"/>
        <v>2781</v>
      </c>
      <c r="E4257" s="4">
        <f>1</f>
        <v>1</v>
      </c>
      <c r="F4257" s="79">
        <f t="shared" si="322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25"/>
        <v>82</v>
      </c>
      <c r="F4258" s="79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25"/>
        <v>7274</v>
      </c>
      <c r="E4259" s="4">
        <f>4+2+3</f>
        <v>9</v>
      </c>
      <c r="F4259" s="79">
        <f t="shared" si="322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25"/>
        <v>194</v>
      </c>
      <c r="F4260" s="79">
        <f t="shared" si="322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25"/>
        <v>1272</v>
      </c>
      <c r="E4261" s="4">
        <v>3</v>
      </c>
      <c r="F4261" s="79">
        <f t="shared" si="322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25"/>
        <v>5601</v>
      </c>
      <c r="E4262" s="4">
        <f>2</f>
        <v>2</v>
      </c>
      <c r="F4262" s="79">
        <f t="shared" si="322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25"/>
        <v>58</v>
      </c>
      <c r="F4263" s="79">
        <f t="shared" si="322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79">
        <f t="shared" si="322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79">
        <f t="shared" si="322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79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26">C4267+D4243</f>
        <v>182</v>
      </c>
      <c r="F4267" s="79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26"/>
        <v>51</v>
      </c>
      <c r="F4268" s="79">
        <f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26"/>
        <v>1530</v>
      </c>
      <c r="F4269" s="79">
        <f t="shared" ref="F4269:F4274" si="327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26"/>
        <v>6234</v>
      </c>
      <c r="E4270" s="4">
        <f>3+1</f>
        <v>4</v>
      </c>
      <c r="F4270" s="79">
        <f t="shared" si="327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26"/>
        <v>745</v>
      </c>
      <c r="F4271" s="79">
        <f t="shared" si="327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26"/>
        <v>1879</v>
      </c>
      <c r="F4272" s="79">
        <f t="shared" si="327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26"/>
        <v>1469</v>
      </c>
      <c r="E4273" s="4">
        <f>1</f>
        <v>1</v>
      </c>
      <c r="F4273" s="79">
        <f t="shared" si="327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79">
        <f t="shared" si="327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28">C4275+D4251</f>
        <v>91787</v>
      </c>
      <c r="E4275" s="4">
        <f>8+5+14+7+1</f>
        <v>35</v>
      </c>
      <c r="F4275" s="79">
        <f t="shared" ref="F4275:F4313" si="329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28"/>
        <v>65</v>
      </c>
      <c r="F4276" s="79">
        <f t="shared" si="329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28"/>
        <v>5183</v>
      </c>
      <c r="E4277" s="4">
        <f>2</f>
        <v>2</v>
      </c>
      <c r="F4277" s="79">
        <f t="shared" si="329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28"/>
        <v>765</v>
      </c>
      <c r="F4278" s="79">
        <f t="shared" si="329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28"/>
        <v>7505</v>
      </c>
      <c r="E4279" s="4">
        <f>2</f>
        <v>2</v>
      </c>
      <c r="F4279" s="79">
        <f t="shared" si="329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28"/>
        <v>313</v>
      </c>
      <c r="F4280" s="79">
        <f t="shared" si="329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28"/>
        <v>2936</v>
      </c>
      <c r="E4281" s="4">
        <f>1+3</f>
        <v>4</v>
      </c>
      <c r="F4281" s="79">
        <f t="shared" si="329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28"/>
        <v>84</v>
      </c>
      <c r="F4282" s="79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28"/>
        <v>7621</v>
      </c>
      <c r="E4283" s="4">
        <f>3+3+2+3</f>
        <v>11</v>
      </c>
      <c r="F4283" s="79">
        <f t="shared" si="329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28"/>
        <v>194</v>
      </c>
      <c r="F4284" s="79">
        <f t="shared" si="329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28"/>
        <v>1332</v>
      </c>
      <c r="F4285" s="79">
        <f t="shared" si="329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28"/>
        <v>5943</v>
      </c>
      <c r="E4286" s="4">
        <f>2+1</f>
        <v>3</v>
      </c>
      <c r="F4286" s="79">
        <f t="shared" si="329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28"/>
        <v>59</v>
      </c>
      <c r="F4287" s="79">
        <f t="shared" si="329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79">
        <f t="shared" si="329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79">
        <f t="shared" si="329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79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0">C4291+D4267</f>
        <v>193</v>
      </c>
      <c r="F4291" s="79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0"/>
        <v>61</v>
      </c>
      <c r="F4292" s="79">
        <f t="shared" si="329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0"/>
        <v>1618</v>
      </c>
      <c r="E4293" s="4">
        <f>2</f>
        <v>2</v>
      </c>
      <c r="F4293" s="79">
        <f t="shared" ref="F4293:F4298" si="331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0"/>
        <v>6741</v>
      </c>
      <c r="E4294" s="4">
        <f>2+2</f>
        <v>4</v>
      </c>
      <c r="F4294" s="79">
        <f t="shared" si="331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0"/>
        <v>789</v>
      </c>
      <c r="F4295" s="79">
        <f t="shared" si="331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0"/>
        <v>1908</v>
      </c>
      <c r="E4296" s="4">
        <f>1+1</f>
        <v>2</v>
      </c>
      <c r="F4296" s="79">
        <f t="shared" si="331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0"/>
        <v>1604</v>
      </c>
      <c r="E4297" s="4">
        <f>4+1</f>
        <v>5</v>
      </c>
      <c r="F4297" s="79">
        <f t="shared" si="331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79">
        <f t="shared" si="331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32">C4299+D4275</f>
        <v>92982</v>
      </c>
      <c r="E4299" s="4">
        <f>7+5+10+3</f>
        <v>25</v>
      </c>
      <c r="F4299" s="79">
        <f t="shared" si="329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32"/>
        <v>65</v>
      </c>
      <c r="F4300" s="79">
        <f t="shared" si="329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32"/>
        <v>5281</v>
      </c>
      <c r="E4301" s="4">
        <f>1+1</f>
        <v>2</v>
      </c>
      <c r="F4301" s="79">
        <f t="shared" si="329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32"/>
        <v>808</v>
      </c>
      <c r="F4302" s="79">
        <f t="shared" si="329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32"/>
        <v>7842</v>
      </c>
      <c r="E4303" s="4">
        <f>4+2</f>
        <v>6</v>
      </c>
      <c r="F4303" s="79">
        <f t="shared" si="329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32"/>
        <v>321</v>
      </c>
      <c r="F4304" s="79">
        <f t="shared" si="329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32"/>
        <v>3061</v>
      </c>
      <c r="F4305" s="79">
        <f t="shared" si="329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32"/>
        <v>84</v>
      </c>
      <c r="F4306" s="79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32"/>
        <v>7942</v>
      </c>
      <c r="F4307" s="79">
        <f t="shared" si="329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32"/>
        <v>200</v>
      </c>
      <c r="F4308" s="79">
        <f t="shared" si="329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32"/>
        <v>1360</v>
      </c>
      <c r="F4309" s="79">
        <f t="shared" si="329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32"/>
        <v>6233</v>
      </c>
      <c r="F4310" s="79">
        <f t="shared" si="329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32"/>
        <v>60</v>
      </c>
      <c r="F4311" s="79">
        <f t="shared" si="329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79">
        <f t="shared" si="329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79">
        <f t="shared" si="329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79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33">C4315+D4291</f>
        <v>206</v>
      </c>
      <c r="F4315" s="79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33"/>
        <v>86</v>
      </c>
      <c r="F4316" s="79">
        <f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33"/>
        <v>1650</v>
      </c>
      <c r="F4317" s="79">
        <f t="shared" ref="F4317:F4322" si="334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33"/>
        <v>7147</v>
      </c>
      <c r="E4318" s="4">
        <f>1</f>
        <v>1</v>
      </c>
      <c r="F4318" s="79">
        <f t="shared" si="334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33"/>
        <v>841</v>
      </c>
      <c r="E4319" s="4">
        <f>1+2</f>
        <v>3</v>
      </c>
      <c r="F4319" s="79">
        <f t="shared" si="334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33"/>
        <v>1943</v>
      </c>
      <c r="E4320" s="4">
        <f>2</f>
        <v>2</v>
      </c>
      <c r="F4320" s="79">
        <f t="shared" si="334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33"/>
        <v>1827</v>
      </c>
      <c r="F4321" s="79">
        <f t="shared" si="334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79">
        <f t="shared" si="334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35">C4323+D4299</f>
        <v>94217</v>
      </c>
      <c r="E4323" s="4">
        <f>5+5+9+8+1</f>
        <v>28</v>
      </c>
      <c r="F4323" s="79">
        <f t="shared" ref="F4323:F4361" si="336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35"/>
        <v>65</v>
      </c>
      <c r="F4324" s="79">
        <f t="shared" si="336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35"/>
        <v>5342</v>
      </c>
      <c r="E4325" s="4">
        <f>1+2</f>
        <v>3</v>
      </c>
      <c r="F4325" s="79">
        <f t="shared" si="336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35"/>
        <v>820</v>
      </c>
      <c r="F4326" s="79">
        <f t="shared" si="336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35"/>
        <v>8134</v>
      </c>
      <c r="E4327" s="4">
        <f>1+3+2</f>
        <v>6</v>
      </c>
      <c r="F4327" s="79">
        <f t="shared" si="336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35"/>
        <v>317</v>
      </c>
      <c r="F4328" s="79">
        <f t="shared" si="336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35"/>
        <v>3171</v>
      </c>
      <c r="E4329" s="4">
        <f>1+5+1</f>
        <v>7</v>
      </c>
      <c r="F4329" s="79">
        <f t="shared" si="336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35"/>
        <v>83</v>
      </c>
      <c r="F4330" s="79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35"/>
        <v>8091</v>
      </c>
      <c r="F4331" s="79">
        <f t="shared" si="336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35"/>
        <v>200</v>
      </c>
      <c r="F4332" s="79">
        <f t="shared" si="336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35"/>
        <v>1417</v>
      </c>
      <c r="F4333" s="79">
        <f t="shared" si="336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35"/>
        <v>6549</v>
      </c>
      <c r="E4334" s="4">
        <f>1+3</f>
        <v>4</v>
      </c>
      <c r="F4334" s="79">
        <f t="shared" si="336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35"/>
        <v>62</v>
      </c>
      <c r="F4335" s="79">
        <f t="shared" si="336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79">
        <f t="shared" si="336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79">
        <f t="shared" si="336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79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37">C4339+D4315</f>
        <v>221</v>
      </c>
      <c r="F4339" s="79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37"/>
        <v>85</v>
      </c>
      <c r="F4340" s="79">
        <f t="shared" si="336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37"/>
        <v>1734</v>
      </c>
      <c r="F4341" s="79">
        <f t="shared" ref="F4341:F4346" si="338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37"/>
        <v>7430</v>
      </c>
      <c r="E4342" s="4">
        <f>1+2</f>
        <v>3</v>
      </c>
      <c r="F4342" s="79">
        <f t="shared" si="338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37"/>
        <v>898</v>
      </c>
      <c r="E4343" s="4">
        <f>1</f>
        <v>1</v>
      </c>
      <c r="F4343" s="79">
        <f t="shared" si="338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37"/>
        <v>1982</v>
      </c>
      <c r="F4344" s="79">
        <f t="shared" si="338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37"/>
        <v>1993</v>
      </c>
      <c r="F4345" s="79">
        <f t="shared" si="338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79">
        <f t="shared" si="338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39">C4347+D4323</f>
        <v>95604</v>
      </c>
      <c r="E4347" s="4">
        <f>2+2+1+18+21+1</f>
        <v>45</v>
      </c>
      <c r="F4347" s="79">
        <f t="shared" si="336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39"/>
        <v>66</v>
      </c>
      <c r="F4348" s="79">
        <f t="shared" si="336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39"/>
        <v>5417</v>
      </c>
      <c r="E4349" s="4">
        <f>2+1+2+1</f>
        <v>6</v>
      </c>
      <c r="F4349" s="79">
        <f t="shared" si="336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39"/>
        <v>899</v>
      </c>
      <c r="F4350" s="79">
        <f t="shared" si="336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39"/>
        <v>8522</v>
      </c>
      <c r="E4351" s="4">
        <f>1+1</f>
        <v>2</v>
      </c>
      <c r="F4351" s="79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39"/>
        <v>311</v>
      </c>
      <c r="F4352" s="79">
        <f t="shared" si="336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39"/>
        <v>3338</v>
      </c>
      <c r="E4353" s="4">
        <f>1+1</f>
        <v>2</v>
      </c>
      <c r="F4353" s="79">
        <f t="shared" si="336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39"/>
        <v>84</v>
      </c>
      <c r="F4354" s="79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39"/>
        <v>8418</v>
      </c>
      <c r="F4355" s="79">
        <f t="shared" si="336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39"/>
        <v>204</v>
      </c>
      <c r="F4356" s="79">
        <f t="shared" si="336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39"/>
        <v>1588</v>
      </c>
      <c r="F4357" s="79">
        <f t="shared" si="336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39"/>
        <v>6830</v>
      </c>
      <c r="E4358" s="4">
        <f>1+1+1</f>
        <v>3</v>
      </c>
      <c r="F4358" s="79">
        <f t="shared" si="336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39"/>
        <v>62</v>
      </c>
      <c r="F4359" s="79">
        <f t="shared" si="336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79">
        <f t="shared" si="336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79">
        <f t="shared" si="336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79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0">C4363+D4339</f>
        <v>223</v>
      </c>
      <c r="F4363" s="79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0"/>
        <v>147</v>
      </c>
      <c r="F4364" s="79">
        <f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0"/>
        <v>1771</v>
      </c>
      <c r="F4365" s="79">
        <f t="shared" ref="F4365:F4370" si="34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0"/>
        <v>7905</v>
      </c>
      <c r="E4366" s="4">
        <f>1+6+3</f>
        <v>10</v>
      </c>
      <c r="F4366" s="79">
        <f t="shared" si="34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0"/>
        <v>938</v>
      </c>
      <c r="E4367" s="4">
        <f>1</f>
        <v>1</v>
      </c>
      <c r="F4367" s="79">
        <f t="shared" si="34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0"/>
        <v>2020</v>
      </c>
      <c r="E4368" s="4">
        <f>1</f>
        <v>1</v>
      </c>
      <c r="F4368" s="79">
        <f t="shared" si="34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0"/>
        <v>2243</v>
      </c>
      <c r="E4369" s="4">
        <f>1</f>
        <v>1</v>
      </c>
      <c r="F4369" s="79">
        <f t="shared" si="34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79">
        <f t="shared" si="34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42">C4371+D4347</f>
        <v>96999</v>
      </c>
      <c r="E4371" s="4">
        <f>7+6+1+19+19</f>
        <v>52</v>
      </c>
      <c r="F4371" s="79">
        <f t="shared" ref="F4371:F4409" si="34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42"/>
        <v>67</v>
      </c>
      <c r="F4372" s="79">
        <f t="shared" si="34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42"/>
        <v>5492</v>
      </c>
      <c r="F4373" s="79">
        <f t="shared" si="34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42"/>
        <v>955</v>
      </c>
      <c r="F4374" s="79">
        <f t="shared" si="34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42"/>
        <v>8914</v>
      </c>
      <c r="E4375" s="4">
        <f>1+1</f>
        <v>2</v>
      </c>
      <c r="F4375" s="79">
        <f t="shared" si="34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42"/>
        <v>314</v>
      </c>
      <c r="F4376" s="79">
        <f t="shared" si="34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42"/>
        <v>3650</v>
      </c>
      <c r="E4377" s="4">
        <f>1+1</f>
        <v>2</v>
      </c>
      <c r="F4377" s="79">
        <f t="shared" si="34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42"/>
        <v>83</v>
      </c>
      <c r="F4378" s="79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42"/>
        <v>8542</v>
      </c>
      <c r="F4379" s="79">
        <f t="shared" si="34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42"/>
        <v>212</v>
      </c>
      <c r="E4380" s="4">
        <f>1</f>
        <v>1</v>
      </c>
      <c r="F4380" s="79">
        <f t="shared" si="34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42"/>
        <v>1628</v>
      </c>
      <c r="E4381" s="4">
        <f>2+6</f>
        <v>8</v>
      </c>
      <c r="F4381" s="79">
        <f t="shared" si="34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42"/>
        <v>7191</v>
      </c>
      <c r="E4382" s="4">
        <f>2+1</f>
        <v>3</v>
      </c>
      <c r="F4382" s="79">
        <f t="shared" si="34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42"/>
        <v>66</v>
      </c>
      <c r="F4383" s="79">
        <f t="shared" si="34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79">
        <f t="shared" si="34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79">
        <f t="shared" si="34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79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44">C4387+D4363</f>
        <v>223</v>
      </c>
      <c r="F4387" s="79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44"/>
        <v>156</v>
      </c>
      <c r="F4388" s="79">
        <f t="shared" si="34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44"/>
        <v>1808</v>
      </c>
      <c r="E4389" s="4">
        <f>1</f>
        <v>1</v>
      </c>
      <c r="F4389" s="79">
        <f t="shared" ref="F4389:F4395" si="34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44"/>
        <v>8582</v>
      </c>
      <c r="E4390" s="4">
        <f>1+1+1+2</f>
        <v>5</v>
      </c>
      <c r="F4390" s="79">
        <f t="shared" si="34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44"/>
        <v>976</v>
      </c>
      <c r="E4391" s="4">
        <f>1+1</f>
        <v>2</v>
      </c>
      <c r="F4391" s="79">
        <f t="shared" si="34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44"/>
        <v>2102</v>
      </c>
      <c r="F4392" s="79">
        <f t="shared" si="34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44"/>
        <v>2479</v>
      </c>
      <c r="F4393" s="79">
        <f t="shared" si="34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79">
        <f t="shared" si="34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46">C4395+D4371</f>
        <v>98345</v>
      </c>
      <c r="E4395" s="4">
        <v>48</v>
      </c>
      <c r="F4395" s="79">
        <f t="shared" si="34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46"/>
        <v>67</v>
      </c>
      <c r="F4396" s="79">
        <f t="shared" si="34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46"/>
        <v>5576</v>
      </c>
      <c r="F4397" s="79">
        <f t="shared" si="34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46"/>
        <v>983</v>
      </c>
      <c r="F4398" s="79">
        <f t="shared" si="34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46"/>
        <v>9394</v>
      </c>
      <c r="E4399" s="4">
        <f>1+1+3</f>
        <v>5</v>
      </c>
      <c r="F4399" s="79">
        <f t="shared" si="34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46"/>
        <v>321</v>
      </c>
      <c r="F4400" s="79">
        <f t="shared" si="34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46"/>
        <v>3838</v>
      </c>
      <c r="E4401" s="4">
        <f>4+1</f>
        <v>5</v>
      </c>
      <c r="F4401" s="79">
        <f t="shared" si="34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46"/>
        <v>84</v>
      </c>
      <c r="F4402" s="79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46"/>
        <v>8860</v>
      </c>
      <c r="E4403" s="4">
        <f>2+3+6</f>
        <v>11</v>
      </c>
      <c r="F4403" s="79">
        <f t="shared" si="34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46"/>
        <v>213</v>
      </c>
      <c r="F4404" s="79">
        <f t="shared" si="34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46"/>
        <v>1695</v>
      </c>
      <c r="F4405" s="79">
        <f t="shared" si="34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46"/>
        <v>7604</v>
      </c>
      <c r="E4406" s="4">
        <f>1+2+1</f>
        <v>4</v>
      </c>
      <c r="F4406" s="79">
        <f t="shared" si="34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46"/>
        <v>64</v>
      </c>
      <c r="F4407" s="79">
        <f t="shared" si="34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79">
        <f t="shared" si="34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79">
        <f t="shared" si="34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79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47">C4411+D4387</f>
        <v>255</v>
      </c>
      <c r="F4411" s="79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47"/>
        <v>177</v>
      </c>
      <c r="F4412" s="79">
        <f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47"/>
        <v>1915</v>
      </c>
      <c r="E4413" s="4">
        <f>1</f>
        <v>1</v>
      </c>
      <c r="F4413" s="79">
        <f t="shared" ref="F4413:F4418" si="348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47"/>
        <v>9329</v>
      </c>
      <c r="E4414" s="4">
        <f>1+3+2</f>
        <v>6</v>
      </c>
      <c r="F4414" s="79">
        <f t="shared" si="348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47"/>
        <v>1031</v>
      </c>
      <c r="F4415" s="79">
        <f t="shared" si="348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47"/>
        <v>2135</v>
      </c>
      <c r="E4416" s="4">
        <f>2</f>
        <v>2</v>
      </c>
      <c r="F4416" s="79">
        <f t="shared" si="348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47"/>
        <v>2803</v>
      </c>
      <c r="F4417" s="79">
        <f t="shared" si="348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79">
        <f t="shared" si="348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49">C4419+D4395</f>
        <v>99756</v>
      </c>
      <c r="E4419" s="4">
        <f>4+10+17</f>
        <v>31</v>
      </c>
      <c r="F4419" s="79">
        <f t="shared" ref="F4419:F4457" si="350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49"/>
        <v>70</v>
      </c>
      <c r="F4420" s="79">
        <f t="shared" si="350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49"/>
        <v>5682</v>
      </c>
      <c r="E4421" s="4">
        <f>1+1+1</f>
        <v>3</v>
      </c>
      <c r="F4421" s="79">
        <f t="shared" si="350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49"/>
        <v>1062</v>
      </c>
      <c r="F4422" s="79">
        <f t="shared" si="350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49"/>
        <v>9843</v>
      </c>
      <c r="E4423" s="4">
        <f>1+5+1</f>
        <v>7</v>
      </c>
      <c r="F4423" s="79">
        <f t="shared" si="350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49"/>
        <v>330</v>
      </c>
      <c r="F4424" s="79">
        <f t="shared" si="350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49"/>
        <v>3947</v>
      </c>
      <c r="F4425" s="79">
        <f t="shared" si="350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49"/>
        <v>88</v>
      </c>
      <c r="F4426" s="79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49"/>
        <v>9217</v>
      </c>
      <c r="E4427" s="4">
        <f>2+1</f>
        <v>3</v>
      </c>
      <c r="F4427" s="79">
        <f t="shared" si="350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49"/>
        <v>214</v>
      </c>
      <c r="E4428" s="4">
        <f>1</f>
        <v>1</v>
      </c>
      <c r="F4428" s="79">
        <f t="shared" si="350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49"/>
        <v>1788</v>
      </c>
      <c r="F4429" s="79">
        <f t="shared" si="350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49"/>
        <v>8148</v>
      </c>
      <c r="E4430" s="4">
        <f>1</f>
        <v>1</v>
      </c>
      <c r="F4430" s="79">
        <f t="shared" si="350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49"/>
        <v>64</v>
      </c>
      <c r="F4431" s="79">
        <f t="shared" si="350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79">
        <f t="shared" si="350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79">
        <f t="shared" si="350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79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51">C4435+D4411</f>
        <v>329</v>
      </c>
      <c r="F4435" s="79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51"/>
        <v>195</v>
      </c>
      <c r="F4436" s="79">
        <f t="shared" si="350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51"/>
        <v>1962</v>
      </c>
      <c r="F4437" s="79">
        <f t="shared" ref="F4437:F4442" si="352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51"/>
        <v>10093</v>
      </c>
      <c r="E4438" s="4">
        <f>3+2</f>
        <v>5</v>
      </c>
      <c r="F4438" s="79">
        <f t="shared" si="352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51"/>
        <v>1095</v>
      </c>
      <c r="F4439" s="79">
        <f t="shared" si="352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51"/>
        <v>2233</v>
      </c>
      <c r="E4440" s="4">
        <f>1</f>
        <v>1</v>
      </c>
      <c r="F4440" s="79">
        <f t="shared" si="352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51"/>
        <v>3075</v>
      </c>
      <c r="F4441" s="79">
        <f t="shared" si="352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79">
        <f t="shared" si="352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53">C4443+D4419</f>
        <v>101034</v>
      </c>
      <c r="E4443" s="4">
        <f>6+4+12+20</f>
        <v>42</v>
      </c>
      <c r="F4443" s="79">
        <f t="shared" si="350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53"/>
        <v>71</v>
      </c>
      <c r="F4444" s="79">
        <f t="shared" si="350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53"/>
        <v>5771</v>
      </c>
      <c r="E4445" s="4">
        <f>1+1</f>
        <v>2</v>
      </c>
      <c r="F4445" s="79">
        <f t="shared" si="350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53"/>
        <v>1101</v>
      </c>
      <c r="F4446" s="79">
        <f t="shared" si="350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53"/>
        <v>10341</v>
      </c>
      <c r="E4447" s="4">
        <f>1+4+2</f>
        <v>7</v>
      </c>
      <c r="F4447" s="79">
        <f t="shared" si="350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53"/>
        <v>333</v>
      </c>
      <c r="F4448" s="79">
        <f t="shared" si="350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53"/>
        <v>4113</v>
      </c>
      <c r="E4449" s="4">
        <v>1</v>
      </c>
      <c r="F4449" s="79">
        <f t="shared" si="350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53"/>
        <v>90</v>
      </c>
      <c r="F4450" s="79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53"/>
        <v>9549</v>
      </c>
      <c r="E4451" s="4">
        <f>4+1</f>
        <v>5</v>
      </c>
      <c r="F4451" s="79">
        <f t="shared" si="350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53"/>
        <v>221</v>
      </c>
      <c r="F4452" s="79">
        <f t="shared" si="350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53"/>
        <v>1887</v>
      </c>
      <c r="F4453" s="79">
        <f t="shared" si="350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53"/>
        <v>8801</v>
      </c>
      <c r="E4454" s="4">
        <f>1+1</f>
        <v>2</v>
      </c>
      <c r="F4454" s="79">
        <f t="shared" si="350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53"/>
        <v>65</v>
      </c>
      <c r="F4455" s="79">
        <f t="shared" si="350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79">
        <f t="shared" si="350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79">
        <f t="shared" si="350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79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54">C4459+D4435</f>
        <v>358</v>
      </c>
      <c r="F4459" s="79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54"/>
        <v>210</v>
      </c>
      <c r="F4460" s="79">
        <f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54"/>
        <v>2029</v>
      </c>
      <c r="E4461" s="4">
        <v>1</v>
      </c>
      <c r="F4461" s="79">
        <f t="shared" ref="F4461:F4466" si="355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54"/>
        <v>10806</v>
      </c>
      <c r="E4462" s="4">
        <f>2+2+2+1</f>
        <v>7</v>
      </c>
      <c r="F4462" s="79">
        <f t="shared" si="355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54"/>
        <v>1152</v>
      </c>
      <c r="F4463" s="79">
        <f t="shared" si="355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54"/>
        <v>2272</v>
      </c>
      <c r="E4464" s="4">
        <f>1+1+1</f>
        <v>3</v>
      </c>
      <c r="F4464" s="79">
        <f t="shared" si="355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54"/>
        <v>3385</v>
      </c>
      <c r="F4465" s="79">
        <f t="shared" si="355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79">
        <f t="shared" si="355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56">C4467+D4443</f>
        <v>102118</v>
      </c>
      <c r="E4467" s="4">
        <f>6+4+3</f>
        <v>13</v>
      </c>
      <c r="F4467" s="79">
        <f t="shared" ref="F4467:F4505" si="357">E4467+F4443</f>
        <v>2372</v>
      </c>
      <c r="J4467" s="88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56"/>
        <v>81</v>
      </c>
      <c r="F4468" s="79">
        <f t="shared" si="357"/>
        <v>0</v>
      </c>
      <c r="J4468" s="88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56"/>
        <v>5912</v>
      </c>
      <c r="E4469" s="4">
        <f>1</f>
        <v>1</v>
      </c>
      <c r="F4469" s="79">
        <f t="shared" si="357"/>
        <v>221</v>
      </c>
      <c r="J4469" s="88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56"/>
        <v>1178</v>
      </c>
      <c r="F4470" s="79">
        <f t="shared" si="357"/>
        <v>7</v>
      </c>
      <c r="J4470" s="88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56"/>
        <v>10765</v>
      </c>
      <c r="E4471" s="4">
        <f>1+4+3</f>
        <v>8</v>
      </c>
      <c r="F4471" s="79">
        <f t="shared" si="357"/>
        <v>154</v>
      </c>
      <c r="J4471" s="88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56"/>
        <v>335</v>
      </c>
      <c r="F4472" s="79">
        <f t="shared" si="357"/>
        <v>5</v>
      </c>
      <c r="J4472" s="88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56"/>
        <v>4201</v>
      </c>
      <c r="E4473" s="4">
        <f>2+1+1</f>
        <v>4</v>
      </c>
      <c r="F4473" s="79">
        <f t="shared" si="357"/>
        <v>59</v>
      </c>
      <c r="J4473" s="88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56"/>
        <v>89</v>
      </c>
      <c r="F4474" s="79">
        <f>E4474+F4450</f>
        <v>1</v>
      </c>
      <c r="J4474" s="88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56"/>
        <v>9875</v>
      </c>
      <c r="F4475" s="79">
        <f t="shared" si="357"/>
        <v>215</v>
      </c>
      <c r="J4475" s="88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56"/>
        <v>230</v>
      </c>
      <c r="F4476" s="79">
        <f t="shared" si="357"/>
        <v>4</v>
      </c>
      <c r="J4476" s="88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56"/>
        <v>1945</v>
      </c>
      <c r="F4477" s="79">
        <f t="shared" si="357"/>
        <v>39</v>
      </c>
      <c r="J4477" s="88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56"/>
        <v>9284</v>
      </c>
      <c r="E4478" s="4">
        <f>1</f>
        <v>1</v>
      </c>
      <c r="F4478" s="79">
        <f t="shared" si="357"/>
        <v>89</v>
      </c>
      <c r="J4478" s="88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56"/>
        <v>65</v>
      </c>
      <c r="F4479" s="79">
        <f t="shared" si="357"/>
        <v>2</v>
      </c>
      <c r="J4479" s="88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79">
        <f t="shared" si="357"/>
        <v>30</v>
      </c>
      <c r="J4480" s="88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79">
        <f t="shared" si="357"/>
        <v>123</v>
      </c>
      <c r="J4481" s="88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79">
        <f>E4482+F4458</f>
        <v>56</v>
      </c>
      <c r="J4482" s="88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58">C4483+D4459</f>
        <v>373</v>
      </c>
      <c r="F4483" s="79">
        <f>E4483+F4459</f>
        <v>0</v>
      </c>
      <c r="J4483" s="88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58"/>
        <v>245</v>
      </c>
      <c r="F4484" s="79">
        <f t="shared" si="357"/>
        <v>0</v>
      </c>
      <c r="J4484" s="88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58"/>
        <v>2167</v>
      </c>
      <c r="F4485" s="79">
        <f t="shared" ref="F4485:F4490" si="359">E4485+F4461</f>
        <v>16</v>
      </c>
      <c r="J4485" s="88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58"/>
        <v>11504</v>
      </c>
      <c r="E4486" s="4">
        <v>6</v>
      </c>
      <c r="F4486" s="79">
        <f t="shared" si="359"/>
        <v>119</v>
      </c>
      <c r="J4486" s="88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58"/>
        <v>1219</v>
      </c>
      <c r="E4487" s="4">
        <f>3</f>
        <v>3</v>
      </c>
      <c r="F4487" s="79">
        <f t="shared" si="359"/>
        <v>16</v>
      </c>
      <c r="J4487" s="88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58"/>
        <v>2296</v>
      </c>
      <c r="E4488" s="4">
        <f>1+1</f>
        <v>2</v>
      </c>
      <c r="F4488" s="79">
        <f t="shared" si="359"/>
        <v>37</v>
      </c>
      <c r="J4488" s="88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58"/>
        <v>3692</v>
      </c>
      <c r="E4489" s="4">
        <f>1</f>
        <v>1</v>
      </c>
      <c r="F4489" s="79">
        <f t="shared" si="359"/>
        <v>15</v>
      </c>
      <c r="J4489" s="88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79">
        <f t="shared" si="359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60">C4491+D4467</f>
        <v>102920</v>
      </c>
      <c r="E4491" s="4">
        <f>7+3+1</f>
        <v>11</v>
      </c>
      <c r="F4491" s="79">
        <f t="shared" si="357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60"/>
        <v>86</v>
      </c>
      <c r="F4492" s="79">
        <f t="shared" si="357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60"/>
        <v>6014</v>
      </c>
      <c r="E4493" s="4">
        <f>2+1</f>
        <v>3</v>
      </c>
      <c r="F4493" s="79">
        <f t="shared" si="357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60"/>
        <v>1217</v>
      </c>
      <c r="F4494" s="79">
        <f t="shared" si="357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60"/>
        <v>11152</v>
      </c>
      <c r="E4495" s="4">
        <f>1+4</f>
        <v>5</v>
      </c>
      <c r="F4495" s="79">
        <f t="shared" si="357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60"/>
        <v>345</v>
      </c>
      <c r="F4496" s="79">
        <f t="shared" si="357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60"/>
        <v>4293</v>
      </c>
      <c r="E4497" s="4">
        <f>1</f>
        <v>1</v>
      </c>
      <c r="F4497" s="79">
        <f t="shared" si="357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60"/>
        <v>90</v>
      </c>
      <c r="F4498" s="79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60"/>
        <v>10125</v>
      </c>
      <c r="E4499" s="4">
        <f>3+1</f>
        <v>4</v>
      </c>
      <c r="F4499" s="79">
        <f t="shared" si="357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60"/>
        <v>234</v>
      </c>
      <c r="F4500" s="79">
        <f t="shared" si="357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60"/>
        <v>2039</v>
      </c>
      <c r="E4501" s="4">
        <f>2+1</f>
        <v>3</v>
      </c>
      <c r="F4501" s="79">
        <f t="shared" si="357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60"/>
        <v>9697</v>
      </c>
      <c r="E4502" s="4">
        <f>1</f>
        <v>1</v>
      </c>
      <c r="F4502" s="79">
        <f t="shared" si="357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60"/>
        <v>67</v>
      </c>
      <c r="F4503" s="79">
        <f t="shared" si="357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79">
        <f t="shared" si="357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79">
        <f t="shared" si="357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79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61">C4507+D4483</f>
        <v>377</v>
      </c>
      <c r="F4507" s="79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61"/>
        <v>247</v>
      </c>
      <c r="F4508" s="79">
        <f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61"/>
        <v>2288</v>
      </c>
      <c r="F4509" s="79">
        <f t="shared" ref="F4509:F4515" si="362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61"/>
        <v>12119</v>
      </c>
      <c r="E4510" s="4">
        <f>1+4+6</f>
        <v>11</v>
      </c>
      <c r="F4510" s="79">
        <f t="shared" si="362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61"/>
        <v>1295</v>
      </c>
      <c r="E4511" s="4">
        <f>1</f>
        <v>1</v>
      </c>
      <c r="F4511" s="79">
        <f t="shared" si="362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61"/>
        <v>2345</v>
      </c>
      <c r="E4512" s="4">
        <f>1</f>
        <v>1</v>
      </c>
      <c r="F4512" s="79">
        <f t="shared" si="362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61"/>
        <v>3954</v>
      </c>
      <c r="F4513" s="79">
        <f t="shared" si="362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79">
        <f t="shared" si="362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63">C4515+D4491</f>
        <v>104009</v>
      </c>
      <c r="E4515" s="4">
        <f>9+5+27+22</f>
        <v>63</v>
      </c>
      <c r="F4515" s="79">
        <f t="shared" si="362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63"/>
        <v>88</v>
      </c>
      <c r="F4516" s="79">
        <f t="shared" ref="F4516:F4553" si="364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63"/>
        <v>6056</v>
      </c>
      <c r="E4517" s="4">
        <v>1</v>
      </c>
      <c r="F4517" s="79">
        <f t="shared" si="364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63"/>
        <v>1274</v>
      </c>
      <c r="E4518" s="4">
        <v>1</v>
      </c>
      <c r="F4518" s="79">
        <f t="shared" si="364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63"/>
        <v>11608</v>
      </c>
      <c r="E4519" s="4">
        <f>4+1</f>
        <v>5</v>
      </c>
      <c r="F4519" s="79">
        <f t="shared" si="364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63"/>
        <v>386</v>
      </c>
      <c r="F4520" s="79">
        <f t="shared" si="364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63"/>
        <v>4353</v>
      </c>
      <c r="E4521" s="4">
        <f>1+2</f>
        <v>3</v>
      </c>
      <c r="F4521" s="79">
        <f t="shared" si="364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63"/>
        <v>90</v>
      </c>
      <c r="F4522" s="79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63"/>
        <v>10480</v>
      </c>
      <c r="E4523" s="4">
        <f>3+3</f>
        <v>6</v>
      </c>
      <c r="F4523" s="79">
        <f t="shared" si="364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63"/>
        <v>243</v>
      </c>
      <c r="F4524" s="79">
        <f t="shared" si="364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63"/>
        <v>2131</v>
      </c>
      <c r="E4525" s="4">
        <f>6+3</f>
        <v>9</v>
      </c>
      <c r="F4525" s="79">
        <f t="shared" si="364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63"/>
        <v>10320</v>
      </c>
      <c r="E4526" s="4">
        <f>1+1+3+2</f>
        <v>7</v>
      </c>
      <c r="F4526" s="79">
        <f t="shared" si="364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63"/>
        <v>71</v>
      </c>
      <c r="F4527" s="79">
        <f t="shared" si="364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79">
        <f t="shared" si="364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79">
        <f t="shared" si="364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79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65">C4531+D4507</f>
        <v>364</v>
      </c>
      <c r="F4531" s="79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65"/>
        <v>307</v>
      </c>
      <c r="F4532" s="79">
        <f t="shared" si="364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65"/>
        <v>2322</v>
      </c>
      <c r="E4533" s="4">
        <f>1+1+2</f>
        <v>4</v>
      </c>
      <c r="F4533" s="79">
        <f t="shared" ref="F4533:F4538" si="366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65"/>
        <v>12636</v>
      </c>
      <c r="E4534" s="4">
        <f>2+1+5+4</f>
        <v>12</v>
      </c>
      <c r="F4534" s="79">
        <f t="shared" si="366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65"/>
        <v>1343</v>
      </c>
      <c r="E4535" s="4">
        <f>1+1+1</f>
        <v>3</v>
      </c>
      <c r="F4535" s="79">
        <f t="shared" si="366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65"/>
        <v>2400</v>
      </c>
      <c r="F4536" s="79">
        <f t="shared" si="366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65"/>
        <v>4463</v>
      </c>
      <c r="E4537" s="4">
        <f>1</f>
        <v>1</v>
      </c>
      <c r="F4537" s="79">
        <f t="shared" si="366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79">
        <f t="shared" si="366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67">C4539+D4515</f>
        <v>105309</v>
      </c>
      <c r="E4539" s="4">
        <v>31</v>
      </c>
      <c r="F4539" s="79">
        <f t="shared" si="364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67"/>
        <v>96</v>
      </c>
      <c r="F4540" s="79">
        <f t="shared" si="364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67"/>
        <v>6150</v>
      </c>
      <c r="E4541" s="4">
        <f>1+1+1</f>
        <v>3</v>
      </c>
      <c r="F4541" s="79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67"/>
        <v>1322</v>
      </c>
      <c r="F4542" s="79">
        <f t="shared" si="364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67"/>
        <v>11989</v>
      </c>
      <c r="E4543" s="4">
        <f>3+3</f>
        <v>6</v>
      </c>
      <c r="F4543" s="79">
        <f t="shared" si="364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67"/>
        <v>406</v>
      </c>
      <c r="F4544" s="79">
        <f t="shared" si="364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67"/>
        <v>4577</v>
      </c>
      <c r="E4545" s="4">
        <f>1+1+3</f>
        <v>5</v>
      </c>
      <c r="F4545" s="79">
        <f t="shared" si="364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67"/>
        <v>90</v>
      </c>
      <c r="F4546" s="79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67"/>
        <v>10774</v>
      </c>
      <c r="E4547" s="4">
        <f>4+2</f>
        <v>6</v>
      </c>
      <c r="F4547" s="79">
        <f t="shared" si="364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67"/>
        <v>247</v>
      </c>
      <c r="F4548" s="79">
        <f t="shared" si="364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67"/>
        <v>2215</v>
      </c>
      <c r="F4549" s="79">
        <f t="shared" si="364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67"/>
        <v>10836</v>
      </c>
      <c r="E4550" s="4">
        <f>6+5+1+5</f>
        <v>17</v>
      </c>
      <c r="F4550" s="79">
        <f t="shared" si="364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67"/>
        <v>69</v>
      </c>
      <c r="F4551" s="79">
        <f t="shared" si="364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79">
        <f t="shared" si="364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79">
        <f t="shared" si="364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79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68">C4555+D4531</f>
        <v>380</v>
      </c>
      <c r="E4555" s="4">
        <f>5+2</f>
        <v>7</v>
      </c>
      <c r="F4555" s="79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68"/>
        <v>325</v>
      </c>
      <c r="F4556" s="79">
        <f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68"/>
        <v>2398</v>
      </c>
      <c r="F4557" s="79">
        <f t="shared" ref="F4557:F4562" si="369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68"/>
        <v>13612</v>
      </c>
      <c r="E4558" s="4">
        <f>1+2+4</f>
        <v>7</v>
      </c>
      <c r="F4558" s="79">
        <f t="shared" si="369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68"/>
        <v>1389</v>
      </c>
      <c r="E4559" s="4">
        <f>1</f>
        <v>1</v>
      </c>
      <c r="F4559" s="79">
        <f t="shared" si="369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68"/>
        <v>2461</v>
      </c>
      <c r="F4560" s="79">
        <f t="shared" si="369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5">
        <f t="shared" si="368"/>
        <v>4746</v>
      </c>
      <c r="E4561" s="47">
        <f>1</f>
        <v>1</v>
      </c>
      <c r="F4561" s="79">
        <f t="shared" si="369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1">
        <f>C4562+D4538</f>
        <v>310254</v>
      </c>
      <c r="E4562" s="50">
        <f>16+12+1+70+55</f>
        <v>154</v>
      </c>
      <c r="F4562" s="79">
        <f t="shared" si="369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70">C4563+D4539</f>
        <v>106573</v>
      </c>
      <c r="E4563" s="4">
        <v>48</v>
      </c>
      <c r="F4563" s="129">
        <f t="shared" ref="F4563:F4604" si="371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70"/>
        <v>99</v>
      </c>
      <c r="F4564" s="129">
        <f t="shared" si="371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70"/>
        <v>6290</v>
      </c>
      <c r="E4565" s="4">
        <v>2</v>
      </c>
      <c r="F4565" s="129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70"/>
        <v>1361</v>
      </c>
      <c r="F4566" s="129">
        <f t="shared" si="371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70"/>
        <v>12566</v>
      </c>
      <c r="E4567" s="4">
        <f>5+3</f>
        <v>8</v>
      </c>
      <c r="F4567" s="129">
        <f t="shared" si="371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70"/>
        <v>431</v>
      </c>
      <c r="F4568" s="129">
        <f t="shared" si="371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70"/>
        <v>4707</v>
      </c>
      <c r="E4569" s="4">
        <v>1</v>
      </c>
      <c r="F4569" s="129">
        <f t="shared" si="371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70"/>
        <v>91</v>
      </c>
      <c r="F4570" s="79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70"/>
        <v>11117</v>
      </c>
      <c r="E4571" s="4">
        <f>3+3</f>
        <v>6</v>
      </c>
      <c r="F4571" s="129">
        <f t="shared" si="371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70"/>
        <v>267</v>
      </c>
      <c r="F4572" s="129">
        <f t="shared" si="371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70"/>
        <v>2360</v>
      </c>
      <c r="E4573" s="4">
        <v>1</v>
      </c>
      <c r="F4573" s="129">
        <f t="shared" si="371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70"/>
        <v>11634</v>
      </c>
      <c r="E4574" s="4">
        <f>5+4+2</f>
        <v>11</v>
      </c>
      <c r="F4574" s="129">
        <f t="shared" si="371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70"/>
        <v>71</v>
      </c>
      <c r="F4575" s="129">
        <f t="shared" si="371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29">
        <f t="shared" si="371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29">
        <f t="shared" si="371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29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72">C4579+D4555</f>
        <v>384</v>
      </c>
      <c r="F4579" s="79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72"/>
        <v>346</v>
      </c>
      <c r="F4580" s="129">
        <f t="shared" si="371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72"/>
        <v>2540</v>
      </c>
      <c r="E4581" s="4">
        <f>1</f>
        <v>1</v>
      </c>
      <c r="F4581" s="79">
        <f t="shared" ref="F4581:F4588" si="373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72"/>
        <v>14701</v>
      </c>
      <c r="E4582" s="4">
        <f>1+2+4</f>
        <v>7</v>
      </c>
      <c r="F4582" s="79">
        <f t="shared" si="373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72"/>
        <v>1470</v>
      </c>
      <c r="E4583" s="4">
        <f>1</f>
        <v>1</v>
      </c>
      <c r="F4583" s="79">
        <f t="shared" si="373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72"/>
        <v>2530</v>
      </c>
      <c r="E4584" s="4">
        <f>1</f>
        <v>1</v>
      </c>
      <c r="F4584" s="79">
        <f t="shared" si="373"/>
        <v>39</v>
      </c>
    </row>
    <row r="4585" spans="1:6" ht="15.75" thickBot="1" x14ac:dyDescent="0.3">
      <c r="A4585" s="96" t="s">
        <v>47</v>
      </c>
      <c r="B4585" s="46">
        <v>44083</v>
      </c>
      <c r="C4585" s="47">
        <v>390</v>
      </c>
      <c r="D4585" s="85">
        <f t="shared" si="372"/>
        <v>5136</v>
      </c>
      <c r="E4585" s="47"/>
      <c r="F4585" s="79">
        <f t="shared" si="373"/>
        <v>17</v>
      </c>
    </row>
    <row r="4586" spans="1:6" x14ac:dyDescent="0.25">
      <c r="A4586" s="64" t="s">
        <v>22</v>
      </c>
      <c r="B4586" s="49">
        <v>44084</v>
      </c>
      <c r="C4586" s="97">
        <v>6252</v>
      </c>
      <c r="D4586" s="131">
        <f>C4586+D4562</f>
        <v>316506</v>
      </c>
      <c r="E4586" s="50">
        <f>29+9+62+41</f>
        <v>141</v>
      </c>
      <c r="F4586" s="79">
        <f t="shared" si="373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74">C4587+D4563</f>
        <v>107857</v>
      </c>
      <c r="E4587" s="4">
        <v>35</v>
      </c>
      <c r="F4587" s="129">
        <f t="shared" si="373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74"/>
        <v>111</v>
      </c>
      <c r="F4588" s="129">
        <f t="shared" si="373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74"/>
        <v>6418</v>
      </c>
      <c r="E4589" s="4">
        <f>1</f>
        <v>1</v>
      </c>
      <c r="F4589" s="129">
        <f t="shared" si="371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74"/>
        <v>1390</v>
      </c>
      <c r="F4590" s="129">
        <f t="shared" si="371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74"/>
        <v>13009</v>
      </c>
      <c r="E4591" s="4">
        <f>3+2</f>
        <v>5</v>
      </c>
      <c r="F4591" s="129">
        <f t="shared" si="371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74"/>
        <v>491</v>
      </c>
      <c r="F4592" s="129">
        <f t="shared" si="371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74"/>
        <v>4844</v>
      </c>
      <c r="E4593" s="4">
        <f>4+4</f>
        <v>8</v>
      </c>
      <c r="F4593" s="129">
        <f t="shared" si="371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74"/>
        <v>92</v>
      </c>
      <c r="F4594" s="79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74"/>
        <v>11397</v>
      </c>
      <c r="E4595" s="4">
        <f>4+2</f>
        <v>6</v>
      </c>
      <c r="F4595" s="129">
        <f t="shared" si="371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74"/>
        <v>294</v>
      </c>
      <c r="F4596" s="129">
        <f t="shared" si="371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74"/>
        <v>2503</v>
      </c>
      <c r="E4597" s="4">
        <f>1+1</f>
        <v>2</v>
      </c>
      <c r="F4597" s="129">
        <f t="shared" si="371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74"/>
        <v>12365</v>
      </c>
      <c r="E4598" s="4">
        <f>5+3+5</f>
        <v>13</v>
      </c>
      <c r="F4598" s="129">
        <f t="shared" si="371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74"/>
        <v>65</v>
      </c>
      <c r="F4599" s="129">
        <f t="shared" si="371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29">
        <f t="shared" si="371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29">
        <f t="shared" si="371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29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75">C4603+D4579</f>
        <v>385</v>
      </c>
      <c r="F4603" s="79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75"/>
        <v>356</v>
      </c>
      <c r="F4604" s="129">
        <f t="shared" si="371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75"/>
        <v>2626</v>
      </c>
      <c r="F4605" s="79">
        <f t="shared" ref="F4605:F4612" si="376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75"/>
        <v>15743</v>
      </c>
      <c r="E4606" s="4">
        <f>5+2+7+7</f>
        <v>21</v>
      </c>
      <c r="F4606" s="79">
        <f t="shared" si="376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75"/>
        <v>1558</v>
      </c>
      <c r="E4607" s="4">
        <f>1+2</f>
        <v>3</v>
      </c>
      <c r="F4607" s="79">
        <f t="shared" si="376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75"/>
        <v>2592</v>
      </c>
      <c r="E4608" s="4">
        <f>1</f>
        <v>1</v>
      </c>
      <c r="F4608" s="79">
        <f t="shared" si="376"/>
        <v>40</v>
      </c>
    </row>
    <row r="4609" spans="1:7" ht="15.75" thickBot="1" x14ac:dyDescent="0.3">
      <c r="A4609" s="52" t="s">
        <v>47</v>
      </c>
      <c r="B4609" s="53">
        <v>44084</v>
      </c>
      <c r="C4609" s="98">
        <v>283</v>
      </c>
      <c r="D4609" s="132">
        <f t="shared" si="375"/>
        <v>5419</v>
      </c>
      <c r="E4609" s="54"/>
      <c r="F4609" s="79">
        <f t="shared" si="376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1">
        <f>C4610+D4586</f>
        <v>322238</v>
      </c>
      <c r="E4610" s="48">
        <v>128</v>
      </c>
      <c r="F4610" s="79">
        <f t="shared" si="376"/>
        <v>6757</v>
      </c>
      <c r="G4610" s="127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77">C4611+D4587</f>
        <v>109072</v>
      </c>
      <c r="E4611" s="4">
        <f>19+18+9+13</f>
        <v>59</v>
      </c>
      <c r="F4611" s="129">
        <f t="shared" si="376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77"/>
        <v>114</v>
      </c>
      <c r="F4612" s="129">
        <f t="shared" si="376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77"/>
        <v>6543</v>
      </c>
      <c r="E4613" s="4">
        <f>1+1</f>
        <v>2</v>
      </c>
      <c r="F4613" s="129">
        <f t="shared" ref="F4613:F4631" si="378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77"/>
        <v>1480</v>
      </c>
      <c r="E4614" s="4">
        <v>2</v>
      </c>
      <c r="F4614" s="129">
        <f t="shared" si="378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77"/>
        <v>13396</v>
      </c>
      <c r="E4615" s="4">
        <f>3+3</f>
        <v>6</v>
      </c>
      <c r="F4615" s="129">
        <f t="shared" si="378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77"/>
        <v>603</v>
      </c>
      <c r="E4616" s="4">
        <f>1</f>
        <v>1</v>
      </c>
      <c r="F4616" s="129">
        <f t="shared" si="378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77"/>
        <v>4995</v>
      </c>
      <c r="E4617" s="4">
        <v>11</v>
      </c>
      <c r="F4617" s="129">
        <f t="shared" si="378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77"/>
        <v>96</v>
      </c>
      <c r="F4618" s="79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77"/>
        <v>11699</v>
      </c>
      <c r="E4619" s="4">
        <f>1</f>
        <v>1</v>
      </c>
      <c r="F4619" s="129">
        <f t="shared" si="378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77"/>
        <v>321</v>
      </c>
      <c r="F4620" s="129">
        <f t="shared" si="378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77"/>
        <v>2665</v>
      </c>
      <c r="F4621" s="129">
        <f t="shared" si="378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77"/>
        <v>13060</v>
      </c>
      <c r="E4622" s="4">
        <f>1+2+3+2</f>
        <v>8</v>
      </c>
      <c r="F4622" s="129">
        <f t="shared" si="378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77"/>
        <v>65</v>
      </c>
      <c r="F4623" s="129">
        <f t="shared" si="378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29">
        <f t="shared" si="378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29">
        <f t="shared" si="378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29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79">C4627+D4603</f>
        <v>399</v>
      </c>
      <c r="F4627" s="79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79"/>
        <v>379</v>
      </c>
      <c r="F4628" s="129">
        <f t="shared" si="378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79"/>
        <v>2762</v>
      </c>
      <c r="F4629" s="79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79"/>
        <v>16673</v>
      </c>
      <c r="E4630" s="4">
        <f>2+4+4</f>
        <v>10</v>
      </c>
      <c r="F4630" s="79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79"/>
        <v>1641</v>
      </c>
      <c r="F4631" s="129">
        <f t="shared" si="378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79"/>
        <v>2635</v>
      </c>
      <c r="E4632" s="4">
        <f>1</f>
        <v>1</v>
      </c>
      <c r="F4632" s="129">
        <f>E4632+F4608</f>
        <v>41</v>
      </c>
    </row>
    <row r="4633" spans="1:6" ht="15.75" thickBot="1" x14ac:dyDescent="0.3">
      <c r="A4633" s="96" t="s">
        <v>47</v>
      </c>
      <c r="B4633" s="46">
        <v>44085</v>
      </c>
      <c r="C4633" s="47">
        <v>472</v>
      </c>
      <c r="D4633" s="85">
        <f t="shared" si="379"/>
        <v>5891</v>
      </c>
      <c r="E4633" s="47">
        <f>1</f>
        <v>1</v>
      </c>
      <c r="F4633" s="134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1">
        <f>C4634+D4610</f>
        <v>328100</v>
      </c>
      <c r="E4634" s="50">
        <f>15+15+18+6</f>
        <v>54</v>
      </c>
      <c r="F4634" s="128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80">C4635+D4611</f>
        <v>110057</v>
      </c>
      <c r="E4635" s="4">
        <f>9+5+5+4</f>
        <v>23</v>
      </c>
      <c r="F4635" s="129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80"/>
        <v>120</v>
      </c>
      <c r="F4636" s="129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80"/>
        <v>6660</v>
      </c>
      <c r="E4637" s="4">
        <f>2+1</f>
        <v>3</v>
      </c>
      <c r="F4637" s="129">
        <f t="shared" ref="F4637:F4655" si="381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80"/>
        <v>1645</v>
      </c>
      <c r="E4638" s="4">
        <f>2+2</f>
        <v>4</v>
      </c>
      <c r="F4638" s="129">
        <f t="shared" si="381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80"/>
        <v>13887</v>
      </c>
      <c r="E4639" s="4">
        <f>4</f>
        <v>4</v>
      </c>
      <c r="F4639" s="129">
        <f t="shared" si="381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80"/>
        <v>659</v>
      </c>
      <c r="F4640" s="129">
        <f t="shared" si="381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80"/>
        <v>5133</v>
      </c>
      <c r="F4641" s="129">
        <f t="shared" si="381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80"/>
        <v>95</v>
      </c>
      <c r="F4642" s="129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80"/>
        <v>11953</v>
      </c>
      <c r="E4643" s="4">
        <f>4+2</f>
        <v>6</v>
      </c>
      <c r="F4643" s="129">
        <f t="shared" si="381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80"/>
        <v>351</v>
      </c>
      <c r="F4644" s="129">
        <f t="shared" si="381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80"/>
        <v>2712</v>
      </c>
      <c r="F4645" s="129">
        <f t="shared" si="381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80"/>
        <v>13778</v>
      </c>
      <c r="E4646" s="4">
        <f>2</f>
        <v>2</v>
      </c>
      <c r="F4646" s="129">
        <f t="shared" si="381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80"/>
        <v>68</v>
      </c>
      <c r="F4647" s="129">
        <f t="shared" si="381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29">
        <f t="shared" si="381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29">
        <f t="shared" si="381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29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82">C4651+D4627</f>
        <v>422</v>
      </c>
      <c r="E4651" s="4">
        <f>2+3</f>
        <v>5</v>
      </c>
      <c r="F4651" s="129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82"/>
        <v>382</v>
      </c>
      <c r="F4652" s="129">
        <f t="shared" si="381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82"/>
        <v>2876</v>
      </c>
      <c r="F4653" s="129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82"/>
        <v>17562</v>
      </c>
      <c r="E4654" s="4">
        <f>2+3+2</f>
        <v>7</v>
      </c>
      <c r="F4654" s="129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82"/>
        <v>1753</v>
      </c>
      <c r="F4655" s="129">
        <f t="shared" si="381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82"/>
        <v>2683</v>
      </c>
      <c r="E4656" s="4">
        <f>1+1+1</f>
        <v>3</v>
      </c>
      <c r="F4656" s="129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2">
        <f t="shared" si="382"/>
        <v>6045</v>
      </c>
      <c r="E4657" s="54">
        <f>1</f>
        <v>1</v>
      </c>
      <c r="F4657" s="130">
        <f>E4657+F4633</f>
        <v>19</v>
      </c>
    </row>
    <row r="4658" spans="1:6" x14ac:dyDescent="0.25">
      <c r="A4658" s="64" t="s">
        <v>22</v>
      </c>
      <c r="B4658" s="136">
        <v>44087</v>
      </c>
      <c r="C4658" s="48">
        <v>3689</v>
      </c>
      <c r="D4658" s="131">
        <f>C4658+D4634</f>
        <v>331789</v>
      </c>
      <c r="E4658" s="48">
        <f>11+3+11+13</f>
        <v>38</v>
      </c>
      <c r="F4658" s="128">
        <f>E4658+F4634</f>
        <v>6849</v>
      </c>
    </row>
    <row r="4659" spans="1:6" x14ac:dyDescent="0.25">
      <c r="A4659" s="51" t="s">
        <v>20</v>
      </c>
      <c r="B4659" s="136">
        <v>44087</v>
      </c>
      <c r="C4659" s="4">
        <v>843</v>
      </c>
      <c r="D4659" s="29">
        <f t="shared" ref="D4659:D4671" si="383">C4659+D4635</f>
        <v>110900</v>
      </c>
      <c r="E4659" s="4">
        <f>6+7+4+2</f>
        <v>19</v>
      </c>
      <c r="F4659" s="129">
        <f>E4659+F4635</f>
        <v>2661</v>
      </c>
    </row>
    <row r="4660" spans="1:6" x14ac:dyDescent="0.25">
      <c r="A4660" s="51" t="s">
        <v>35</v>
      </c>
      <c r="B4660" s="136">
        <v>44087</v>
      </c>
      <c r="C4660" s="4">
        <v>4</v>
      </c>
      <c r="D4660" s="29">
        <f t="shared" si="383"/>
        <v>124</v>
      </c>
      <c r="F4660" s="129">
        <f>E4660+F4636</f>
        <v>0</v>
      </c>
    </row>
    <row r="4661" spans="1:6" x14ac:dyDescent="0.25">
      <c r="A4661" s="51" t="s">
        <v>21</v>
      </c>
      <c r="B4661" s="136">
        <v>44087</v>
      </c>
      <c r="C4661" s="4">
        <v>91</v>
      </c>
      <c r="D4661" s="29">
        <f t="shared" si="383"/>
        <v>6751</v>
      </c>
      <c r="E4661" s="4">
        <f>2</f>
        <v>2</v>
      </c>
      <c r="F4661" s="129">
        <f t="shared" ref="F4661:F4679" si="384">E4661+F4637</f>
        <v>238</v>
      </c>
    </row>
    <row r="4662" spans="1:6" x14ac:dyDescent="0.25">
      <c r="A4662" s="51" t="s">
        <v>36</v>
      </c>
      <c r="B4662" s="136">
        <v>44087</v>
      </c>
      <c r="C4662" s="4">
        <v>73</v>
      </c>
      <c r="D4662" s="29">
        <f t="shared" si="383"/>
        <v>1718</v>
      </c>
      <c r="F4662" s="129">
        <f t="shared" si="384"/>
        <v>14</v>
      </c>
    </row>
    <row r="4663" spans="1:6" x14ac:dyDescent="0.25">
      <c r="A4663" s="51" t="s">
        <v>27</v>
      </c>
      <c r="B4663" s="136">
        <v>44087</v>
      </c>
      <c r="C4663" s="4">
        <v>552</v>
      </c>
      <c r="D4663" s="29">
        <f t="shared" si="383"/>
        <v>14439</v>
      </c>
      <c r="E4663" s="4">
        <f>3+1</f>
        <v>4</v>
      </c>
      <c r="F4663" s="129">
        <f t="shared" si="384"/>
        <v>197</v>
      </c>
    </row>
    <row r="4664" spans="1:6" x14ac:dyDescent="0.25">
      <c r="A4664" s="51" t="s">
        <v>37</v>
      </c>
      <c r="B4664" s="136">
        <v>44087</v>
      </c>
      <c r="C4664" s="4">
        <v>1</v>
      </c>
      <c r="D4664" s="29">
        <f t="shared" si="383"/>
        <v>660</v>
      </c>
      <c r="F4664" s="129">
        <f t="shared" si="384"/>
        <v>6</v>
      </c>
    </row>
    <row r="4665" spans="1:6" x14ac:dyDescent="0.25">
      <c r="A4665" s="51" t="s">
        <v>38</v>
      </c>
      <c r="B4665" s="136">
        <v>44087</v>
      </c>
      <c r="C4665" s="4">
        <v>105</v>
      </c>
      <c r="D4665" s="29">
        <f t="shared" si="383"/>
        <v>5238</v>
      </c>
      <c r="E4665" s="4">
        <f>1</f>
        <v>1</v>
      </c>
      <c r="F4665" s="129">
        <f t="shared" si="384"/>
        <v>89</v>
      </c>
    </row>
    <row r="4666" spans="1:6" x14ac:dyDescent="0.25">
      <c r="A4666" s="51" t="s">
        <v>48</v>
      </c>
      <c r="B4666" s="136">
        <v>44087</v>
      </c>
      <c r="C4666" s="4">
        <v>-1</v>
      </c>
      <c r="D4666" s="29">
        <f t="shared" si="383"/>
        <v>94</v>
      </c>
      <c r="F4666" s="129">
        <f>E4666+F4642</f>
        <v>1</v>
      </c>
    </row>
    <row r="4667" spans="1:6" x14ac:dyDescent="0.25">
      <c r="A4667" s="51" t="s">
        <v>39</v>
      </c>
      <c r="B4667" s="136">
        <v>44087</v>
      </c>
      <c r="C4667" s="4">
        <v>169</v>
      </c>
      <c r="D4667" s="29">
        <f t="shared" si="383"/>
        <v>12122</v>
      </c>
      <c r="E4667" s="4">
        <f>3+2+1</f>
        <v>6</v>
      </c>
      <c r="F4667" s="129">
        <f t="shared" si="384"/>
        <v>256</v>
      </c>
    </row>
    <row r="4668" spans="1:6" x14ac:dyDescent="0.25">
      <c r="A4668" s="51" t="s">
        <v>40</v>
      </c>
      <c r="B4668" s="136">
        <v>44087</v>
      </c>
      <c r="C4668" s="4">
        <v>46</v>
      </c>
      <c r="D4668" s="29">
        <f t="shared" si="383"/>
        <v>397</v>
      </c>
      <c r="F4668" s="129">
        <f t="shared" si="384"/>
        <v>4</v>
      </c>
    </row>
    <row r="4669" spans="1:6" x14ac:dyDescent="0.25">
      <c r="A4669" s="51" t="s">
        <v>28</v>
      </c>
      <c r="B4669" s="136">
        <v>44087</v>
      </c>
      <c r="C4669" s="4">
        <v>96</v>
      </c>
      <c r="D4669" s="29">
        <f t="shared" si="383"/>
        <v>2808</v>
      </c>
      <c r="E4669" s="4">
        <f>1+3</f>
        <v>4</v>
      </c>
      <c r="F4669" s="129">
        <f t="shared" si="384"/>
        <v>58</v>
      </c>
    </row>
    <row r="4670" spans="1:6" x14ac:dyDescent="0.25">
      <c r="A4670" s="51" t="s">
        <v>24</v>
      </c>
      <c r="B4670" s="136">
        <v>44087</v>
      </c>
      <c r="C4670" s="4">
        <v>704</v>
      </c>
      <c r="D4670" s="29">
        <f t="shared" si="383"/>
        <v>14482</v>
      </c>
      <c r="E4670" s="4">
        <f>2</f>
        <v>2</v>
      </c>
      <c r="F4670" s="129">
        <f t="shared" si="384"/>
        <v>150</v>
      </c>
    </row>
    <row r="4671" spans="1:6" x14ac:dyDescent="0.25">
      <c r="A4671" s="51" t="s">
        <v>30</v>
      </c>
      <c r="B4671" s="136">
        <v>44087</v>
      </c>
      <c r="C4671" s="4">
        <v>0</v>
      </c>
      <c r="D4671" s="29">
        <f t="shared" si="383"/>
        <v>68</v>
      </c>
      <c r="F4671" s="129">
        <f t="shared" si="384"/>
        <v>2</v>
      </c>
    </row>
    <row r="4672" spans="1:6" x14ac:dyDescent="0.25">
      <c r="A4672" s="51" t="s">
        <v>26</v>
      </c>
      <c r="B4672" s="136">
        <v>44087</v>
      </c>
      <c r="C4672" s="4">
        <v>286</v>
      </c>
      <c r="D4672" s="29">
        <f>C4672+D4648</f>
        <v>4812</v>
      </c>
      <c r="E4672" s="4">
        <f>2+1+1</f>
        <v>4</v>
      </c>
      <c r="F4672" s="129">
        <f t="shared" si="384"/>
        <v>50</v>
      </c>
    </row>
    <row r="4673" spans="1:6" x14ac:dyDescent="0.25">
      <c r="A4673" s="51" t="s">
        <v>25</v>
      </c>
      <c r="B4673" s="136">
        <v>44087</v>
      </c>
      <c r="C4673" s="4">
        <v>130</v>
      </c>
      <c r="D4673" s="29">
        <f>C4673+D4649</f>
        <v>8719</v>
      </c>
      <c r="E4673" s="4">
        <f>2</f>
        <v>2</v>
      </c>
      <c r="F4673" s="129">
        <f t="shared" si="384"/>
        <v>153</v>
      </c>
    </row>
    <row r="4674" spans="1:6" x14ac:dyDescent="0.25">
      <c r="A4674" s="51" t="s">
        <v>41</v>
      </c>
      <c r="B4674" s="136">
        <v>44087</v>
      </c>
      <c r="C4674" s="4">
        <v>340</v>
      </c>
      <c r="D4674" s="29">
        <f>C4674+D4650</f>
        <v>6765</v>
      </c>
      <c r="E4674" s="4">
        <f>1+1</f>
        <v>2</v>
      </c>
      <c r="F4674" s="129">
        <f>E4674+F4650</f>
        <v>89</v>
      </c>
    </row>
    <row r="4675" spans="1:6" x14ac:dyDescent="0.25">
      <c r="A4675" s="51" t="s">
        <v>42</v>
      </c>
      <c r="B4675" s="136">
        <v>44087</v>
      </c>
      <c r="C4675" s="4">
        <v>-5</v>
      </c>
      <c r="D4675" s="29">
        <f t="shared" ref="D4675:D4681" si="385">C4675+D4651</f>
        <v>417</v>
      </c>
      <c r="F4675" s="129">
        <f>E4675+F4651</f>
        <v>12</v>
      </c>
    </row>
    <row r="4676" spans="1:6" x14ac:dyDescent="0.25">
      <c r="A4676" s="51" t="s">
        <v>43</v>
      </c>
      <c r="B4676" s="136">
        <v>44087</v>
      </c>
      <c r="C4676" s="4">
        <v>1</v>
      </c>
      <c r="D4676" s="29">
        <f t="shared" si="385"/>
        <v>383</v>
      </c>
      <c r="F4676" s="129">
        <f t="shared" si="384"/>
        <v>0</v>
      </c>
    </row>
    <row r="4677" spans="1:6" x14ac:dyDescent="0.25">
      <c r="A4677" s="51" t="s">
        <v>44</v>
      </c>
      <c r="B4677" s="136">
        <v>44087</v>
      </c>
      <c r="C4677" s="4">
        <v>193</v>
      </c>
      <c r="D4677" s="29">
        <f t="shared" si="385"/>
        <v>3069</v>
      </c>
      <c r="F4677" s="129">
        <f>E4677+F4653</f>
        <v>21</v>
      </c>
    </row>
    <row r="4678" spans="1:6" x14ac:dyDescent="0.25">
      <c r="A4678" s="51" t="s">
        <v>29</v>
      </c>
      <c r="B4678" s="136">
        <v>44087</v>
      </c>
      <c r="C4678" s="4">
        <v>1055</v>
      </c>
      <c r="D4678" s="29">
        <f t="shared" si="385"/>
        <v>18617</v>
      </c>
      <c r="E4678" s="4">
        <f>1+1</f>
        <v>2</v>
      </c>
      <c r="F4678" s="129">
        <f>E4678+F4654</f>
        <v>196</v>
      </c>
    </row>
    <row r="4679" spans="1:6" x14ac:dyDescent="0.25">
      <c r="A4679" s="51" t="s">
        <v>45</v>
      </c>
      <c r="B4679" s="136">
        <v>44087</v>
      </c>
      <c r="C4679" s="4">
        <v>79</v>
      </c>
      <c r="D4679" s="29">
        <f t="shared" si="385"/>
        <v>1832</v>
      </c>
      <c r="E4679" s="4">
        <f>1</f>
        <v>1</v>
      </c>
      <c r="F4679" s="129">
        <f t="shared" si="384"/>
        <v>26</v>
      </c>
    </row>
    <row r="4680" spans="1:6" x14ac:dyDescent="0.25">
      <c r="A4680" s="51" t="s">
        <v>46</v>
      </c>
      <c r="B4680" s="136">
        <v>44087</v>
      </c>
      <c r="C4680" s="4">
        <v>22</v>
      </c>
      <c r="D4680" s="29">
        <f t="shared" si="385"/>
        <v>2705</v>
      </c>
      <c r="E4680" s="4">
        <f>1</f>
        <v>1</v>
      </c>
      <c r="F4680" s="129">
        <f>E4680+F4656</f>
        <v>45</v>
      </c>
    </row>
    <row r="4681" spans="1:6" ht="15.75" thickBot="1" x14ac:dyDescent="0.3">
      <c r="A4681" s="52" t="s">
        <v>47</v>
      </c>
      <c r="B4681" s="136">
        <v>44087</v>
      </c>
      <c r="C4681" s="4">
        <v>583</v>
      </c>
      <c r="D4681" s="132">
        <f t="shared" si="385"/>
        <v>6628</v>
      </c>
      <c r="F4681" s="130">
        <f>E4681+F4657</f>
        <v>19</v>
      </c>
    </row>
    <row r="4682" spans="1:6" x14ac:dyDescent="0.25">
      <c r="A4682" s="64" t="s">
        <v>22</v>
      </c>
      <c r="B4682" s="136">
        <v>44088</v>
      </c>
      <c r="C4682" s="4">
        <v>4863</v>
      </c>
      <c r="D4682" s="131">
        <f>C4682+D4658</f>
        <v>336652</v>
      </c>
      <c r="E4682" s="4">
        <f>7+4+96+51</f>
        <v>158</v>
      </c>
      <c r="F4682" s="128">
        <f>E4682+F4658</f>
        <v>7007</v>
      </c>
    </row>
    <row r="4683" spans="1:6" x14ac:dyDescent="0.25">
      <c r="A4683" s="51" t="s">
        <v>20</v>
      </c>
      <c r="B4683" s="136">
        <v>44088</v>
      </c>
      <c r="C4683" s="4">
        <v>946</v>
      </c>
      <c r="D4683" s="29">
        <f t="shared" ref="D4683:D4695" si="386">C4683+D4659</f>
        <v>111846</v>
      </c>
      <c r="E4683" s="4">
        <f>5+9+25+14</f>
        <v>53</v>
      </c>
      <c r="F4683" s="129">
        <f>E4683+F4659</f>
        <v>2714</v>
      </c>
    </row>
    <row r="4684" spans="1:6" x14ac:dyDescent="0.25">
      <c r="A4684" s="51" t="s">
        <v>35</v>
      </c>
      <c r="B4684" s="136">
        <v>44088</v>
      </c>
      <c r="C4684" s="4">
        <v>5</v>
      </c>
      <c r="D4684" s="29">
        <f t="shared" si="386"/>
        <v>129</v>
      </c>
      <c r="F4684" s="129">
        <f>E4684+F4660</f>
        <v>0</v>
      </c>
    </row>
    <row r="4685" spans="1:6" x14ac:dyDescent="0.25">
      <c r="A4685" s="51" t="s">
        <v>21</v>
      </c>
      <c r="B4685" s="136">
        <v>44088</v>
      </c>
      <c r="C4685" s="4">
        <v>41</v>
      </c>
      <c r="D4685" s="29">
        <f t="shared" si="386"/>
        <v>6792</v>
      </c>
      <c r="E4685" s="4">
        <f>1+2</f>
        <v>3</v>
      </c>
      <c r="F4685" s="129">
        <f t="shared" ref="F4685:F4703" si="387">E4685+F4661</f>
        <v>241</v>
      </c>
    </row>
    <row r="4686" spans="1:6" x14ac:dyDescent="0.25">
      <c r="A4686" s="51" t="s">
        <v>36</v>
      </c>
      <c r="B4686" s="136">
        <v>44088</v>
      </c>
      <c r="C4686" s="4">
        <v>39</v>
      </c>
      <c r="D4686" s="29">
        <f t="shared" si="386"/>
        <v>1757</v>
      </c>
      <c r="E4686" s="4">
        <f>4+2</f>
        <v>6</v>
      </c>
      <c r="F4686" s="129">
        <f t="shared" si="387"/>
        <v>20</v>
      </c>
    </row>
    <row r="4687" spans="1:6" x14ac:dyDescent="0.25">
      <c r="A4687" s="51" t="s">
        <v>27</v>
      </c>
      <c r="B4687" s="136">
        <v>44088</v>
      </c>
      <c r="C4687" s="4">
        <v>535</v>
      </c>
      <c r="D4687" s="29">
        <f t="shared" si="386"/>
        <v>14974</v>
      </c>
      <c r="E4687" s="4">
        <f>4+3</f>
        <v>7</v>
      </c>
      <c r="F4687" s="129">
        <f t="shared" si="387"/>
        <v>204</v>
      </c>
    </row>
    <row r="4688" spans="1:6" x14ac:dyDescent="0.25">
      <c r="A4688" s="51" t="s">
        <v>37</v>
      </c>
      <c r="B4688" s="136">
        <v>44088</v>
      </c>
      <c r="C4688" s="4">
        <v>58</v>
      </c>
      <c r="D4688" s="29">
        <f t="shared" si="386"/>
        <v>718</v>
      </c>
      <c r="F4688" s="129">
        <f t="shared" si="387"/>
        <v>6</v>
      </c>
    </row>
    <row r="4689" spans="1:6" x14ac:dyDescent="0.25">
      <c r="A4689" s="51" t="s">
        <v>38</v>
      </c>
      <c r="B4689" s="136">
        <v>44088</v>
      </c>
      <c r="C4689" s="4">
        <v>72</v>
      </c>
      <c r="D4689" s="29">
        <f t="shared" si="386"/>
        <v>5310</v>
      </c>
      <c r="F4689" s="129">
        <f t="shared" si="387"/>
        <v>89</v>
      </c>
    </row>
    <row r="4690" spans="1:6" x14ac:dyDescent="0.25">
      <c r="A4690" s="51" t="s">
        <v>48</v>
      </c>
      <c r="B4690" s="136">
        <v>44088</v>
      </c>
      <c r="C4690" s="4">
        <v>1</v>
      </c>
      <c r="D4690" s="29">
        <f t="shared" si="386"/>
        <v>95</v>
      </c>
      <c r="F4690" s="129">
        <f>E4690+F4666</f>
        <v>1</v>
      </c>
    </row>
    <row r="4691" spans="1:6" x14ac:dyDescent="0.25">
      <c r="A4691" s="51" t="s">
        <v>39</v>
      </c>
      <c r="B4691" s="136">
        <v>44088</v>
      </c>
      <c r="C4691" s="4">
        <v>277</v>
      </c>
      <c r="D4691" s="29">
        <f t="shared" si="386"/>
        <v>12399</v>
      </c>
      <c r="E4691" s="4">
        <f>3+1+5+1</f>
        <v>10</v>
      </c>
      <c r="F4691" s="129">
        <f t="shared" si="387"/>
        <v>266</v>
      </c>
    </row>
    <row r="4692" spans="1:6" x14ac:dyDescent="0.25">
      <c r="A4692" s="51" t="s">
        <v>40</v>
      </c>
      <c r="B4692" s="136">
        <v>44088</v>
      </c>
      <c r="C4692" s="4">
        <v>45</v>
      </c>
      <c r="D4692" s="29">
        <f t="shared" si="386"/>
        <v>442</v>
      </c>
      <c r="F4692" s="129">
        <f t="shared" si="387"/>
        <v>4</v>
      </c>
    </row>
    <row r="4693" spans="1:6" x14ac:dyDescent="0.25">
      <c r="A4693" s="51" t="s">
        <v>28</v>
      </c>
      <c r="B4693" s="136">
        <v>44088</v>
      </c>
      <c r="C4693" s="4">
        <v>74</v>
      </c>
      <c r="D4693" s="29">
        <f t="shared" si="386"/>
        <v>2882</v>
      </c>
      <c r="E4693" s="4">
        <f>13+11</f>
        <v>24</v>
      </c>
      <c r="F4693" s="129">
        <f t="shared" si="387"/>
        <v>82</v>
      </c>
    </row>
    <row r="4694" spans="1:6" x14ac:dyDescent="0.25">
      <c r="A4694" s="51" t="s">
        <v>24</v>
      </c>
      <c r="B4694" s="136">
        <v>44088</v>
      </c>
      <c r="C4694" s="4">
        <v>650</v>
      </c>
      <c r="D4694" s="29">
        <f t="shared" si="386"/>
        <v>15132</v>
      </c>
      <c r="E4694" s="4">
        <f>2+1</f>
        <v>3</v>
      </c>
      <c r="F4694" s="129">
        <f t="shared" si="387"/>
        <v>153</v>
      </c>
    </row>
    <row r="4695" spans="1:6" x14ac:dyDescent="0.25">
      <c r="A4695" s="51" t="s">
        <v>30</v>
      </c>
      <c r="B4695" s="136">
        <v>44088</v>
      </c>
      <c r="C4695" s="4">
        <v>0</v>
      </c>
      <c r="D4695" s="29">
        <f t="shared" si="386"/>
        <v>68</v>
      </c>
      <c r="F4695" s="129">
        <f t="shared" si="387"/>
        <v>2</v>
      </c>
    </row>
    <row r="4696" spans="1:6" x14ac:dyDescent="0.25">
      <c r="A4696" s="51" t="s">
        <v>26</v>
      </c>
      <c r="B4696" s="136">
        <v>44088</v>
      </c>
      <c r="C4696" s="4">
        <v>227</v>
      </c>
      <c r="D4696" s="29">
        <f>C4696+D4672</f>
        <v>5039</v>
      </c>
      <c r="E4696" s="4">
        <f>1+1</f>
        <v>2</v>
      </c>
      <c r="F4696" s="129">
        <f t="shared" si="387"/>
        <v>52</v>
      </c>
    </row>
    <row r="4697" spans="1:6" x14ac:dyDescent="0.25">
      <c r="A4697" s="51" t="s">
        <v>25</v>
      </c>
      <c r="B4697" s="136">
        <v>44088</v>
      </c>
      <c r="C4697" s="4">
        <v>135</v>
      </c>
      <c r="D4697" s="29">
        <f>C4697+D4673</f>
        <v>8854</v>
      </c>
      <c r="E4697" s="4">
        <f>4+4</f>
        <v>8</v>
      </c>
      <c r="F4697" s="129">
        <f t="shared" si="387"/>
        <v>161</v>
      </c>
    </row>
    <row r="4698" spans="1:6" x14ac:dyDescent="0.25">
      <c r="A4698" s="51" t="s">
        <v>41</v>
      </c>
      <c r="B4698" s="136">
        <v>44088</v>
      </c>
      <c r="C4698" s="4">
        <v>229</v>
      </c>
      <c r="D4698" s="29">
        <f>C4698+D4674</f>
        <v>6994</v>
      </c>
      <c r="E4698" s="4">
        <f>4+1</f>
        <v>5</v>
      </c>
      <c r="F4698" s="129">
        <f>E4698+F4674</f>
        <v>94</v>
      </c>
    </row>
    <row r="4699" spans="1:6" x14ac:dyDescent="0.25">
      <c r="A4699" s="51" t="s">
        <v>42</v>
      </c>
      <c r="B4699" s="136">
        <v>44088</v>
      </c>
      <c r="C4699" s="4">
        <v>0</v>
      </c>
      <c r="D4699" s="29">
        <f t="shared" ref="D4699:D4705" si="388">C4699+D4675</f>
        <v>417</v>
      </c>
      <c r="F4699" s="129">
        <f>E4699+F4675</f>
        <v>12</v>
      </c>
    </row>
    <row r="4700" spans="1:6" x14ac:dyDescent="0.25">
      <c r="A4700" s="51" t="s">
        <v>43</v>
      </c>
      <c r="B4700" s="136">
        <v>44088</v>
      </c>
      <c r="C4700" s="4">
        <v>49</v>
      </c>
      <c r="D4700" s="29">
        <f t="shared" si="388"/>
        <v>432</v>
      </c>
      <c r="F4700" s="129">
        <f t="shared" si="387"/>
        <v>0</v>
      </c>
    </row>
    <row r="4701" spans="1:6" x14ac:dyDescent="0.25">
      <c r="A4701" s="51" t="s">
        <v>44</v>
      </c>
      <c r="B4701" s="136">
        <v>44088</v>
      </c>
      <c r="C4701" s="4">
        <v>39</v>
      </c>
      <c r="D4701" s="29">
        <f t="shared" si="388"/>
        <v>3108</v>
      </c>
      <c r="E4701" s="4">
        <f>1+11+3</f>
        <v>15</v>
      </c>
      <c r="F4701" s="129">
        <f>E4701+F4677</f>
        <v>36</v>
      </c>
    </row>
    <row r="4702" spans="1:6" x14ac:dyDescent="0.25">
      <c r="A4702" s="51" t="s">
        <v>29</v>
      </c>
      <c r="B4702" s="136">
        <v>44088</v>
      </c>
      <c r="C4702" s="4">
        <v>850</v>
      </c>
      <c r="D4702" s="29">
        <f t="shared" si="388"/>
        <v>19467</v>
      </c>
      <c r="E4702" s="4">
        <f>1+10+5</f>
        <v>16</v>
      </c>
      <c r="F4702" s="129">
        <f>E4702+F4678</f>
        <v>212</v>
      </c>
    </row>
    <row r="4703" spans="1:6" x14ac:dyDescent="0.25">
      <c r="A4703" s="51" t="s">
        <v>45</v>
      </c>
      <c r="B4703" s="136">
        <v>44088</v>
      </c>
      <c r="C4703" s="4">
        <v>81</v>
      </c>
      <c r="D4703" s="29">
        <f t="shared" si="388"/>
        <v>1913</v>
      </c>
      <c r="E4703" s="4">
        <f>2</f>
        <v>2</v>
      </c>
      <c r="F4703" s="129">
        <f t="shared" si="387"/>
        <v>28</v>
      </c>
    </row>
    <row r="4704" spans="1:6" x14ac:dyDescent="0.25">
      <c r="A4704" s="51" t="s">
        <v>46</v>
      </c>
      <c r="B4704" s="136">
        <v>44088</v>
      </c>
      <c r="C4704" s="4">
        <v>72</v>
      </c>
      <c r="D4704" s="29">
        <f t="shared" si="388"/>
        <v>2777</v>
      </c>
      <c r="E4704" s="4">
        <f>1+1</f>
        <v>2</v>
      </c>
      <c r="F4704" s="129">
        <f>E4704+F4680</f>
        <v>47</v>
      </c>
    </row>
    <row r="4705" spans="1:6" ht="15.75" thickBot="1" x14ac:dyDescent="0.3">
      <c r="A4705" s="96" t="s">
        <v>47</v>
      </c>
      <c r="B4705" s="138">
        <v>44088</v>
      </c>
      <c r="C4705" s="47">
        <v>621</v>
      </c>
      <c r="D4705" s="85">
        <f t="shared" si="388"/>
        <v>7249</v>
      </c>
      <c r="E4705" s="47"/>
      <c r="F4705" s="139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1">
        <f>C4706+D4682</f>
        <v>342653</v>
      </c>
      <c r="E4706" s="50">
        <f>16+11+32+41</f>
        <v>100</v>
      </c>
      <c r="F4706" s="128">
        <f>E4706+F4682</f>
        <v>7107</v>
      </c>
    </row>
    <row r="4707" spans="1:6" x14ac:dyDescent="0.25">
      <c r="A4707" s="140" t="s">
        <v>20</v>
      </c>
      <c r="B4707" s="136">
        <v>44089</v>
      </c>
      <c r="C4707" s="4">
        <v>1010</v>
      </c>
      <c r="D4707" s="29">
        <f t="shared" ref="D4707:D4719" si="389">C4707+D4683</f>
        <v>112856</v>
      </c>
      <c r="E4707" s="4">
        <f>6+2+12+6</f>
        <v>26</v>
      </c>
      <c r="F4707" s="129">
        <f>E4707+F4683</f>
        <v>2740</v>
      </c>
    </row>
    <row r="4708" spans="1:6" x14ac:dyDescent="0.25">
      <c r="A4708" s="140" t="s">
        <v>35</v>
      </c>
      <c r="B4708" s="136">
        <v>44089</v>
      </c>
      <c r="C4708" s="4">
        <v>4</v>
      </c>
      <c r="D4708" s="29">
        <f t="shared" si="389"/>
        <v>133</v>
      </c>
      <c r="F4708" s="129">
        <f>E4708+F4684</f>
        <v>0</v>
      </c>
    </row>
    <row r="4709" spans="1:6" x14ac:dyDescent="0.25">
      <c r="A4709" s="140" t="s">
        <v>21</v>
      </c>
      <c r="B4709" s="136">
        <v>44089</v>
      </c>
      <c r="C4709" s="4">
        <v>87</v>
      </c>
      <c r="D4709" s="29">
        <f t="shared" si="389"/>
        <v>6879</v>
      </c>
      <c r="E4709" s="4">
        <f>1+1</f>
        <v>2</v>
      </c>
      <c r="F4709" s="129">
        <f t="shared" ref="F4709:F4727" si="390">E4709+F4685</f>
        <v>243</v>
      </c>
    </row>
    <row r="4710" spans="1:6" x14ac:dyDescent="0.25">
      <c r="A4710" s="140" t="s">
        <v>36</v>
      </c>
      <c r="B4710" s="136">
        <v>44089</v>
      </c>
      <c r="C4710" s="4">
        <v>98</v>
      </c>
      <c r="D4710" s="29">
        <f t="shared" si="389"/>
        <v>1855</v>
      </c>
      <c r="E4710" s="4">
        <f>1+2</f>
        <v>3</v>
      </c>
      <c r="F4710" s="129">
        <f t="shared" si="390"/>
        <v>23</v>
      </c>
    </row>
    <row r="4711" spans="1:6" x14ac:dyDescent="0.25">
      <c r="A4711" s="140" t="s">
        <v>27</v>
      </c>
      <c r="B4711" s="136">
        <v>44089</v>
      </c>
      <c r="C4711" s="4">
        <v>719</v>
      </c>
      <c r="D4711" s="29">
        <f t="shared" si="389"/>
        <v>15693</v>
      </c>
      <c r="E4711" s="4">
        <f>4+4</f>
        <v>8</v>
      </c>
      <c r="F4711" s="129">
        <f t="shared" si="390"/>
        <v>212</v>
      </c>
    </row>
    <row r="4712" spans="1:6" x14ac:dyDescent="0.25">
      <c r="A4712" s="140" t="s">
        <v>37</v>
      </c>
      <c r="B4712" s="136">
        <v>44089</v>
      </c>
      <c r="C4712" s="4">
        <v>60</v>
      </c>
      <c r="D4712" s="29">
        <f t="shared" si="389"/>
        <v>778</v>
      </c>
      <c r="F4712" s="129">
        <f t="shared" si="390"/>
        <v>6</v>
      </c>
    </row>
    <row r="4713" spans="1:6" x14ac:dyDescent="0.25">
      <c r="A4713" s="140" t="s">
        <v>38</v>
      </c>
      <c r="B4713" s="136">
        <v>44089</v>
      </c>
      <c r="C4713" s="4">
        <v>189</v>
      </c>
      <c r="D4713" s="29">
        <f t="shared" si="389"/>
        <v>5499</v>
      </c>
      <c r="E4713" s="4">
        <f>3+2</f>
        <v>5</v>
      </c>
      <c r="F4713" s="129">
        <f t="shared" si="390"/>
        <v>94</v>
      </c>
    </row>
    <row r="4714" spans="1:6" x14ac:dyDescent="0.25">
      <c r="A4714" s="140" t="s">
        <v>48</v>
      </c>
      <c r="B4714" s="136">
        <v>44089</v>
      </c>
      <c r="C4714" s="4">
        <v>3</v>
      </c>
      <c r="D4714" s="29">
        <f t="shared" si="389"/>
        <v>98</v>
      </c>
      <c r="F4714" s="129">
        <f>E4714+F4690</f>
        <v>1</v>
      </c>
    </row>
    <row r="4715" spans="1:6" x14ac:dyDescent="0.25">
      <c r="A4715" s="140" t="s">
        <v>39</v>
      </c>
      <c r="B4715" s="136">
        <v>44089</v>
      </c>
      <c r="C4715" s="4">
        <v>331</v>
      </c>
      <c r="D4715" s="29">
        <f t="shared" si="389"/>
        <v>12730</v>
      </c>
      <c r="E4715" s="4">
        <f>5+5</f>
        <v>10</v>
      </c>
      <c r="F4715" s="129">
        <f t="shared" si="390"/>
        <v>276</v>
      </c>
    </row>
    <row r="4716" spans="1:6" x14ac:dyDescent="0.25">
      <c r="A4716" s="140" t="s">
        <v>40</v>
      </c>
      <c r="B4716" s="136">
        <v>44089</v>
      </c>
      <c r="C4716" s="4">
        <v>24</v>
      </c>
      <c r="D4716" s="29">
        <f t="shared" si="389"/>
        <v>466</v>
      </c>
      <c r="F4716" s="129">
        <f t="shared" si="390"/>
        <v>4</v>
      </c>
    </row>
    <row r="4717" spans="1:6" x14ac:dyDescent="0.25">
      <c r="A4717" s="140" t="s">
        <v>28</v>
      </c>
      <c r="B4717" s="136">
        <v>44089</v>
      </c>
      <c r="C4717" s="4">
        <v>124</v>
      </c>
      <c r="D4717" s="29">
        <f t="shared" si="389"/>
        <v>3006</v>
      </c>
      <c r="E4717" s="4">
        <f>2+3</f>
        <v>5</v>
      </c>
      <c r="F4717" s="129">
        <f t="shared" si="390"/>
        <v>87</v>
      </c>
    </row>
    <row r="4718" spans="1:6" x14ac:dyDescent="0.25">
      <c r="A4718" s="140" t="s">
        <v>24</v>
      </c>
      <c r="B4718" s="136">
        <v>44089</v>
      </c>
      <c r="C4718" s="4">
        <v>629</v>
      </c>
      <c r="D4718" s="29">
        <f t="shared" si="389"/>
        <v>15761</v>
      </c>
      <c r="E4718" s="4">
        <f>2+1</f>
        <v>3</v>
      </c>
      <c r="F4718" s="129">
        <f t="shared" si="390"/>
        <v>156</v>
      </c>
    </row>
    <row r="4719" spans="1:6" x14ac:dyDescent="0.25">
      <c r="A4719" s="140" t="s">
        <v>30</v>
      </c>
      <c r="B4719" s="136">
        <v>44089</v>
      </c>
      <c r="C4719" s="4">
        <v>-8</v>
      </c>
      <c r="D4719" s="29">
        <f t="shared" si="389"/>
        <v>60</v>
      </c>
      <c r="F4719" s="129">
        <f t="shared" si="390"/>
        <v>2</v>
      </c>
    </row>
    <row r="4720" spans="1:6" x14ac:dyDescent="0.25">
      <c r="A4720" s="140" t="s">
        <v>26</v>
      </c>
      <c r="B4720" s="136">
        <v>44089</v>
      </c>
      <c r="C4720" s="4">
        <v>120</v>
      </c>
      <c r="D4720" s="29">
        <f>C4720+D4696</f>
        <v>5159</v>
      </c>
      <c r="E4720" s="4">
        <f>1</f>
        <v>1</v>
      </c>
      <c r="F4720" s="129">
        <f t="shared" si="390"/>
        <v>53</v>
      </c>
    </row>
    <row r="4721" spans="1:6" x14ac:dyDescent="0.25">
      <c r="A4721" s="140" t="s">
        <v>25</v>
      </c>
      <c r="B4721" s="136">
        <v>44089</v>
      </c>
      <c r="C4721" s="4">
        <v>375</v>
      </c>
      <c r="D4721" s="29">
        <f>C4721+D4697</f>
        <v>9229</v>
      </c>
      <c r="E4721" s="4">
        <f>3+4</f>
        <v>7</v>
      </c>
      <c r="F4721" s="129">
        <f t="shared" si="390"/>
        <v>168</v>
      </c>
    </row>
    <row r="4722" spans="1:6" x14ac:dyDescent="0.25">
      <c r="A4722" s="140" t="s">
        <v>41</v>
      </c>
      <c r="B4722" s="136">
        <v>44089</v>
      </c>
      <c r="C4722" s="4">
        <v>309</v>
      </c>
      <c r="D4722" s="29">
        <f>C4722+D4698</f>
        <v>7303</v>
      </c>
      <c r="E4722" s="4">
        <f>1+1+3</f>
        <v>5</v>
      </c>
      <c r="F4722" s="129">
        <f>E4722+F4698</f>
        <v>99</v>
      </c>
    </row>
    <row r="4723" spans="1:6" x14ac:dyDescent="0.25">
      <c r="A4723" s="140" t="s">
        <v>42</v>
      </c>
      <c r="B4723" s="136">
        <v>44089</v>
      </c>
      <c r="C4723" s="4">
        <v>11</v>
      </c>
      <c r="D4723" s="29">
        <f t="shared" ref="D4723:D4729" si="391">C4723+D4699</f>
        <v>428</v>
      </c>
      <c r="F4723" s="129">
        <f>E4723+F4699</f>
        <v>12</v>
      </c>
    </row>
    <row r="4724" spans="1:6" x14ac:dyDescent="0.25">
      <c r="A4724" s="140" t="s">
        <v>43</v>
      </c>
      <c r="B4724" s="136">
        <v>44089</v>
      </c>
      <c r="C4724" s="4">
        <v>51</v>
      </c>
      <c r="D4724" s="29">
        <f t="shared" si="391"/>
        <v>483</v>
      </c>
      <c r="F4724" s="129">
        <f t="shared" si="390"/>
        <v>0</v>
      </c>
    </row>
    <row r="4725" spans="1:6" x14ac:dyDescent="0.25">
      <c r="A4725" s="140" t="s">
        <v>44</v>
      </c>
      <c r="B4725" s="136">
        <v>44089</v>
      </c>
      <c r="C4725" s="4">
        <v>84</v>
      </c>
      <c r="D4725" s="29">
        <f t="shared" si="391"/>
        <v>3192</v>
      </c>
      <c r="F4725" s="129">
        <f>E4725+F4701</f>
        <v>36</v>
      </c>
    </row>
    <row r="4726" spans="1:6" x14ac:dyDescent="0.25">
      <c r="A4726" s="140" t="s">
        <v>29</v>
      </c>
      <c r="B4726" s="136">
        <v>44089</v>
      </c>
      <c r="C4726" s="4">
        <v>1056</v>
      </c>
      <c r="D4726" s="29">
        <f t="shared" si="391"/>
        <v>20523</v>
      </c>
      <c r="E4726" s="4">
        <f>3+4</f>
        <v>7</v>
      </c>
      <c r="F4726" s="129">
        <f>E4726+F4702</f>
        <v>219</v>
      </c>
    </row>
    <row r="4727" spans="1:6" x14ac:dyDescent="0.25">
      <c r="A4727" s="140" t="s">
        <v>45</v>
      </c>
      <c r="B4727" s="136">
        <v>44089</v>
      </c>
      <c r="C4727" s="4">
        <v>69</v>
      </c>
      <c r="D4727" s="29">
        <f t="shared" si="391"/>
        <v>1982</v>
      </c>
      <c r="F4727" s="129">
        <f t="shared" si="390"/>
        <v>28</v>
      </c>
    </row>
    <row r="4728" spans="1:6" x14ac:dyDescent="0.25">
      <c r="A4728" s="140" t="s">
        <v>46</v>
      </c>
      <c r="B4728" s="136">
        <v>44089</v>
      </c>
      <c r="C4728" s="4">
        <v>78</v>
      </c>
      <c r="D4728" s="29">
        <f t="shared" si="391"/>
        <v>2855</v>
      </c>
      <c r="F4728" s="129">
        <f>E4728+F4704</f>
        <v>47</v>
      </c>
    </row>
    <row r="4729" spans="1:6" ht="15.75" thickBot="1" x14ac:dyDescent="0.3">
      <c r="A4729" s="142" t="s">
        <v>47</v>
      </c>
      <c r="B4729" s="138">
        <v>44089</v>
      </c>
      <c r="C4729" s="47">
        <v>468</v>
      </c>
      <c r="D4729" s="85">
        <f t="shared" si="391"/>
        <v>7717</v>
      </c>
      <c r="E4729" s="47">
        <f>2+1</f>
        <v>3</v>
      </c>
      <c r="F4729" s="139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1">
        <f>C4730+D4706</f>
        <v>348731</v>
      </c>
      <c r="E4730" s="50">
        <f>26+23+68+48</f>
        <v>165</v>
      </c>
      <c r="F4730" s="128">
        <f>E4730+F4706</f>
        <v>7272</v>
      </c>
    </row>
    <row r="4731" spans="1:6" x14ac:dyDescent="0.25">
      <c r="A4731" s="140" t="s">
        <v>20</v>
      </c>
      <c r="B4731" s="26">
        <v>44090</v>
      </c>
      <c r="C4731" s="4">
        <v>813</v>
      </c>
      <c r="D4731" s="29">
        <f t="shared" ref="D4731:D4743" si="392">C4731+D4707</f>
        <v>113669</v>
      </c>
      <c r="E4731" s="4">
        <f>2+21+17</f>
        <v>40</v>
      </c>
      <c r="F4731" s="129">
        <f>E4731+F4707</f>
        <v>2780</v>
      </c>
    </row>
    <row r="4732" spans="1:6" x14ac:dyDescent="0.25">
      <c r="A4732" s="140" t="s">
        <v>35</v>
      </c>
      <c r="B4732" s="26">
        <v>44090</v>
      </c>
      <c r="C4732" s="4">
        <v>21</v>
      </c>
      <c r="D4732" s="29">
        <f t="shared" si="392"/>
        <v>154</v>
      </c>
      <c r="F4732" s="129">
        <f>E4732+F4708</f>
        <v>0</v>
      </c>
    </row>
    <row r="4733" spans="1:6" x14ac:dyDescent="0.25">
      <c r="A4733" s="140" t="s">
        <v>21</v>
      </c>
      <c r="B4733" s="26">
        <v>44090</v>
      </c>
      <c r="C4733" s="4">
        <v>122</v>
      </c>
      <c r="D4733" s="29">
        <f t="shared" si="392"/>
        <v>7001</v>
      </c>
      <c r="F4733" s="129">
        <f t="shared" ref="F4733:F4751" si="393">E4733+F4709</f>
        <v>243</v>
      </c>
    </row>
    <row r="4734" spans="1:6" x14ac:dyDescent="0.25">
      <c r="A4734" s="140" t="s">
        <v>36</v>
      </c>
      <c r="B4734" s="26">
        <v>44090</v>
      </c>
      <c r="C4734" s="4">
        <v>94</v>
      </c>
      <c r="D4734" s="29">
        <f t="shared" si="392"/>
        <v>1949</v>
      </c>
      <c r="F4734" s="129">
        <f t="shared" si="393"/>
        <v>23</v>
      </c>
    </row>
    <row r="4735" spans="1:6" x14ac:dyDescent="0.25">
      <c r="A4735" s="140" t="s">
        <v>27</v>
      </c>
      <c r="B4735" s="26">
        <v>44090</v>
      </c>
      <c r="C4735" s="4">
        <v>691</v>
      </c>
      <c r="D4735" s="29">
        <f t="shared" si="392"/>
        <v>16384</v>
      </c>
      <c r="E4735" s="4">
        <f>5+4</f>
        <v>9</v>
      </c>
      <c r="F4735" s="129">
        <f t="shared" si="393"/>
        <v>221</v>
      </c>
    </row>
    <row r="4736" spans="1:6" x14ac:dyDescent="0.25">
      <c r="A4736" s="140" t="s">
        <v>37</v>
      </c>
      <c r="B4736" s="26">
        <v>44090</v>
      </c>
      <c r="C4736" s="4">
        <v>17</v>
      </c>
      <c r="D4736" s="29">
        <f t="shared" si="392"/>
        <v>795</v>
      </c>
      <c r="F4736" s="129">
        <f>E4736+F4712</f>
        <v>6</v>
      </c>
    </row>
    <row r="4737" spans="1:6" x14ac:dyDescent="0.25">
      <c r="A4737" s="140" t="s">
        <v>38</v>
      </c>
      <c r="B4737" s="26">
        <v>44090</v>
      </c>
      <c r="C4737" s="4">
        <v>125</v>
      </c>
      <c r="D4737" s="29">
        <f t="shared" si="392"/>
        <v>5624</v>
      </c>
      <c r="E4737" s="4">
        <f>1+2</f>
        <v>3</v>
      </c>
      <c r="F4737" s="129">
        <f>E4737+F4713</f>
        <v>97</v>
      </c>
    </row>
    <row r="4738" spans="1:6" x14ac:dyDescent="0.25">
      <c r="A4738" s="140" t="s">
        <v>48</v>
      </c>
      <c r="B4738" s="26">
        <v>44090</v>
      </c>
      <c r="C4738" s="4">
        <v>-2</v>
      </c>
      <c r="D4738" s="29">
        <f t="shared" si="392"/>
        <v>96</v>
      </c>
      <c r="F4738" s="129">
        <f>E4738+F4714</f>
        <v>1</v>
      </c>
    </row>
    <row r="4739" spans="1:6" x14ac:dyDescent="0.25">
      <c r="A4739" s="140" t="s">
        <v>39</v>
      </c>
      <c r="B4739" s="26">
        <v>44090</v>
      </c>
      <c r="C4739" s="4">
        <v>305</v>
      </c>
      <c r="D4739" s="29">
        <f t="shared" si="392"/>
        <v>13035</v>
      </c>
      <c r="F4739" s="129">
        <f t="shared" si="393"/>
        <v>276</v>
      </c>
    </row>
    <row r="4740" spans="1:6" x14ac:dyDescent="0.25">
      <c r="A4740" s="140" t="s">
        <v>40</v>
      </c>
      <c r="B4740" s="26">
        <v>44090</v>
      </c>
      <c r="C4740" s="4">
        <v>39</v>
      </c>
      <c r="D4740" s="29">
        <f t="shared" si="392"/>
        <v>505</v>
      </c>
      <c r="F4740" s="129">
        <f t="shared" si="393"/>
        <v>4</v>
      </c>
    </row>
    <row r="4741" spans="1:6" x14ac:dyDescent="0.25">
      <c r="A4741" s="140" t="s">
        <v>28</v>
      </c>
      <c r="B4741" s="26">
        <v>44090</v>
      </c>
      <c r="C4741" s="4">
        <v>125</v>
      </c>
      <c r="D4741" s="29">
        <f t="shared" si="392"/>
        <v>3131</v>
      </c>
      <c r="F4741" s="129">
        <f t="shared" si="393"/>
        <v>87</v>
      </c>
    </row>
    <row r="4742" spans="1:6" x14ac:dyDescent="0.25">
      <c r="A4742" s="140" t="s">
        <v>24</v>
      </c>
      <c r="B4742" s="26">
        <v>44090</v>
      </c>
      <c r="C4742" s="4">
        <v>682</v>
      </c>
      <c r="D4742" s="29">
        <f t="shared" si="392"/>
        <v>16443</v>
      </c>
      <c r="E4742" s="4">
        <f>1+1+1</f>
        <v>3</v>
      </c>
      <c r="F4742" s="129">
        <f t="shared" si="393"/>
        <v>159</v>
      </c>
    </row>
    <row r="4743" spans="1:6" x14ac:dyDescent="0.25">
      <c r="A4743" s="140" t="s">
        <v>30</v>
      </c>
      <c r="B4743" s="26">
        <v>44090</v>
      </c>
      <c r="C4743" s="4">
        <v>3</v>
      </c>
      <c r="D4743" s="29">
        <f t="shared" si="392"/>
        <v>63</v>
      </c>
      <c r="F4743" s="129">
        <f t="shared" si="393"/>
        <v>2</v>
      </c>
    </row>
    <row r="4744" spans="1:6" x14ac:dyDescent="0.25">
      <c r="A4744" s="14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29">
        <f t="shared" si="393"/>
        <v>54</v>
      </c>
    </row>
    <row r="4745" spans="1:6" x14ac:dyDescent="0.25">
      <c r="A4745" s="14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29">
        <f t="shared" si="393"/>
        <v>176</v>
      </c>
    </row>
    <row r="4746" spans="1:6" x14ac:dyDescent="0.25">
      <c r="A4746" s="14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29">
        <f>E4746+F4722</f>
        <v>101</v>
      </c>
    </row>
    <row r="4747" spans="1:6" x14ac:dyDescent="0.25">
      <c r="A4747" s="140" t="s">
        <v>42</v>
      </c>
      <c r="B4747" s="26">
        <v>44090</v>
      </c>
      <c r="C4747" s="4">
        <v>0</v>
      </c>
      <c r="D4747" s="29">
        <f t="shared" ref="D4747:D4753" si="394">C4747+D4723</f>
        <v>428</v>
      </c>
      <c r="E4747" s="4">
        <f>2</f>
        <v>2</v>
      </c>
      <c r="F4747" s="129">
        <f>E4747+F4723</f>
        <v>14</v>
      </c>
    </row>
    <row r="4748" spans="1:6" x14ac:dyDescent="0.25">
      <c r="A4748" s="140" t="s">
        <v>43</v>
      </c>
      <c r="B4748" s="26">
        <v>44090</v>
      </c>
      <c r="C4748" s="4">
        <v>25</v>
      </c>
      <c r="D4748" s="29">
        <f t="shared" si="394"/>
        <v>508</v>
      </c>
      <c r="F4748" s="129">
        <f t="shared" si="393"/>
        <v>0</v>
      </c>
    </row>
    <row r="4749" spans="1:6" x14ac:dyDescent="0.25">
      <c r="A4749" s="140" t="s">
        <v>44</v>
      </c>
      <c r="B4749" s="26">
        <v>44090</v>
      </c>
      <c r="C4749" s="4">
        <v>84</v>
      </c>
      <c r="D4749" s="29">
        <f t="shared" si="394"/>
        <v>3276</v>
      </c>
      <c r="E4749" s="4">
        <f>3</f>
        <v>3</v>
      </c>
      <c r="F4749" s="129">
        <f>E4749+F4725</f>
        <v>39</v>
      </c>
    </row>
    <row r="4750" spans="1:6" x14ac:dyDescent="0.25">
      <c r="A4750" s="140" t="s">
        <v>29</v>
      </c>
      <c r="B4750" s="26">
        <v>44090</v>
      </c>
      <c r="C4750" s="4">
        <v>1149</v>
      </c>
      <c r="D4750" s="29">
        <f t="shared" si="394"/>
        <v>21672</v>
      </c>
      <c r="E4750" s="4">
        <f>2+1+7+7</f>
        <v>17</v>
      </c>
      <c r="F4750" s="129">
        <f>E4750+F4726</f>
        <v>236</v>
      </c>
    </row>
    <row r="4751" spans="1:6" x14ac:dyDescent="0.25">
      <c r="A4751" s="140" t="s">
        <v>45</v>
      </c>
      <c r="B4751" s="26">
        <v>44090</v>
      </c>
      <c r="C4751" s="4">
        <v>59</v>
      </c>
      <c r="D4751" s="29">
        <f t="shared" si="394"/>
        <v>2041</v>
      </c>
      <c r="F4751" s="129">
        <f t="shared" si="393"/>
        <v>28</v>
      </c>
    </row>
    <row r="4752" spans="1:6" x14ac:dyDescent="0.25">
      <c r="A4752" s="140" t="s">
        <v>46</v>
      </c>
      <c r="B4752" s="26">
        <v>44090</v>
      </c>
      <c r="C4752" s="4">
        <v>46</v>
      </c>
      <c r="D4752" s="29">
        <f t="shared" si="394"/>
        <v>2901</v>
      </c>
      <c r="E4752" s="4">
        <f>1+2</f>
        <v>3</v>
      </c>
      <c r="F4752" s="129">
        <f>E4752+F4728</f>
        <v>50</v>
      </c>
    </row>
    <row r="4753" spans="1:6" ht="15.75" thickBot="1" x14ac:dyDescent="0.3">
      <c r="A4753" s="141" t="s">
        <v>47</v>
      </c>
      <c r="B4753" s="53">
        <v>44090</v>
      </c>
      <c r="C4753" s="54">
        <v>458</v>
      </c>
      <c r="D4753" s="132">
        <f t="shared" si="394"/>
        <v>8175</v>
      </c>
      <c r="E4753" s="54">
        <f>8</f>
        <v>8</v>
      </c>
      <c r="F4753" s="130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1">
        <f>C4754+D4730</f>
        <v>355050</v>
      </c>
      <c r="E4754" s="48">
        <f>28+34+87+65</f>
        <v>214</v>
      </c>
      <c r="F4754" s="128">
        <f>E4754+F4730</f>
        <v>7486</v>
      </c>
    </row>
    <row r="4755" spans="1:6" ht="15.75" thickBot="1" x14ac:dyDescent="0.3">
      <c r="A4755" s="140" t="s">
        <v>20</v>
      </c>
      <c r="B4755" s="53">
        <v>44091</v>
      </c>
      <c r="C4755" s="4">
        <v>1156</v>
      </c>
      <c r="D4755" s="29">
        <f t="shared" ref="D4755:D4767" si="395">C4755+D4731</f>
        <v>114825</v>
      </c>
      <c r="E4755" s="4">
        <f>6+1+10+7</f>
        <v>24</v>
      </c>
      <c r="F4755" s="129">
        <f>E4755+F4731</f>
        <v>2804</v>
      </c>
    </row>
    <row r="4756" spans="1:6" ht="15.75" thickBot="1" x14ac:dyDescent="0.3">
      <c r="A4756" s="140" t="s">
        <v>35</v>
      </c>
      <c r="B4756" s="53">
        <v>44091</v>
      </c>
      <c r="C4756" s="4">
        <v>23</v>
      </c>
      <c r="D4756" s="29">
        <f t="shared" si="395"/>
        <v>177</v>
      </c>
      <c r="F4756" s="129">
        <f>E4756+F4732</f>
        <v>0</v>
      </c>
    </row>
    <row r="4757" spans="1:6" ht="15.75" thickBot="1" x14ac:dyDescent="0.3">
      <c r="A4757" s="140" t="s">
        <v>21</v>
      </c>
      <c r="B4757" s="53">
        <v>44091</v>
      </c>
      <c r="C4757" s="4">
        <v>108</v>
      </c>
      <c r="D4757" s="29">
        <f t="shared" si="395"/>
        <v>7109</v>
      </c>
      <c r="E4757" s="4">
        <f>1+2</f>
        <v>3</v>
      </c>
      <c r="F4757" s="129">
        <f t="shared" ref="F4757:F4775" si="396">E4757+F4733</f>
        <v>246</v>
      </c>
    </row>
    <row r="4758" spans="1:6" ht="15.75" thickBot="1" x14ac:dyDescent="0.3">
      <c r="A4758" s="140" t="s">
        <v>36</v>
      </c>
      <c r="B4758" s="53">
        <v>44091</v>
      </c>
      <c r="C4758" s="4">
        <v>95</v>
      </c>
      <c r="D4758" s="29">
        <f t="shared" si="395"/>
        <v>2044</v>
      </c>
      <c r="E4758" s="4">
        <f>1</f>
        <v>1</v>
      </c>
      <c r="F4758" s="129">
        <f t="shared" si="396"/>
        <v>24</v>
      </c>
    </row>
    <row r="4759" spans="1:6" ht="15.75" thickBot="1" x14ac:dyDescent="0.3">
      <c r="A4759" s="140" t="s">
        <v>27</v>
      </c>
      <c r="B4759" s="53">
        <v>44091</v>
      </c>
      <c r="C4759" s="4">
        <v>757</v>
      </c>
      <c r="D4759" s="29">
        <f t="shared" si="395"/>
        <v>17141</v>
      </c>
      <c r="E4759" s="4">
        <f>1+4+2</f>
        <v>7</v>
      </c>
      <c r="F4759" s="129">
        <f t="shared" si="396"/>
        <v>228</v>
      </c>
    </row>
    <row r="4760" spans="1:6" ht="15.75" thickBot="1" x14ac:dyDescent="0.3">
      <c r="A4760" s="140" t="s">
        <v>37</v>
      </c>
      <c r="B4760" s="53">
        <v>44091</v>
      </c>
      <c r="C4760" s="4">
        <v>73</v>
      </c>
      <c r="D4760" s="29">
        <f t="shared" si="395"/>
        <v>868</v>
      </c>
      <c r="F4760" s="129">
        <f>E4760+F4736</f>
        <v>6</v>
      </c>
    </row>
    <row r="4761" spans="1:6" ht="15.75" thickBot="1" x14ac:dyDescent="0.3">
      <c r="A4761" s="140" t="s">
        <v>38</v>
      </c>
      <c r="B4761" s="53">
        <v>44091</v>
      </c>
      <c r="C4761" s="4">
        <v>150</v>
      </c>
      <c r="D4761" s="29">
        <f t="shared" si="395"/>
        <v>5774</v>
      </c>
      <c r="E4761" s="4">
        <f>4+1</f>
        <v>5</v>
      </c>
      <c r="F4761" s="129">
        <f>E4761+F4737</f>
        <v>102</v>
      </c>
    </row>
    <row r="4762" spans="1:6" ht="15.75" thickBot="1" x14ac:dyDescent="0.3">
      <c r="A4762" s="140" t="s">
        <v>48</v>
      </c>
      <c r="B4762" s="53">
        <v>44091</v>
      </c>
      <c r="C4762" s="4">
        <v>-3</v>
      </c>
      <c r="D4762" s="29">
        <f t="shared" si="395"/>
        <v>93</v>
      </c>
      <c r="F4762" s="129">
        <f>E4762+F4738</f>
        <v>1</v>
      </c>
    </row>
    <row r="4763" spans="1:6" ht="15.75" thickBot="1" x14ac:dyDescent="0.3">
      <c r="A4763" s="140" t="s">
        <v>39</v>
      </c>
      <c r="B4763" s="53">
        <v>44091</v>
      </c>
      <c r="C4763" s="4">
        <v>309</v>
      </c>
      <c r="D4763" s="29">
        <f t="shared" si="395"/>
        <v>13344</v>
      </c>
      <c r="E4763" s="4">
        <f>8+3+4+7</f>
        <v>22</v>
      </c>
      <c r="F4763" s="129">
        <f t="shared" si="396"/>
        <v>298</v>
      </c>
    </row>
    <row r="4764" spans="1:6" ht="15.75" thickBot="1" x14ac:dyDescent="0.3">
      <c r="A4764" s="140" t="s">
        <v>40</v>
      </c>
      <c r="B4764" s="53">
        <v>44091</v>
      </c>
      <c r="C4764" s="4">
        <v>15</v>
      </c>
      <c r="D4764" s="29">
        <f t="shared" si="395"/>
        <v>520</v>
      </c>
      <c r="F4764" s="129">
        <f t="shared" si="396"/>
        <v>4</v>
      </c>
    </row>
    <row r="4765" spans="1:6" ht="15.75" thickBot="1" x14ac:dyDescent="0.3">
      <c r="A4765" s="140" t="s">
        <v>28</v>
      </c>
      <c r="B4765" s="53">
        <v>44091</v>
      </c>
      <c r="C4765" s="4">
        <v>121</v>
      </c>
      <c r="D4765" s="29">
        <f t="shared" si="395"/>
        <v>3252</v>
      </c>
      <c r="E4765" s="4">
        <f>5+1</f>
        <v>6</v>
      </c>
      <c r="F4765" s="129">
        <f t="shared" si="396"/>
        <v>93</v>
      </c>
    </row>
    <row r="4766" spans="1:6" ht="15.75" thickBot="1" x14ac:dyDescent="0.3">
      <c r="A4766" s="140" t="s">
        <v>24</v>
      </c>
      <c r="B4766" s="53">
        <v>44091</v>
      </c>
      <c r="C4766" s="4">
        <v>566</v>
      </c>
      <c r="D4766" s="29">
        <f t="shared" si="395"/>
        <v>17009</v>
      </c>
      <c r="E4766" s="4">
        <f>1+1+3</f>
        <v>5</v>
      </c>
      <c r="F4766" s="129">
        <f t="shared" si="396"/>
        <v>164</v>
      </c>
    </row>
    <row r="4767" spans="1:6" ht="15.75" thickBot="1" x14ac:dyDescent="0.3">
      <c r="A4767" s="140" t="s">
        <v>30</v>
      </c>
      <c r="B4767" s="53">
        <v>44091</v>
      </c>
      <c r="C4767" s="4">
        <v>2</v>
      </c>
      <c r="D4767" s="29">
        <f t="shared" si="395"/>
        <v>65</v>
      </c>
      <c r="F4767" s="129">
        <f t="shared" si="396"/>
        <v>2</v>
      </c>
    </row>
    <row r="4768" spans="1:6" ht="15.75" thickBot="1" x14ac:dyDescent="0.3">
      <c r="A4768" s="14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29">
        <f t="shared" si="396"/>
        <v>61</v>
      </c>
    </row>
    <row r="4769" spans="1:6" ht="15.75" thickBot="1" x14ac:dyDescent="0.3">
      <c r="A4769" s="14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29">
        <f t="shared" si="396"/>
        <v>182</v>
      </c>
    </row>
    <row r="4770" spans="1:6" ht="15.75" thickBot="1" x14ac:dyDescent="0.3">
      <c r="A4770" s="14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29">
        <f>E4770+F4746</f>
        <v>116</v>
      </c>
    </row>
    <row r="4771" spans="1:6" ht="15.75" thickBot="1" x14ac:dyDescent="0.3">
      <c r="A4771" s="140" t="s">
        <v>42</v>
      </c>
      <c r="B4771" s="53">
        <v>44091</v>
      </c>
      <c r="C4771" s="4">
        <v>20</v>
      </c>
      <c r="D4771" s="29">
        <f t="shared" ref="D4771:D4777" si="397">C4771+D4747</f>
        <v>448</v>
      </c>
      <c r="F4771" s="129">
        <f>E4771+F4747</f>
        <v>14</v>
      </c>
    </row>
    <row r="4772" spans="1:6" ht="15.75" thickBot="1" x14ac:dyDescent="0.3">
      <c r="A4772" s="140" t="s">
        <v>43</v>
      </c>
      <c r="B4772" s="53">
        <v>44091</v>
      </c>
      <c r="C4772" s="4">
        <v>62</v>
      </c>
      <c r="D4772" s="29">
        <f t="shared" si="397"/>
        <v>570</v>
      </c>
      <c r="F4772" s="129">
        <f t="shared" si="396"/>
        <v>0</v>
      </c>
    </row>
    <row r="4773" spans="1:6" ht="15.75" thickBot="1" x14ac:dyDescent="0.3">
      <c r="A4773" s="140" t="s">
        <v>44</v>
      </c>
      <c r="B4773" s="53">
        <v>44091</v>
      </c>
      <c r="C4773" s="4">
        <v>86</v>
      </c>
      <c r="D4773" s="29">
        <f t="shared" si="397"/>
        <v>3362</v>
      </c>
      <c r="E4773" s="4">
        <f>3</f>
        <v>3</v>
      </c>
      <c r="F4773" s="129">
        <f>E4773+F4749</f>
        <v>42</v>
      </c>
    </row>
    <row r="4774" spans="1:6" ht="15.75" thickBot="1" x14ac:dyDescent="0.3">
      <c r="A4774" s="140" t="s">
        <v>29</v>
      </c>
      <c r="B4774" s="53">
        <v>44091</v>
      </c>
      <c r="C4774" s="4">
        <v>1362</v>
      </c>
      <c r="D4774" s="29">
        <f t="shared" si="397"/>
        <v>23034</v>
      </c>
      <c r="E4774" s="4">
        <f>3+2+8+3</f>
        <v>16</v>
      </c>
      <c r="F4774" s="129">
        <f>E4774+F4750</f>
        <v>252</v>
      </c>
    </row>
    <row r="4775" spans="1:6" ht="15.75" thickBot="1" x14ac:dyDescent="0.3">
      <c r="A4775" s="140" t="s">
        <v>45</v>
      </c>
      <c r="B4775" s="53">
        <v>44091</v>
      </c>
      <c r="C4775" s="4">
        <v>68</v>
      </c>
      <c r="D4775" s="29">
        <f t="shared" si="397"/>
        <v>2109</v>
      </c>
      <c r="E4775" s="4">
        <f>1+1</f>
        <v>2</v>
      </c>
      <c r="F4775" s="129">
        <f t="shared" si="396"/>
        <v>30</v>
      </c>
    </row>
    <row r="4776" spans="1:6" ht="15.75" thickBot="1" x14ac:dyDescent="0.3">
      <c r="A4776" s="140" t="s">
        <v>46</v>
      </c>
      <c r="B4776" s="53">
        <v>44091</v>
      </c>
      <c r="C4776" s="4">
        <v>49</v>
      </c>
      <c r="D4776" s="29">
        <f t="shared" si="397"/>
        <v>2950</v>
      </c>
      <c r="E4776" s="4">
        <f>1+1</f>
        <v>2</v>
      </c>
      <c r="F4776" s="129">
        <f>E4776+F4752</f>
        <v>52</v>
      </c>
    </row>
    <row r="4777" spans="1:6" ht="15.75" thickBot="1" x14ac:dyDescent="0.3">
      <c r="A4777" s="142" t="s">
        <v>47</v>
      </c>
      <c r="B4777" s="46">
        <v>44091</v>
      </c>
      <c r="C4777" s="47">
        <v>435</v>
      </c>
      <c r="D4777" s="85">
        <f t="shared" si="397"/>
        <v>8610</v>
      </c>
      <c r="E4777" s="47">
        <f>3+2+2</f>
        <v>7</v>
      </c>
      <c r="F4777" s="139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1">
        <f>C4778+D4754</f>
        <v>360758</v>
      </c>
      <c r="E4778" s="50">
        <f>5+5+45+37</f>
        <v>92</v>
      </c>
      <c r="F4778" s="128">
        <f>E4778+F4754</f>
        <v>7578</v>
      </c>
    </row>
    <row r="4779" spans="1:6" x14ac:dyDescent="0.25">
      <c r="A4779" s="140" t="s">
        <v>20</v>
      </c>
      <c r="B4779" s="26">
        <v>44092</v>
      </c>
      <c r="C4779" s="4">
        <v>1070</v>
      </c>
      <c r="D4779" s="29">
        <f t="shared" ref="D4779:D4791" si="398">C4779+D4755</f>
        <v>115895</v>
      </c>
      <c r="E4779" s="4">
        <f>1+14+14</f>
        <v>29</v>
      </c>
      <c r="F4779" s="129">
        <f>E4779+F4755</f>
        <v>2833</v>
      </c>
    </row>
    <row r="4780" spans="1:6" x14ac:dyDescent="0.25">
      <c r="A4780" s="140" t="s">
        <v>35</v>
      </c>
      <c r="B4780" s="26">
        <v>44092</v>
      </c>
      <c r="C4780" s="4">
        <v>6</v>
      </c>
      <c r="D4780" s="29">
        <f t="shared" si="398"/>
        <v>183</v>
      </c>
      <c r="F4780" s="129">
        <f>E4780+F4756</f>
        <v>0</v>
      </c>
    </row>
    <row r="4781" spans="1:6" x14ac:dyDescent="0.25">
      <c r="A4781" s="140" t="s">
        <v>21</v>
      </c>
      <c r="B4781" s="26">
        <v>44092</v>
      </c>
      <c r="C4781" s="4">
        <v>104</v>
      </c>
      <c r="D4781" s="29">
        <f t="shared" si="398"/>
        <v>7213</v>
      </c>
      <c r="E4781" s="4">
        <f>1+2+1</f>
        <v>4</v>
      </c>
      <c r="F4781" s="129">
        <f t="shared" ref="F4781:F4799" si="399">E4781+F4757</f>
        <v>250</v>
      </c>
    </row>
    <row r="4782" spans="1:6" x14ac:dyDescent="0.25">
      <c r="A4782" s="140" t="s">
        <v>36</v>
      </c>
      <c r="B4782" s="26">
        <v>44092</v>
      </c>
      <c r="C4782" s="4">
        <v>56</v>
      </c>
      <c r="D4782" s="29">
        <f t="shared" si="398"/>
        <v>2100</v>
      </c>
      <c r="E4782" s="4">
        <f>1</f>
        <v>1</v>
      </c>
      <c r="F4782" s="129">
        <f t="shared" si="399"/>
        <v>25</v>
      </c>
    </row>
    <row r="4783" spans="1:6" x14ac:dyDescent="0.25">
      <c r="A4783" s="140" t="s">
        <v>27</v>
      </c>
      <c r="B4783" s="26">
        <v>44092</v>
      </c>
      <c r="C4783" s="4">
        <v>716</v>
      </c>
      <c r="D4783" s="29">
        <f t="shared" si="398"/>
        <v>17857</v>
      </c>
      <c r="E4783" s="4">
        <f>1+1+5+3</f>
        <v>10</v>
      </c>
      <c r="F4783" s="129">
        <f t="shared" si="399"/>
        <v>238</v>
      </c>
    </row>
    <row r="4784" spans="1:6" x14ac:dyDescent="0.25">
      <c r="A4784" s="140" t="s">
        <v>37</v>
      </c>
      <c r="B4784" s="26">
        <v>44092</v>
      </c>
      <c r="C4784" s="4">
        <v>35</v>
      </c>
      <c r="D4784" s="29">
        <f t="shared" si="398"/>
        <v>903</v>
      </c>
      <c r="F4784" s="129">
        <f>E4784+F4760</f>
        <v>6</v>
      </c>
    </row>
    <row r="4785" spans="1:6" x14ac:dyDescent="0.25">
      <c r="A4785" s="140" t="s">
        <v>38</v>
      </c>
      <c r="B4785" s="26">
        <v>44092</v>
      </c>
      <c r="C4785" s="4">
        <v>181</v>
      </c>
      <c r="D4785" s="29">
        <f t="shared" si="398"/>
        <v>5955</v>
      </c>
      <c r="E4785" s="4">
        <f>1+1</f>
        <v>2</v>
      </c>
      <c r="F4785" s="129">
        <f>E4785+F4761</f>
        <v>104</v>
      </c>
    </row>
    <row r="4786" spans="1:6" x14ac:dyDescent="0.25">
      <c r="A4786" s="140" t="s">
        <v>48</v>
      </c>
      <c r="B4786" s="26">
        <v>44092</v>
      </c>
      <c r="C4786" s="4">
        <v>-1</v>
      </c>
      <c r="D4786" s="29">
        <f t="shared" si="398"/>
        <v>92</v>
      </c>
      <c r="F4786" s="129">
        <f>E4786+F4762</f>
        <v>1</v>
      </c>
    </row>
    <row r="4787" spans="1:6" x14ac:dyDescent="0.25">
      <c r="A4787" s="140" t="s">
        <v>39</v>
      </c>
      <c r="B4787" s="26">
        <v>44092</v>
      </c>
      <c r="C4787" s="4">
        <v>256</v>
      </c>
      <c r="D4787" s="29">
        <f t="shared" si="398"/>
        <v>13600</v>
      </c>
      <c r="F4787" s="129">
        <f t="shared" si="399"/>
        <v>298</v>
      </c>
    </row>
    <row r="4788" spans="1:6" x14ac:dyDescent="0.25">
      <c r="A4788" s="140" t="s">
        <v>40</v>
      </c>
      <c r="B4788" s="26">
        <v>44092</v>
      </c>
      <c r="C4788" s="4">
        <v>14</v>
      </c>
      <c r="D4788" s="29">
        <f t="shared" si="398"/>
        <v>534</v>
      </c>
      <c r="F4788" s="129">
        <f t="shared" si="399"/>
        <v>4</v>
      </c>
    </row>
    <row r="4789" spans="1:6" x14ac:dyDescent="0.25">
      <c r="A4789" s="140" t="s">
        <v>28</v>
      </c>
      <c r="B4789" s="26">
        <v>44092</v>
      </c>
      <c r="C4789" s="4">
        <v>152</v>
      </c>
      <c r="D4789" s="29">
        <f t="shared" si="398"/>
        <v>3404</v>
      </c>
      <c r="E4789" s="4">
        <f>5</f>
        <v>5</v>
      </c>
      <c r="F4789" s="129">
        <f t="shared" si="399"/>
        <v>98</v>
      </c>
    </row>
    <row r="4790" spans="1:6" x14ac:dyDescent="0.25">
      <c r="A4790" s="140" t="s">
        <v>24</v>
      </c>
      <c r="B4790" s="26">
        <v>44092</v>
      </c>
      <c r="C4790" s="4">
        <v>578</v>
      </c>
      <c r="D4790" s="29">
        <f t="shared" si="398"/>
        <v>17587</v>
      </c>
      <c r="E4790" s="4">
        <f>3+2</f>
        <v>5</v>
      </c>
      <c r="F4790" s="129">
        <f t="shared" si="399"/>
        <v>169</v>
      </c>
    </row>
    <row r="4791" spans="1:6" x14ac:dyDescent="0.25">
      <c r="A4791" s="140" t="s">
        <v>30</v>
      </c>
      <c r="B4791" s="26">
        <v>44092</v>
      </c>
      <c r="C4791" s="4">
        <v>3</v>
      </c>
      <c r="D4791" s="29">
        <f t="shared" si="398"/>
        <v>68</v>
      </c>
      <c r="F4791" s="129">
        <f t="shared" si="399"/>
        <v>2</v>
      </c>
    </row>
    <row r="4792" spans="1:6" x14ac:dyDescent="0.25">
      <c r="A4792" s="14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29">
        <f t="shared" si="399"/>
        <v>67</v>
      </c>
    </row>
    <row r="4793" spans="1:6" x14ac:dyDescent="0.25">
      <c r="A4793" s="14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29">
        <f t="shared" si="399"/>
        <v>188</v>
      </c>
    </row>
    <row r="4794" spans="1:6" x14ac:dyDescent="0.25">
      <c r="A4794" s="14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29">
        <f>E4794+F4770</f>
        <v>134</v>
      </c>
    </row>
    <row r="4795" spans="1:6" x14ac:dyDescent="0.25">
      <c r="A4795" s="140" t="s">
        <v>42</v>
      </c>
      <c r="B4795" s="26">
        <v>44092</v>
      </c>
      <c r="C4795" s="4">
        <v>15</v>
      </c>
      <c r="D4795" s="29">
        <f t="shared" ref="D4795:D4801" si="400">C4795+D4771</f>
        <v>463</v>
      </c>
      <c r="E4795" s="4">
        <f>4+2</f>
        <v>6</v>
      </c>
      <c r="F4795" s="129">
        <f>E4795+F4771</f>
        <v>20</v>
      </c>
    </row>
    <row r="4796" spans="1:6" x14ac:dyDescent="0.25">
      <c r="A4796" s="140" t="s">
        <v>43</v>
      </c>
      <c r="B4796" s="26">
        <v>44092</v>
      </c>
      <c r="C4796" s="4">
        <v>78</v>
      </c>
      <c r="D4796" s="29">
        <f t="shared" si="400"/>
        <v>648</v>
      </c>
      <c r="F4796" s="129">
        <f t="shared" si="399"/>
        <v>0</v>
      </c>
    </row>
    <row r="4797" spans="1:6" x14ac:dyDescent="0.25">
      <c r="A4797" s="140" t="s">
        <v>44</v>
      </c>
      <c r="B4797" s="26">
        <v>44092</v>
      </c>
      <c r="C4797" s="4">
        <v>107</v>
      </c>
      <c r="D4797" s="29">
        <f t="shared" si="400"/>
        <v>3469</v>
      </c>
      <c r="E4797" s="4">
        <f>1+1</f>
        <v>2</v>
      </c>
      <c r="F4797" s="129">
        <f>E4797+F4773</f>
        <v>44</v>
      </c>
    </row>
    <row r="4798" spans="1:6" x14ac:dyDescent="0.25">
      <c r="A4798" s="140" t="s">
        <v>29</v>
      </c>
      <c r="B4798" s="26">
        <v>44092</v>
      </c>
      <c r="C4798" s="4">
        <v>1347</v>
      </c>
      <c r="D4798" s="29">
        <f t="shared" si="400"/>
        <v>24381</v>
      </c>
      <c r="E4798" s="4">
        <f>1+1+2+6</f>
        <v>10</v>
      </c>
      <c r="F4798" s="129">
        <f>E4798+F4774</f>
        <v>262</v>
      </c>
    </row>
    <row r="4799" spans="1:6" x14ac:dyDescent="0.25">
      <c r="A4799" s="140" t="s">
        <v>45</v>
      </c>
      <c r="B4799" s="26">
        <v>44092</v>
      </c>
      <c r="C4799" s="4">
        <v>137</v>
      </c>
      <c r="D4799" s="29">
        <f t="shared" si="400"/>
        <v>2246</v>
      </c>
      <c r="F4799" s="129">
        <f t="shared" si="399"/>
        <v>30</v>
      </c>
    </row>
    <row r="4800" spans="1:6" x14ac:dyDescent="0.25">
      <c r="A4800" s="140" t="s">
        <v>46</v>
      </c>
      <c r="B4800" s="26">
        <v>44092</v>
      </c>
      <c r="C4800" s="4">
        <v>70</v>
      </c>
      <c r="D4800" s="29">
        <f t="shared" si="400"/>
        <v>3020</v>
      </c>
      <c r="E4800" s="4">
        <f>1</f>
        <v>1</v>
      </c>
      <c r="F4800" s="129">
        <f>E4800+F4776</f>
        <v>53</v>
      </c>
    </row>
    <row r="4801" spans="1:6" ht="15.75" thickBot="1" x14ac:dyDescent="0.3">
      <c r="A4801" s="141" t="s">
        <v>47</v>
      </c>
      <c r="B4801" s="53">
        <v>44092</v>
      </c>
      <c r="C4801" s="54">
        <v>496</v>
      </c>
      <c r="D4801" s="132">
        <f t="shared" si="400"/>
        <v>9106</v>
      </c>
      <c r="E4801" s="54"/>
      <c r="F4801" s="130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1">
        <f>C4802+D4778</f>
        <v>364635</v>
      </c>
      <c r="E4802" s="48">
        <f>10+14+13+19</f>
        <v>56</v>
      </c>
      <c r="F4802" s="128">
        <f>E4802+F4778</f>
        <v>7634</v>
      </c>
    </row>
    <row r="4803" spans="1:6" ht="15.75" thickBot="1" x14ac:dyDescent="0.3">
      <c r="A4803" s="140" t="s">
        <v>20</v>
      </c>
      <c r="B4803" s="53">
        <v>44093</v>
      </c>
      <c r="C4803" s="4">
        <v>683</v>
      </c>
      <c r="D4803" s="29">
        <f t="shared" ref="D4803:D4815" si="401">C4803+D4779</f>
        <v>116578</v>
      </c>
      <c r="E4803" s="4">
        <f>4+4+2</f>
        <v>10</v>
      </c>
      <c r="F4803" s="129">
        <f>E4803+F4779</f>
        <v>2843</v>
      </c>
    </row>
    <row r="4804" spans="1:6" ht="15.75" thickBot="1" x14ac:dyDescent="0.3">
      <c r="A4804" s="140" t="s">
        <v>35</v>
      </c>
      <c r="B4804" s="53">
        <v>44093</v>
      </c>
      <c r="C4804" s="4">
        <v>7</v>
      </c>
      <c r="D4804" s="29">
        <f t="shared" si="401"/>
        <v>190</v>
      </c>
      <c r="F4804" s="129">
        <f>E4804+F4780</f>
        <v>0</v>
      </c>
    </row>
    <row r="4805" spans="1:6" ht="15.75" thickBot="1" x14ac:dyDescent="0.3">
      <c r="A4805" s="140" t="s">
        <v>21</v>
      </c>
      <c r="B4805" s="53">
        <v>44093</v>
      </c>
      <c r="C4805" s="4">
        <v>132</v>
      </c>
      <c r="D4805" s="29">
        <f t="shared" si="401"/>
        <v>7345</v>
      </c>
      <c r="E4805" s="4">
        <f>1</f>
        <v>1</v>
      </c>
      <c r="F4805" s="129">
        <f t="shared" ref="F4805:F4823" si="402">E4805+F4781</f>
        <v>251</v>
      </c>
    </row>
    <row r="4806" spans="1:6" ht="15.75" thickBot="1" x14ac:dyDescent="0.3">
      <c r="A4806" s="140" t="s">
        <v>36</v>
      </c>
      <c r="B4806" s="53">
        <v>44093</v>
      </c>
      <c r="C4806" s="4">
        <v>81</v>
      </c>
      <c r="D4806" s="29">
        <f t="shared" si="401"/>
        <v>2181</v>
      </c>
      <c r="F4806" s="129">
        <f t="shared" si="402"/>
        <v>25</v>
      </c>
    </row>
    <row r="4807" spans="1:6" ht="15.75" thickBot="1" x14ac:dyDescent="0.3">
      <c r="A4807" s="140" t="s">
        <v>27</v>
      </c>
      <c r="B4807" s="53">
        <v>44093</v>
      </c>
      <c r="C4807" s="4">
        <v>751</v>
      </c>
      <c r="D4807" s="29">
        <f t="shared" si="401"/>
        <v>18608</v>
      </c>
      <c r="E4807" s="4">
        <f>1+1+7</f>
        <v>9</v>
      </c>
      <c r="F4807" s="129">
        <f t="shared" si="402"/>
        <v>247</v>
      </c>
    </row>
    <row r="4808" spans="1:6" ht="15.75" thickBot="1" x14ac:dyDescent="0.3">
      <c r="A4808" s="140" t="s">
        <v>37</v>
      </c>
      <c r="B4808" s="53">
        <v>44093</v>
      </c>
      <c r="C4808" s="4">
        <v>37</v>
      </c>
      <c r="D4808" s="29">
        <f t="shared" si="401"/>
        <v>940</v>
      </c>
      <c r="E4808" s="4">
        <f>5</f>
        <v>5</v>
      </c>
      <c r="F4808" s="129">
        <f>E4808+F4784</f>
        <v>11</v>
      </c>
    </row>
    <row r="4809" spans="1:6" ht="15.75" thickBot="1" x14ac:dyDescent="0.3">
      <c r="A4809" s="140" t="s">
        <v>38</v>
      </c>
      <c r="B4809" s="53">
        <v>44093</v>
      </c>
      <c r="C4809" s="4">
        <v>149</v>
      </c>
      <c r="D4809" s="29">
        <f t="shared" si="401"/>
        <v>6104</v>
      </c>
      <c r="E4809" s="4">
        <f>1+1</f>
        <v>2</v>
      </c>
      <c r="F4809" s="129">
        <f>E4809+F4785</f>
        <v>106</v>
      </c>
    </row>
    <row r="4810" spans="1:6" ht="15.75" thickBot="1" x14ac:dyDescent="0.3">
      <c r="A4810" s="140" t="s">
        <v>48</v>
      </c>
      <c r="B4810" s="53">
        <v>44093</v>
      </c>
      <c r="C4810" s="4">
        <v>9</v>
      </c>
      <c r="D4810" s="29">
        <f t="shared" si="401"/>
        <v>101</v>
      </c>
      <c r="F4810" s="129">
        <f>E4810+F4786</f>
        <v>1</v>
      </c>
    </row>
    <row r="4811" spans="1:6" ht="15.75" thickBot="1" x14ac:dyDescent="0.3">
      <c r="A4811" s="140" t="s">
        <v>39</v>
      </c>
      <c r="B4811" s="53">
        <v>44093</v>
      </c>
      <c r="C4811" s="4">
        <v>295</v>
      </c>
      <c r="D4811" s="29">
        <f t="shared" si="401"/>
        <v>13895</v>
      </c>
      <c r="E4811" s="4">
        <f>5+3</f>
        <v>8</v>
      </c>
      <c r="F4811" s="129">
        <f t="shared" si="402"/>
        <v>306</v>
      </c>
    </row>
    <row r="4812" spans="1:6" ht="15.75" thickBot="1" x14ac:dyDescent="0.3">
      <c r="A4812" s="140" t="s">
        <v>40</v>
      </c>
      <c r="B4812" s="53">
        <v>44093</v>
      </c>
      <c r="C4812" s="4">
        <v>13</v>
      </c>
      <c r="D4812" s="29">
        <f t="shared" si="401"/>
        <v>547</v>
      </c>
      <c r="F4812" s="129">
        <f t="shared" si="402"/>
        <v>4</v>
      </c>
    </row>
    <row r="4813" spans="1:6" ht="15.75" thickBot="1" x14ac:dyDescent="0.3">
      <c r="A4813" s="140" t="s">
        <v>28</v>
      </c>
      <c r="B4813" s="53">
        <v>44093</v>
      </c>
      <c r="C4813" s="4">
        <v>86</v>
      </c>
      <c r="D4813" s="29">
        <f t="shared" si="401"/>
        <v>3490</v>
      </c>
      <c r="F4813" s="129">
        <f t="shared" si="402"/>
        <v>98</v>
      </c>
    </row>
    <row r="4814" spans="1:6" ht="15.75" thickBot="1" x14ac:dyDescent="0.3">
      <c r="A4814" s="140" t="s">
        <v>24</v>
      </c>
      <c r="B4814" s="53">
        <v>44093</v>
      </c>
      <c r="C4814" s="4">
        <v>673</v>
      </c>
      <c r="D4814" s="29">
        <f t="shared" si="401"/>
        <v>18260</v>
      </c>
      <c r="E4814" s="4">
        <f>1+1</f>
        <v>2</v>
      </c>
      <c r="F4814" s="129">
        <f t="shared" si="402"/>
        <v>171</v>
      </c>
    </row>
    <row r="4815" spans="1:6" ht="15.75" thickBot="1" x14ac:dyDescent="0.3">
      <c r="A4815" s="140" t="s">
        <v>30</v>
      </c>
      <c r="B4815" s="53">
        <v>44093</v>
      </c>
      <c r="C4815" s="4">
        <v>1</v>
      </c>
      <c r="D4815" s="29">
        <f t="shared" si="401"/>
        <v>69</v>
      </c>
      <c r="F4815" s="129">
        <f t="shared" si="402"/>
        <v>2</v>
      </c>
    </row>
    <row r="4816" spans="1:6" ht="15.75" thickBot="1" x14ac:dyDescent="0.3">
      <c r="A4816" s="14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29">
        <f t="shared" si="402"/>
        <v>70</v>
      </c>
    </row>
    <row r="4817" spans="1:6" ht="15.75" thickBot="1" x14ac:dyDescent="0.3">
      <c r="A4817" s="14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29">
        <f t="shared" si="402"/>
        <v>195</v>
      </c>
    </row>
    <row r="4818" spans="1:6" ht="15.75" thickBot="1" x14ac:dyDescent="0.3">
      <c r="A4818" s="14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29">
        <f>E4818+F4794</f>
        <v>155</v>
      </c>
    </row>
    <row r="4819" spans="1:6" ht="15.75" thickBot="1" x14ac:dyDescent="0.3">
      <c r="A4819" s="140" t="s">
        <v>42</v>
      </c>
      <c r="B4819" s="53">
        <v>44093</v>
      </c>
      <c r="C4819" s="4">
        <v>1</v>
      </c>
      <c r="D4819" s="29">
        <f t="shared" ref="D4819:D4825" si="403">C4819+D4795</f>
        <v>464</v>
      </c>
      <c r="E4819" s="4">
        <f>1</f>
        <v>1</v>
      </c>
      <c r="F4819" s="129">
        <f>E4819+F4795</f>
        <v>21</v>
      </c>
    </row>
    <row r="4820" spans="1:6" ht="15.75" thickBot="1" x14ac:dyDescent="0.3">
      <c r="A4820" s="140" t="s">
        <v>43</v>
      </c>
      <c r="B4820" s="53">
        <v>44093</v>
      </c>
      <c r="C4820" s="4">
        <v>24</v>
      </c>
      <c r="D4820" s="29">
        <f t="shared" si="403"/>
        <v>672</v>
      </c>
      <c r="F4820" s="129">
        <f t="shared" si="402"/>
        <v>0</v>
      </c>
    </row>
    <row r="4821" spans="1:6" ht="15.75" thickBot="1" x14ac:dyDescent="0.3">
      <c r="A4821" s="140" t="s">
        <v>44</v>
      </c>
      <c r="B4821" s="53">
        <v>44093</v>
      </c>
      <c r="C4821" s="4">
        <v>195</v>
      </c>
      <c r="D4821" s="29">
        <f t="shared" si="403"/>
        <v>3664</v>
      </c>
      <c r="F4821" s="129">
        <f>E4821+F4797</f>
        <v>44</v>
      </c>
    </row>
    <row r="4822" spans="1:6" ht="15.75" thickBot="1" x14ac:dyDescent="0.3">
      <c r="A4822" s="140" t="s">
        <v>29</v>
      </c>
      <c r="B4822" s="53">
        <v>44093</v>
      </c>
      <c r="C4822" s="4">
        <v>1137</v>
      </c>
      <c r="D4822" s="29">
        <f t="shared" si="403"/>
        <v>25518</v>
      </c>
      <c r="E4822" s="4">
        <f>3+1</f>
        <v>4</v>
      </c>
      <c r="F4822" s="129">
        <f>E4822+F4798</f>
        <v>266</v>
      </c>
    </row>
    <row r="4823" spans="1:6" ht="15.75" thickBot="1" x14ac:dyDescent="0.3">
      <c r="A4823" s="140" t="s">
        <v>45</v>
      </c>
      <c r="B4823" s="53">
        <v>44093</v>
      </c>
      <c r="C4823" s="4">
        <v>56</v>
      </c>
      <c r="D4823" s="29">
        <f t="shared" si="403"/>
        <v>2302</v>
      </c>
      <c r="F4823" s="129">
        <f t="shared" si="402"/>
        <v>30</v>
      </c>
    </row>
    <row r="4824" spans="1:6" ht="15.75" thickBot="1" x14ac:dyDescent="0.3">
      <c r="A4824" s="140" t="s">
        <v>46</v>
      </c>
      <c r="B4824" s="53">
        <v>44093</v>
      </c>
      <c r="C4824" s="4">
        <v>98</v>
      </c>
      <c r="D4824" s="29">
        <f t="shared" si="403"/>
        <v>3118</v>
      </c>
      <c r="F4824" s="129">
        <f>E4824+F4800</f>
        <v>53</v>
      </c>
    </row>
    <row r="4825" spans="1:6" ht="15.75" thickBot="1" x14ac:dyDescent="0.3">
      <c r="A4825" s="141" t="s">
        <v>47</v>
      </c>
      <c r="B4825" s="53">
        <v>44093</v>
      </c>
      <c r="C4825" s="4">
        <v>147</v>
      </c>
      <c r="D4825" s="132">
        <f t="shared" si="403"/>
        <v>9253</v>
      </c>
      <c r="E4825" s="4">
        <f>1+7+6</f>
        <v>14</v>
      </c>
      <c r="F4825" s="130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1">
        <f>C4826+D4802</f>
        <v>368280</v>
      </c>
      <c r="E4826" s="4">
        <f>16+19+47+35+1</f>
        <v>118</v>
      </c>
      <c r="F4826" s="128">
        <f>E4826+F4802</f>
        <v>7752</v>
      </c>
    </row>
    <row r="4827" spans="1:6" ht="15.75" thickBot="1" x14ac:dyDescent="0.3">
      <c r="A4827" s="140" t="s">
        <v>20</v>
      </c>
      <c r="B4827" s="53">
        <v>44094</v>
      </c>
      <c r="C4827" s="4">
        <v>696</v>
      </c>
      <c r="D4827" s="29">
        <f t="shared" ref="D4827:D4839" si="404">C4827+D4803</f>
        <v>117274</v>
      </c>
      <c r="E4827" s="4">
        <f>1+3+3+2</f>
        <v>9</v>
      </c>
      <c r="F4827" s="129">
        <f>E4827+F4803</f>
        <v>2852</v>
      </c>
    </row>
    <row r="4828" spans="1:6" ht="15.75" thickBot="1" x14ac:dyDescent="0.3">
      <c r="A4828" s="140" t="s">
        <v>35</v>
      </c>
      <c r="B4828" s="53">
        <v>44094</v>
      </c>
      <c r="C4828" s="4">
        <v>1</v>
      </c>
      <c r="D4828" s="29">
        <f t="shared" si="404"/>
        <v>191</v>
      </c>
      <c r="F4828" s="129">
        <f>E4828+F4804</f>
        <v>0</v>
      </c>
    </row>
    <row r="4829" spans="1:6" ht="15.75" thickBot="1" x14ac:dyDescent="0.3">
      <c r="A4829" s="140" t="s">
        <v>21</v>
      </c>
      <c r="B4829" s="53">
        <v>44094</v>
      </c>
      <c r="C4829" s="4">
        <v>65</v>
      </c>
      <c r="D4829" s="29">
        <f t="shared" si="404"/>
        <v>7410</v>
      </c>
      <c r="E4829" s="4">
        <f>1+1+2</f>
        <v>4</v>
      </c>
      <c r="F4829" s="129">
        <f t="shared" ref="F4829:F4847" si="405">E4829+F4805</f>
        <v>255</v>
      </c>
    </row>
    <row r="4830" spans="1:6" ht="15.75" thickBot="1" x14ac:dyDescent="0.3">
      <c r="A4830" s="140" t="s">
        <v>36</v>
      </c>
      <c r="B4830" s="53">
        <v>44094</v>
      </c>
      <c r="C4830" s="4">
        <v>126</v>
      </c>
      <c r="D4830" s="29">
        <f t="shared" si="404"/>
        <v>2307</v>
      </c>
      <c r="F4830" s="129">
        <f t="shared" si="405"/>
        <v>25</v>
      </c>
    </row>
    <row r="4831" spans="1:6" ht="15.75" thickBot="1" x14ac:dyDescent="0.3">
      <c r="A4831" s="140" t="s">
        <v>27</v>
      </c>
      <c r="B4831" s="53">
        <v>44094</v>
      </c>
      <c r="C4831" s="4">
        <v>600</v>
      </c>
      <c r="D4831" s="29">
        <f t="shared" si="404"/>
        <v>19208</v>
      </c>
      <c r="E4831" s="4">
        <f>5+3</f>
        <v>8</v>
      </c>
      <c r="F4831" s="129">
        <f t="shared" si="405"/>
        <v>255</v>
      </c>
    </row>
    <row r="4832" spans="1:6" ht="15.75" thickBot="1" x14ac:dyDescent="0.3">
      <c r="A4832" s="140" t="s">
        <v>37</v>
      </c>
      <c r="B4832" s="53">
        <v>44094</v>
      </c>
      <c r="C4832" s="4">
        <v>28</v>
      </c>
      <c r="D4832" s="29">
        <f t="shared" si="404"/>
        <v>968</v>
      </c>
      <c r="E4832" s="4">
        <f>1+2</f>
        <v>3</v>
      </c>
      <c r="F4832" s="129">
        <f>E4832+F4808</f>
        <v>14</v>
      </c>
    </row>
    <row r="4833" spans="1:6" ht="15.75" thickBot="1" x14ac:dyDescent="0.3">
      <c r="A4833" s="140" t="s">
        <v>38</v>
      </c>
      <c r="B4833" s="53">
        <v>44094</v>
      </c>
      <c r="C4833" s="4">
        <v>102</v>
      </c>
      <c r="D4833" s="29">
        <f t="shared" si="404"/>
        <v>6206</v>
      </c>
      <c r="E4833" s="4">
        <f>2</f>
        <v>2</v>
      </c>
      <c r="F4833" s="129">
        <f>E4833+F4809</f>
        <v>108</v>
      </c>
    </row>
    <row r="4834" spans="1:6" ht="15.75" thickBot="1" x14ac:dyDescent="0.3">
      <c r="A4834" s="140" t="s">
        <v>48</v>
      </c>
      <c r="B4834" s="53">
        <v>44094</v>
      </c>
      <c r="C4834" s="4">
        <v>0</v>
      </c>
      <c r="D4834" s="29">
        <f t="shared" si="404"/>
        <v>101</v>
      </c>
      <c r="F4834" s="129">
        <f>E4834+F4810</f>
        <v>1</v>
      </c>
    </row>
    <row r="4835" spans="1:6" ht="15.75" thickBot="1" x14ac:dyDescent="0.3">
      <c r="A4835" s="140" t="s">
        <v>39</v>
      </c>
      <c r="B4835" s="53">
        <v>44094</v>
      </c>
      <c r="C4835" s="4">
        <v>255</v>
      </c>
      <c r="D4835" s="29">
        <f t="shared" si="404"/>
        <v>14150</v>
      </c>
      <c r="E4835" s="4">
        <f>7+7+5+1+1</f>
        <v>21</v>
      </c>
      <c r="F4835" s="129">
        <f t="shared" si="405"/>
        <v>327</v>
      </c>
    </row>
    <row r="4836" spans="1:6" ht="15.75" thickBot="1" x14ac:dyDescent="0.3">
      <c r="A4836" s="140" t="s">
        <v>40</v>
      </c>
      <c r="B4836" s="53">
        <v>44094</v>
      </c>
      <c r="C4836" s="4">
        <v>21</v>
      </c>
      <c r="D4836" s="29">
        <f t="shared" si="404"/>
        <v>568</v>
      </c>
      <c r="F4836" s="129">
        <f t="shared" si="405"/>
        <v>4</v>
      </c>
    </row>
    <row r="4837" spans="1:6" ht="15.75" thickBot="1" x14ac:dyDescent="0.3">
      <c r="A4837" s="140" t="s">
        <v>28</v>
      </c>
      <c r="B4837" s="53">
        <v>44094</v>
      </c>
      <c r="C4837" s="4">
        <v>260</v>
      </c>
      <c r="D4837" s="29">
        <f t="shared" si="404"/>
        <v>3750</v>
      </c>
      <c r="E4837" s="4">
        <f>1</f>
        <v>1</v>
      </c>
      <c r="F4837" s="129">
        <f t="shared" si="405"/>
        <v>99</v>
      </c>
    </row>
    <row r="4838" spans="1:6" ht="15.75" thickBot="1" x14ac:dyDescent="0.3">
      <c r="A4838" s="140" t="s">
        <v>24</v>
      </c>
      <c r="B4838" s="53">
        <v>44094</v>
      </c>
      <c r="C4838" s="4">
        <v>590</v>
      </c>
      <c r="D4838" s="29">
        <f t="shared" si="404"/>
        <v>18850</v>
      </c>
      <c r="E4838" s="4">
        <f>2+2+2+2</f>
        <v>8</v>
      </c>
      <c r="F4838" s="129">
        <f t="shared" si="405"/>
        <v>179</v>
      </c>
    </row>
    <row r="4839" spans="1:6" ht="15.75" thickBot="1" x14ac:dyDescent="0.3">
      <c r="A4839" s="140" t="s">
        <v>30</v>
      </c>
      <c r="B4839" s="53">
        <v>44094</v>
      </c>
      <c r="C4839" s="4">
        <v>1</v>
      </c>
      <c r="D4839" s="29">
        <f t="shared" si="404"/>
        <v>70</v>
      </c>
      <c r="F4839" s="129">
        <f t="shared" si="405"/>
        <v>2</v>
      </c>
    </row>
    <row r="4840" spans="1:6" ht="15.75" thickBot="1" x14ac:dyDescent="0.3">
      <c r="A4840" s="14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29">
        <f t="shared" si="405"/>
        <v>73</v>
      </c>
    </row>
    <row r="4841" spans="1:6" ht="15.75" thickBot="1" x14ac:dyDescent="0.3">
      <c r="A4841" s="140" t="s">
        <v>25</v>
      </c>
      <c r="B4841" s="53">
        <v>44094</v>
      </c>
      <c r="C4841" s="4">
        <v>132</v>
      </c>
      <c r="D4841" s="29">
        <f>C4841+D4817</f>
        <v>10346</v>
      </c>
      <c r="F4841" s="129">
        <f t="shared" si="405"/>
        <v>195</v>
      </c>
    </row>
    <row r="4842" spans="1:6" ht="15.75" thickBot="1" x14ac:dyDescent="0.3">
      <c r="A4842" s="14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29">
        <f>E4842+F4818</f>
        <v>171</v>
      </c>
    </row>
    <row r="4843" spans="1:6" ht="15.75" thickBot="1" x14ac:dyDescent="0.3">
      <c r="A4843" s="140" t="s">
        <v>42</v>
      </c>
      <c r="B4843" s="53">
        <v>44094</v>
      </c>
      <c r="C4843" s="4">
        <v>8</v>
      </c>
      <c r="D4843" s="29">
        <f t="shared" ref="D4843:D4849" si="406">C4843+D4819</f>
        <v>472</v>
      </c>
      <c r="F4843" s="129">
        <f>E4843+F4819</f>
        <v>21</v>
      </c>
    </row>
    <row r="4844" spans="1:6" ht="15.75" thickBot="1" x14ac:dyDescent="0.3">
      <c r="A4844" s="140" t="s">
        <v>43</v>
      </c>
      <c r="B4844" s="53">
        <v>44094</v>
      </c>
      <c r="C4844" s="4">
        <v>26</v>
      </c>
      <c r="D4844" s="29">
        <f t="shared" si="406"/>
        <v>698</v>
      </c>
      <c r="F4844" s="129">
        <f t="shared" si="405"/>
        <v>0</v>
      </c>
    </row>
    <row r="4845" spans="1:6" ht="15.75" thickBot="1" x14ac:dyDescent="0.3">
      <c r="A4845" s="140" t="s">
        <v>44</v>
      </c>
      <c r="B4845" s="53">
        <v>44094</v>
      </c>
      <c r="C4845" s="4">
        <v>83</v>
      </c>
      <c r="D4845" s="29">
        <f t="shared" si="406"/>
        <v>3747</v>
      </c>
      <c r="F4845" s="129">
        <f>E4845+F4821</f>
        <v>44</v>
      </c>
    </row>
    <row r="4846" spans="1:6" ht="15.75" thickBot="1" x14ac:dyDescent="0.3">
      <c r="A4846" s="140" t="s">
        <v>29</v>
      </c>
      <c r="B4846" s="53">
        <v>44094</v>
      </c>
      <c r="C4846" s="4">
        <v>877</v>
      </c>
      <c r="D4846" s="29">
        <f t="shared" si="406"/>
        <v>26395</v>
      </c>
      <c r="E4846" s="4">
        <f>1+1+3</f>
        <v>5</v>
      </c>
      <c r="F4846" s="129">
        <f>E4846+F4822</f>
        <v>271</v>
      </c>
    </row>
    <row r="4847" spans="1:6" ht="15.75" thickBot="1" x14ac:dyDescent="0.3">
      <c r="A4847" s="140" t="s">
        <v>45</v>
      </c>
      <c r="B4847" s="53">
        <v>44094</v>
      </c>
      <c r="C4847" s="4">
        <v>70</v>
      </c>
      <c r="D4847" s="29">
        <f t="shared" si="406"/>
        <v>2372</v>
      </c>
      <c r="E4847" s="4">
        <f>3+1+1</f>
        <v>5</v>
      </c>
      <c r="F4847" s="129">
        <f t="shared" si="405"/>
        <v>35</v>
      </c>
    </row>
    <row r="4848" spans="1:6" ht="15.75" thickBot="1" x14ac:dyDescent="0.3">
      <c r="A4848" s="140" t="s">
        <v>46</v>
      </c>
      <c r="B4848" s="53">
        <v>44094</v>
      </c>
      <c r="C4848" s="4">
        <v>79</v>
      </c>
      <c r="D4848" s="29">
        <f t="shared" si="406"/>
        <v>3197</v>
      </c>
      <c r="E4848" s="4">
        <f>1</f>
        <v>1</v>
      </c>
      <c r="F4848" s="129">
        <f>E4848+F4824</f>
        <v>54</v>
      </c>
    </row>
    <row r="4849" spans="1:6" ht="15.75" thickBot="1" x14ac:dyDescent="0.3">
      <c r="A4849" s="141" t="s">
        <v>47</v>
      </c>
      <c r="B4849" s="53">
        <v>44094</v>
      </c>
      <c r="C4849" s="4">
        <v>272</v>
      </c>
      <c r="D4849" s="132">
        <f t="shared" si="406"/>
        <v>9525</v>
      </c>
      <c r="E4849" s="4">
        <f>21+14+11+4</f>
        <v>50</v>
      </c>
      <c r="F4849" s="130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1">
        <f>C4850+D4826</f>
        <v>371980</v>
      </c>
      <c r="E4850" s="4">
        <v>275</v>
      </c>
      <c r="F4850" s="128">
        <f>E4850+F4826</f>
        <v>8027</v>
      </c>
    </row>
    <row r="4851" spans="1:6" ht="15.75" thickBot="1" x14ac:dyDescent="0.3">
      <c r="A4851" s="140" t="s">
        <v>20</v>
      </c>
      <c r="B4851" s="53">
        <v>44095</v>
      </c>
      <c r="C4851" s="4">
        <v>678</v>
      </c>
      <c r="D4851" s="29">
        <f t="shared" ref="D4851:D4863" si="407">C4851+D4827</f>
        <v>117952</v>
      </c>
      <c r="E4851" s="4">
        <v>29</v>
      </c>
      <c r="F4851" s="129">
        <f>E4851+F4827</f>
        <v>2881</v>
      </c>
    </row>
    <row r="4852" spans="1:6" ht="15.75" thickBot="1" x14ac:dyDescent="0.3">
      <c r="A4852" s="140" t="s">
        <v>35</v>
      </c>
      <c r="B4852" s="53">
        <v>44095</v>
      </c>
      <c r="C4852" s="4">
        <v>1</v>
      </c>
      <c r="D4852" s="29">
        <f t="shared" si="407"/>
        <v>192</v>
      </c>
      <c r="F4852" s="129">
        <f>E4852+F4828</f>
        <v>0</v>
      </c>
    </row>
    <row r="4853" spans="1:6" ht="15.75" thickBot="1" x14ac:dyDescent="0.3">
      <c r="A4853" s="140" t="s">
        <v>21</v>
      </c>
      <c r="B4853" s="53">
        <v>44095</v>
      </c>
      <c r="C4853" s="4">
        <v>69</v>
      </c>
      <c r="D4853" s="29">
        <f t="shared" si="407"/>
        <v>7479</v>
      </c>
      <c r="E4853" s="4">
        <v>7</v>
      </c>
      <c r="F4853" s="129">
        <f t="shared" ref="F4853:F4871" si="408">E4853+F4829</f>
        <v>262</v>
      </c>
    </row>
    <row r="4854" spans="1:6" ht="15.75" thickBot="1" x14ac:dyDescent="0.3">
      <c r="A4854" s="140" t="s">
        <v>36</v>
      </c>
      <c r="B4854" s="53">
        <v>44095</v>
      </c>
      <c r="C4854" s="4">
        <v>116</v>
      </c>
      <c r="D4854" s="29">
        <f t="shared" si="407"/>
        <v>2423</v>
      </c>
      <c r="F4854" s="129">
        <f t="shared" si="408"/>
        <v>25</v>
      </c>
    </row>
    <row r="4855" spans="1:6" ht="15.75" thickBot="1" x14ac:dyDescent="0.3">
      <c r="A4855" s="140" t="s">
        <v>27</v>
      </c>
      <c r="B4855" s="53">
        <v>44095</v>
      </c>
      <c r="C4855" s="4">
        <v>770</v>
      </c>
      <c r="D4855" s="29">
        <f t="shared" si="407"/>
        <v>19978</v>
      </c>
      <c r="E4855" s="4">
        <v>5</v>
      </c>
      <c r="F4855" s="129">
        <f t="shared" si="408"/>
        <v>260</v>
      </c>
    </row>
    <row r="4856" spans="1:6" ht="15.75" thickBot="1" x14ac:dyDescent="0.3">
      <c r="A4856" s="140" t="s">
        <v>37</v>
      </c>
      <c r="B4856" s="53">
        <v>44095</v>
      </c>
      <c r="C4856" s="4">
        <v>61</v>
      </c>
      <c r="D4856" s="29">
        <f t="shared" si="407"/>
        <v>1029</v>
      </c>
      <c r="E4856" s="4">
        <v>1</v>
      </c>
      <c r="F4856" s="129">
        <f>E4856+F4832</f>
        <v>15</v>
      </c>
    </row>
    <row r="4857" spans="1:6" ht="15.75" thickBot="1" x14ac:dyDescent="0.3">
      <c r="A4857" s="140" t="s">
        <v>38</v>
      </c>
      <c r="B4857" s="53">
        <v>44095</v>
      </c>
      <c r="C4857" s="4">
        <v>85</v>
      </c>
      <c r="D4857" s="29">
        <f t="shared" si="407"/>
        <v>6291</v>
      </c>
      <c r="E4857" s="4">
        <v>3</v>
      </c>
      <c r="F4857" s="129">
        <f>E4857+F4833</f>
        <v>111</v>
      </c>
    </row>
    <row r="4858" spans="1:6" ht="15.75" thickBot="1" x14ac:dyDescent="0.3">
      <c r="A4858" s="140" t="s">
        <v>48</v>
      </c>
      <c r="B4858" s="53">
        <v>44095</v>
      </c>
      <c r="C4858" s="4">
        <v>0</v>
      </c>
      <c r="D4858" s="29">
        <f t="shared" si="407"/>
        <v>101</v>
      </c>
      <c r="F4858" s="129">
        <f>E4858+F4834</f>
        <v>1</v>
      </c>
    </row>
    <row r="4859" spans="1:6" ht="15.75" thickBot="1" x14ac:dyDescent="0.3">
      <c r="A4859" s="140" t="s">
        <v>39</v>
      </c>
      <c r="B4859" s="53">
        <v>44095</v>
      </c>
      <c r="C4859" s="4">
        <v>101</v>
      </c>
      <c r="D4859" s="29">
        <f t="shared" si="407"/>
        <v>14251</v>
      </c>
      <c r="E4859" s="4">
        <v>11</v>
      </c>
      <c r="F4859" s="129">
        <f t="shared" si="408"/>
        <v>338</v>
      </c>
    </row>
    <row r="4860" spans="1:6" ht="15.75" thickBot="1" x14ac:dyDescent="0.3">
      <c r="A4860" s="140" t="s">
        <v>40</v>
      </c>
      <c r="B4860" s="53">
        <v>44095</v>
      </c>
      <c r="C4860" s="4">
        <v>18</v>
      </c>
      <c r="D4860" s="29">
        <f t="shared" si="407"/>
        <v>586</v>
      </c>
      <c r="F4860" s="129">
        <f t="shared" si="408"/>
        <v>4</v>
      </c>
    </row>
    <row r="4861" spans="1:6" ht="15.75" thickBot="1" x14ac:dyDescent="0.3">
      <c r="A4861" s="140" t="s">
        <v>28</v>
      </c>
      <c r="B4861" s="53">
        <v>44095</v>
      </c>
      <c r="C4861" s="4">
        <v>350</v>
      </c>
      <c r="D4861" s="29">
        <f t="shared" si="407"/>
        <v>4100</v>
      </c>
      <c r="E4861" s="4">
        <v>2</v>
      </c>
      <c r="F4861" s="129">
        <f t="shared" si="408"/>
        <v>101</v>
      </c>
    </row>
    <row r="4862" spans="1:6" ht="15.75" thickBot="1" x14ac:dyDescent="0.3">
      <c r="A4862" s="140" t="s">
        <v>24</v>
      </c>
      <c r="B4862" s="53">
        <v>44095</v>
      </c>
      <c r="C4862" s="4">
        <v>599</v>
      </c>
      <c r="D4862" s="29">
        <f t="shared" si="407"/>
        <v>19449</v>
      </c>
      <c r="E4862" s="4">
        <v>6</v>
      </c>
      <c r="F4862" s="129">
        <f t="shared" si="408"/>
        <v>185</v>
      </c>
    </row>
    <row r="4863" spans="1:6" ht="15.75" thickBot="1" x14ac:dyDescent="0.3">
      <c r="A4863" s="140" t="s">
        <v>30</v>
      </c>
      <c r="B4863" s="53">
        <v>44095</v>
      </c>
      <c r="C4863" s="4">
        <v>0</v>
      </c>
      <c r="D4863" s="29">
        <f t="shared" si="407"/>
        <v>70</v>
      </c>
      <c r="F4863" s="129">
        <f t="shared" si="408"/>
        <v>2</v>
      </c>
    </row>
    <row r="4864" spans="1:6" ht="15.75" thickBot="1" x14ac:dyDescent="0.3">
      <c r="A4864" s="14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29">
        <f t="shared" si="408"/>
        <v>86</v>
      </c>
    </row>
    <row r="4865" spans="1:6" ht="15.75" thickBot="1" x14ac:dyDescent="0.3">
      <c r="A4865" s="14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29">
        <f t="shared" si="408"/>
        <v>216</v>
      </c>
    </row>
    <row r="4866" spans="1:6" ht="15.75" thickBot="1" x14ac:dyDescent="0.3">
      <c r="A4866" s="14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29">
        <f>E4866+F4842</f>
        <v>194</v>
      </c>
    </row>
    <row r="4867" spans="1:6" ht="15.75" thickBot="1" x14ac:dyDescent="0.3">
      <c r="A4867" s="140" t="s">
        <v>42</v>
      </c>
      <c r="B4867" s="53">
        <v>44095</v>
      </c>
      <c r="C4867" s="4">
        <v>18</v>
      </c>
      <c r="D4867" s="29">
        <f t="shared" ref="D4867:D4873" si="409">C4867+D4843</f>
        <v>490</v>
      </c>
      <c r="F4867" s="129">
        <f>E4867+F4843</f>
        <v>21</v>
      </c>
    </row>
    <row r="4868" spans="1:6" ht="15.75" thickBot="1" x14ac:dyDescent="0.3">
      <c r="A4868" s="140" t="s">
        <v>43</v>
      </c>
      <c r="B4868" s="53">
        <v>44095</v>
      </c>
      <c r="C4868" s="4">
        <v>83</v>
      </c>
      <c r="D4868" s="29">
        <f t="shared" si="409"/>
        <v>781</v>
      </c>
      <c r="F4868" s="129">
        <f t="shared" si="408"/>
        <v>0</v>
      </c>
    </row>
    <row r="4869" spans="1:6" ht="15.75" thickBot="1" x14ac:dyDescent="0.3">
      <c r="A4869" s="140" t="s">
        <v>44</v>
      </c>
      <c r="B4869" s="53">
        <v>44095</v>
      </c>
      <c r="C4869" s="4">
        <v>95</v>
      </c>
      <c r="D4869" s="29">
        <f t="shared" si="409"/>
        <v>3842</v>
      </c>
      <c r="E4869" s="4">
        <v>1</v>
      </c>
      <c r="F4869" s="129">
        <f>E4869+F4845</f>
        <v>45</v>
      </c>
    </row>
    <row r="4870" spans="1:6" ht="15.75" thickBot="1" x14ac:dyDescent="0.3">
      <c r="A4870" s="140" t="s">
        <v>29</v>
      </c>
      <c r="B4870" s="53">
        <v>44095</v>
      </c>
      <c r="C4870" s="4">
        <v>1215</v>
      </c>
      <c r="D4870" s="29">
        <f t="shared" si="409"/>
        <v>27610</v>
      </c>
      <c r="E4870" s="4">
        <v>27</v>
      </c>
      <c r="F4870" s="129">
        <f>E4870+F4846</f>
        <v>298</v>
      </c>
    </row>
    <row r="4871" spans="1:6" ht="15.75" thickBot="1" x14ac:dyDescent="0.3">
      <c r="A4871" s="140" t="s">
        <v>45</v>
      </c>
      <c r="B4871" s="53">
        <v>44095</v>
      </c>
      <c r="C4871" s="4">
        <v>53</v>
      </c>
      <c r="D4871" s="29">
        <f t="shared" si="409"/>
        <v>2425</v>
      </c>
      <c r="E4871" s="4">
        <v>2</v>
      </c>
      <c r="F4871" s="129">
        <f t="shared" si="408"/>
        <v>37</v>
      </c>
    </row>
    <row r="4872" spans="1:6" ht="15.75" thickBot="1" x14ac:dyDescent="0.3">
      <c r="A4872" s="140" t="s">
        <v>46</v>
      </c>
      <c r="B4872" s="53">
        <v>44095</v>
      </c>
      <c r="C4872" s="4">
        <v>81</v>
      </c>
      <c r="D4872" s="29">
        <f t="shared" si="409"/>
        <v>3278</v>
      </c>
      <c r="E4872" s="4">
        <v>1</v>
      </c>
      <c r="F4872" s="129">
        <f>E4872+F4848</f>
        <v>55</v>
      </c>
    </row>
    <row r="4873" spans="1:6" ht="15.75" thickBot="1" x14ac:dyDescent="0.3">
      <c r="A4873" s="141" t="s">
        <v>47</v>
      </c>
      <c r="B4873" s="53">
        <v>44095</v>
      </c>
      <c r="C4873" s="4">
        <v>208</v>
      </c>
      <c r="D4873" s="132">
        <f t="shared" si="409"/>
        <v>9733</v>
      </c>
      <c r="F4873" s="130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1">
        <f>C4874+D4850</f>
        <v>377324</v>
      </c>
      <c r="E4874" s="4">
        <f>179+158</f>
        <v>337</v>
      </c>
      <c r="F4874" s="128">
        <f>E4874+F4850</f>
        <v>8364</v>
      </c>
    </row>
    <row r="4875" spans="1:6" ht="15.75" thickBot="1" x14ac:dyDescent="0.3">
      <c r="A4875" s="140" t="s">
        <v>20</v>
      </c>
      <c r="B4875" s="53">
        <v>44096</v>
      </c>
      <c r="C4875" s="4">
        <v>927</v>
      </c>
      <c r="D4875" s="29">
        <f t="shared" ref="D4875:D4887" si="410">C4875+D4851</f>
        <v>118879</v>
      </c>
      <c r="E4875" s="4">
        <f>24+20</f>
        <v>44</v>
      </c>
      <c r="F4875" s="129">
        <f>E4875+F4851</f>
        <v>2925</v>
      </c>
    </row>
    <row r="4876" spans="1:6" ht="15.75" thickBot="1" x14ac:dyDescent="0.3">
      <c r="A4876" s="140" t="s">
        <v>35</v>
      </c>
      <c r="B4876" s="53">
        <v>44096</v>
      </c>
      <c r="C4876" s="4">
        <v>-5</v>
      </c>
      <c r="D4876" s="29">
        <f t="shared" si="410"/>
        <v>187</v>
      </c>
      <c r="F4876" s="129">
        <f>E4876+F4852</f>
        <v>0</v>
      </c>
    </row>
    <row r="4877" spans="1:6" ht="15.75" thickBot="1" x14ac:dyDescent="0.3">
      <c r="A4877" s="140" t="s">
        <v>21</v>
      </c>
      <c r="B4877" s="53">
        <v>44096</v>
      </c>
      <c r="C4877" s="4">
        <v>94</v>
      </c>
      <c r="D4877" s="29">
        <f t="shared" si="410"/>
        <v>7573</v>
      </c>
      <c r="F4877" s="129">
        <f t="shared" ref="F4877:F4895" si="411">E4877+F4853</f>
        <v>262</v>
      </c>
    </row>
    <row r="4878" spans="1:6" ht="15.75" thickBot="1" x14ac:dyDescent="0.3">
      <c r="A4878" s="140" t="s">
        <v>36</v>
      </c>
      <c r="B4878" s="53">
        <v>44096</v>
      </c>
      <c r="C4878" s="4">
        <v>132</v>
      </c>
      <c r="D4878" s="29">
        <f t="shared" si="410"/>
        <v>2555</v>
      </c>
      <c r="E4878" s="4">
        <f>1+1</f>
        <v>2</v>
      </c>
      <c r="F4878" s="129">
        <f t="shared" si="411"/>
        <v>27</v>
      </c>
    </row>
    <row r="4879" spans="1:6" ht="15.75" thickBot="1" x14ac:dyDescent="0.3">
      <c r="A4879" s="140" t="s">
        <v>27</v>
      </c>
      <c r="B4879" s="53">
        <v>44096</v>
      </c>
      <c r="C4879" s="4">
        <v>1152</v>
      </c>
      <c r="D4879" s="29">
        <f t="shared" si="410"/>
        <v>21130</v>
      </c>
      <c r="E4879" s="4">
        <f>4+5</f>
        <v>9</v>
      </c>
      <c r="F4879" s="129">
        <f t="shared" si="411"/>
        <v>269</v>
      </c>
    </row>
    <row r="4880" spans="1:6" ht="15.75" thickBot="1" x14ac:dyDescent="0.3">
      <c r="A4880" s="140" t="s">
        <v>37</v>
      </c>
      <c r="B4880" s="53">
        <v>44096</v>
      </c>
      <c r="C4880" s="4">
        <v>30</v>
      </c>
      <c r="D4880" s="29">
        <f t="shared" si="410"/>
        <v>1059</v>
      </c>
      <c r="F4880" s="129">
        <f>E4880+F4856</f>
        <v>15</v>
      </c>
    </row>
    <row r="4881" spans="1:6" ht="15.75" thickBot="1" x14ac:dyDescent="0.3">
      <c r="A4881" s="140" t="s">
        <v>38</v>
      </c>
      <c r="B4881" s="53">
        <v>44096</v>
      </c>
      <c r="C4881" s="4">
        <v>121</v>
      </c>
      <c r="D4881" s="29">
        <f t="shared" si="410"/>
        <v>6412</v>
      </c>
      <c r="E4881" s="4">
        <f>6+2</f>
        <v>8</v>
      </c>
      <c r="F4881" s="129">
        <f>E4881+F4857</f>
        <v>119</v>
      </c>
    </row>
    <row r="4882" spans="1:6" ht="15.75" thickBot="1" x14ac:dyDescent="0.3">
      <c r="A4882" s="140" t="s">
        <v>48</v>
      </c>
      <c r="B4882" s="53">
        <v>44096</v>
      </c>
      <c r="C4882" s="4">
        <v>0</v>
      </c>
      <c r="D4882" s="29">
        <f t="shared" si="410"/>
        <v>101</v>
      </c>
      <c r="F4882" s="129">
        <f>E4882+F4858</f>
        <v>1</v>
      </c>
    </row>
    <row r="4883" spans="1:6" ht="15.75" thickBot="1" x14ac:dyDescent="0.3">
      <c r="A4883" s="140" t="s">
        <v>39</v>
      </c>
      <c r="B4883" s="53">
        <v>44096</v>
      </c>
      <c r="C4883" s="4">
        <v>99</v>
      </c>
      <c r="D4883" s="29">
        <f t="shared" si="410"/>
        <v>14350</v>
      </c>
      <c r="E4883" s="4">
        <f>8+5</f>
        <v>13</v>
      </c>
      <c r="F4883" s="129">
        <f t="shared" si="411"/>
        <v>351</v>
      </c>
    </row>
    <row r="4884" spans="1:6" ht="15.75" thickBot="1" x14ac:dyDescent="0.3">
      <c r="A4884" s="140" t="s">
        <v>40</v>
      </c>
      <c r="B4884" s="53">
        <v>44096</v>
      </c>
      <c r="C4884" s="4">
        <v>22</v>
      </c>
      <c r="D4884" s="29">
        <f t="shared" si="410"/>
        <v>608</v>
      </c>
      <c r="F4884" s="129">
        <f t="shared" si="411"/>
        <v>4</v>
      </c>
    </row>
    <row r="4885" spans="1:6" ht="15.75" thickBot="1" x14ac:dyDescent="0.3">
      <c r="A4885" s="140" t="s">
        <v>28</v>
      </c>
      <c r="B4885" s="53">
        <v>44096</v>
      </c>
      <c r="C4885" s="4">
        <v>120</v>
      </c>
      <c r="D4885" s="29">
        <f t="shared" si="410"/>
        <v>4220</v>
      </c>
      <c r="F4885" s="129">
        <f t="shared" si="411"/>
        <v>101</v>
      </c>
    </row>
    <row r="4886" spans="1:6" ht="15.75" thickBot="1" x14ac:dyDescent="0.3">
      <c r="A4886" s="140" t="s">
        <v>24</v>
      </c>
      <c r="B4886" s="53">
        <v>44096</v>
      </c>
      <c r="C4886" s="4">
        <v>426</v>
      </c>
      <c r="D4886" s="29">
        <f t="shared" si="410"/>
        <v>19875</v>
      </c>
      <c r="E4886" s="4">
        <f>5+5</f>
        <v>10</v>
      </c>
      <c r="F4886" s="129">
        <f t="shared" si="411"/>
        <v>195</v>
      </c>
    </row>
    <row r="4887" spans="1:6" ht="15.75" thickBot="1" x14ac:dyDescent="0.3">
      <c r="A4887" s="140" t="s">
        <v>30</v>
      </c>
      <c r="B4887" s="53">
        <v>44096</v>
      </c>
      <c r="C4887" s="4">
        <v>8</v>
      </c>
      <c r="D4887" s="29">
        <f t="shared" si="410"/>
        <v>78</v>
      </c>
      <c r="F4887" s="129">
        <f t="shared" si="411"/>
        <v>2</v>
      </c>
    </row>
    <row r="4888" spans="1:6" ht="15.75" thickBot="1" x14ac:dyDescent="0.3">
      <c r="A4888" s="140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29">
        <f t="shared" si="411"/>
        <v>92</v>
      </c>
    </row>
    <row r="4889" spans="1:6" ht="15.75" thickBot="1" x14ac:dyDescent="0.3">
      <c r="A4889" s="140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29">
        <f t="shared" si="411"/>
        <v>228</v>
      </c>
    </row>
    <row r="4890" spans="1:6" ht="15.75" thickBot="1" x14ac:dyDescent="0.3">
      <c r="A4890" s="140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29">
        <f>E4890+F4866</f>
        <v>206</v>
      </c>
    </row>
    <row r="4891" spans="1:6" ht="15.75" thickBot="1" x14ac:dyDescent="0.3">
      <c r="A4891" s="140" t="s">
        <v>42</v>
      </c>
      <c r="B4891" s="53">
        <v>44096</v>
      </c>
      <c r="C4891" s="4">
        <v>27</v>
      </c>
      <c r="D4891" s="29">
        <f t="shared" ref="D4891:D4897" si="412">C4891+D4867</f>
        <v>517</v>
      </c>
      <c r="F4891" s="129">
        <f>E4891+F4867</f>
        <v>21</v>
      </c>
    </row>
    <row r="4892" spans="1:6" ht="15.75" thickBot="1" x14ac:dyDescent="0.3">
      <c r="A4892" s="140" t="s">
        <v>43</v>
      </c>
      <c r="B4892" s="53">
        <v>44096</v>
      </c>
      <c r="C4892" s="4">
        <v>77</v>
      </c>
      <c r="D4892" s="29">
        <f t="shared" si="412"/>
        <v>858</v>
      </c>
      <c r="E4892" s="4">
        <f>1+2</f>
        <v>3</v>
      </c>
      <c r="F4892" s="129">
        <f t="shared" si="411"/>
        <v>3</v>
      </c>
    </row>
    <row r="4893" spans="1:6" ht="15.75" thickBot="1" x14ac:dyDescent="0.3">
      <c r="A4893" s="140" t="s">
        <v>44</v>
      </c>
      <c r="B4893" s="53">
        <v>44096</v>
      </c>
      <c r="C4893" s="4">
        <v>74</v>
      </c>
      <c r="D4893" s="29">
        <f t="shared" si="412"/>
        <v>3916</v>
      </c>
      <c r="E4893" s="4">
        <f>1</f>
        <v>1</v>
      </c>
      <c r="F4893" s="129">
        <f>E4893+F4869</f>
        <v>46</v>
      </c>
    </row>
    <row r="4894" spans="1:6" ht="15.75" thickBot="1" x14ac:dyDescent="0.3">
      <c r="A4894" s="140" t="s">
        <v>29</v>
      </c>
      <c r="B4894" s="53">
        <v>44096</v>
      </c>
      <c r="C4894" s="4">
        <v>1592</v>
      </c>
      <c r="D4894" s="29">
        <f t="shared" si="412"/>
        <v>29202</v>
      </c>
      <c r="E4894" s="4">
        <f>3+5</f>
        <v>8</v>
      </c>
      <c r="F4894" s="129">
        <f>E4894+F4870</f>
        <v>306</v>
      </c>
    </row>
    <row r="4895" spans="1:6" ht="15.75" thickBot="1" x14ac:dyDescent="0.3">
      <c r="A4895" s="140" t="s">
        <v>45</v>
      </c>
      <c r="B4895" s="53">
        <v>44096</v>
      </c>
      <c r="C4895" s="4">
        <v>75</v>
      </c>
      <c r="D4895" s="29">
        <f t="shared" si="412"/>
        <v>2500</v>
      </c>
      <c r="E4895" s="4">
        <f>1+1</f>
        <v>2</v>
      </c>
      <c r="F4895" s="129">
        <f t="shared" si="411"/>
        <v>39</v>
      </c>
    </row>
    <row r="4896" spans="1:6" ht="15.75" thickBot="1" x14ac:dyDescent="0.3">
      <c r="A4896" s="140" t="s">
        <v>46</v>
      </c>
      <c r="B4896" s="53">
        <v>44096</v>
      </c>
      <c r="C4896" s="4">
        <v>78</v>
      </c>
      <c r="D4896" s="29">
        <f t="shared" si="412"/>
        <v>3356</v>
      </c>
      <c r="E4896" s="4">
        <f>1+1</f>
        <v>2</v>
      </c>
      <c r="F4896" s="129">
        <f>E4896+F4872</f>
        <v>57</v>
      </c>
    </row>
    <row r="4897" spans="1:6" ht="15.75" thickBot="1" x14ac:dyDescent="0.3">
      <c r="A4897" s="141" t="s">
        <v>47</v>
      </c>
      <c r="B4897" s="53">
        <v>44096</v>
      </c>
      <c r="C4897" s="4">
        <v>721</v>
      </c>
      <c r="D4897" s="132">
        <f t="shared" si="412"/>
        <v>10454</v>
      </c>
      <c r="F4897" s="130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1">
        <f>C4898+D4874</f>
        <v>382713</v>
      </c>
      <c r="E4898" s="4">
        <f>160+131</f>
        <v>291</v>
      </c>
      <c r="F4898" s="128">
        <f>E4898+F4874</f>
        <v>8655</v>
      </c>
    </row>
    <row r="4899" spans="1:6" ht="15.75" thickBot="1" x14ac:dyDescent="0.3">
      <c r="A4899" s="140" t="s">
        <v>20</v>
      </c>
      <c r="B4899" s="53">
        <v>44097</v>
      </c>
      <c r="C4899" s="4">
        <v>929</v>
      </c>
      <c r="D4899" s="29">
        <f t="shared" ref="D4899:D4911" si="413">C4899+D4875</f>
        <v>119808</v>
      </c>
      <c r="E4899" s="4">
        <f>16+18</f>
        <v>34</v>
      </c>
      <c r="F4899" s="129">
        <f>E4899+F4875</f>
        <v>2959</v>
      </c>
    </row>
    <row r="4900" spans="1:6" ht="15.75" thickBot="1" x14ac:dyDescent="0.3">
      <c r="A4900" s="140" t="s">
        <v>35</v>
      </c>
      <c r="B4900" s="53">
        <v>44097</v>
      </c>
      <c r="C4900" s="4">
        <v>6</v>
      </c>
      <c r="D4900" s="29">
        <f t="shared" si="413"/>
        <v>193</v>
      </c>
      <c r="F4900" s="129">
        <f>E4900+F4876</f>
        <v>0</v>
      </c>
    </row>
    <row r="4901" spans="1:6" ht="15.75" thickBot="1" x14ac:dyDescent="0.3">
      <c r="A4901" s="140" t="s">
        <v>21</v>
      </c>
      <c r="B4901" s="53">
        <v>44097</v>
      </c>
      <c r="C4901" s="4">
        <v>86</v>
      </c>
      <c r="D4901" s="29">
        <f t="shared" si="413"/>
        <v>7659</v>
      </c>
      <c r="E4901" s="4">
        <f>2+1</f>
        <v>3</v>
      </c>
      <c r="F4901" s="129">
        <f t="shared" ref="F4901:F4919" si="414">E4901+F4877</f>
        <v>265</v>
      </c>
    </row>
    <row r="4902" spans="1:6" ht="15.75" thickBot="1" x14ac:dyDescent="0.3">
      <c r="A4902" s="140" t="s">
        <v>36</v>
      </c>
      <c r="B4902" s="53">
        <v>44097</v>
      </c>
      <c r="C4902" s="4">
        <v>203</v>
      </c>
      <c r="D4902" s="29">
        <f t="shared" si="413"/>
        <v>2758</v>
      </c>
      <c r="E4902" s="4">
        <f>1</f>
        <v>1</v>
      </c>
      <c r="F4902" s="129">
        <f t="shared" si="414"/>
        <v>28</v>
      </c>
    </row>
    <row r="4903" spans="1:6" ht="15.75" thickBot="1" x14ac:dyDescent="0.3">
      <c r="A4903" s="140" t="s">
        <v>27</v>
      </c>
      <c r="B4903" s="53">
        <v>44097</v>
      </c>
      <c r="C4903" s="4">
        <v>1435</v>
      </c>
      <c r="D4903" s="29">
        <f t="shared" si="413"/>
        <v>22565</v>
      </c>
      <c r="E4903" s="4">
        <f>8+3</f>
        <v>11</v>
      </c>
      <c r="F4903" s="129">
        <f t="shared" si="414"/>
        <v>280</v>
      </c>
    </row>
    <row r="4904" spans="1:6" ht="15.75" thickBot="1" x14ac:dyDescent="0.3">
      <c r="A4904" s="140" t="s">
        <v>37</v>
      </c>
      <c r="B4904" s="53">
        <v>44097</v>
      </c>
      <c r="C4904" s="4">
        <v>-45</v>
      </c>
      <c r="D4904" s="29">
        <f t="shared" si="413"/>
        <v>1014</v>
      </c>
      <c r="F4904" s="129">
        <f>E4904+F4880</f>
        <v>15</v>
      </c>
    </row>
    <row r="4905" spans="1:6" ht="15.75" thickBot="1" x14ac:dyDescent="0.3">
      <c r="A4905" s="140" t="s">
        <v>38</v>
      </c>
      <c r="B4905" s="53">
        <v>44097</v>
      </c>
      <c r="C4905" s="4">
        <v>118</v>
      </c>
      <c r="D4905" s="29">
        <f t="shared" si="413"/>
        <v>6530</v>
      </c>
      <c r="E4905" s="4">
        <f>1+2</f>
        <v>3</v>
      </c>
      <c r="F4905" s="129">
        <f>E4905+F4881</f>
        <v>122</v>
      </c>
    </row>
    <row r="4906" spans="1:6" ht="15.75" thickBot="1" x14ac:dyDescent="0.3">
      <c r="A4906" s="140" t="s">
        <v>48</v>
      </c>
      <c r="B4906" s="53">
        <v>44097</v>
      </c>
      <c r="C4906" s="4">
        <v>1</v>
      </c>
      <c r="D4906" s="29">
        <f t="shared" si="413"/>
        <v>102</v>
      </c>
      <c r="F4906" s="129">
        <f>E4906+F4882</f>
        <v>1</v>
      </c>
    </row>
    <row r="4907" spans="1:6" ht="15.75" thickBot="1" x14ac:dyDescent="0.3">
      <c r="A4907" s="140" t="s">
        <v>39</v>
      </c>
      <c r="B4907" s="53">
        <v>44097</v>
      </c>
      <c r="C4907" s="4">
        <v>230</v>
      </c>
      <c r="D4907" s="29">
        <f t="shared" si="413"/>
        <v>14580</v>
      </c>
      <c r="E4907" s="4">
        <f>9+2</f>
        <v>11</v>
      </c>
      <c r="F4907" s="129">
        <f t="shared" si="414"/>
        <v>362</v>
      </c>
    </row>
    <row r="4908" spans="1:6" ht="15.75" thickBot="1" x14ac:dyDescent="0.3">
      <c r="A4908" s="140" t="s">
        <v>40</v>
      </c>
      <c r="B4908" s="53">
        <v>44097</v>
      </c>
      <c r="C4908" s="4">
        <v>15</v>
      </c>
      <c r="D4908" s="29">
        <f t="shared" si="413"/>
        <v>623</v>
      </c>
      <c r="F4908" s="129">
        <f t="shared" si="414"/>
        <v>4</v>
      </c>
    </row>
    <row r="4909" spans="1:6" ht="15.75" thickBot="1" x14ac:dyDescent="0.3">
      <c r="A4909" s="140" t="s">
        <v>28</v>
      </c>
      <c r="B4909" s="53">
        <v>44097</v>
      </c>
      <c r="C4909" s="4">
        <v>48</v>
      </c>
      <c r="D4909" s="29">
        <f t="shared" si="413"/>
        <v>4268</v>
      </c>
      <c r="F4909" s="129">
        <f t="shared" si="414"/>
        <v>101</v>
      </c>
    </row>
    <row r="4910" spans="1:6" ht="15.75" thickBot="1" x14ac:dyDescent="0.3">
      <c r="A4910" s="140" t="s">
        <v>24</v>
      </c>
      <c r="B4910" s="53">
        <v>44097</v>
      </c>
      <c r="C4910" s="4">
        <v>528</v>
      </c>
      <c r="D4910" s="29">
        <f t="shared" si="413"/>
        <v>20403</v>
      </c>
      <c r="E4910" s="4">
        <f>7+5</f>
        <v>12</v>
      </c>
      <c r="F4910" s="129">
        <f t="shared" si="414"/>
        <v>207</v>
      </c>
    </row>
    <row r="4911" spans="1:6" ht="15.75" thickBot="1" x14ac:dyDescent="0.3">
      <c r="A4911" s="140" t="s">
        <v>30</v>
      </c>
      <c r="B4911" s="53">
        <v>44097</v>
      </c>
      <c r="C4911" s="4">
        <v>4</v>
      </c>
      <c r="D4911" s="29">
        <f t="shared" si="413"/>
        <v>82</v>
      </c>
      <c r="F4911" s="129">
        <f t="shared" si="414"/>
        <v>2</v>
      </c>
    </row>
    <row r="4912" spans="1:6" ht="15.75" thickBot="1" x14ac:dyDescent="0.3">
      <c r="A4912" s="140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29">
        <f t="shared" si="414"/>
        <v>99</v>
      </c>
    </row>
    <row r="4913" spans="1:6" ht="15.75" thickBot="1" x14ac:dyDescent="0.3">
      <c r="A4913" s="140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29">
        <f t="shared" si="414"/>
        <v>236</v>
      </c>
    </row>
    <row r="4914" spans="1:6" ht="15.75" thickBot="1" x14ac:dyDescent="0.3">
      <c r="A4914" s="140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29">
        <f>E4914+F4890</f>
        <v>221</v>
      </c>
    </row>
    <row r="4915" spans="1:6" ht="15.75" thickBot="1" x14ac:dyDescent="0.3">
      <c r="A4915" s="140" t="s">
        <v>42</v>
      </c>
      <c r="B4915" s="53">
        <v>44097</v>
      </c>
      <c r="C4915" s="4">
        <v>19</v>
      </c>
      <c r="D4915" s="29">
        <f t="shared" ref="D4915:D4921" si="415">C4915+D4891</f>
        <v>536</v>
      </c>
      <c r="E4915" s="4">
        <f>1+3</f>
        <v>4</v>
      </c>
      <c r="F4915" s="129">
        <f>E4915+F4891</f>
        <v>25</v>
      </c>
    </row>
    <row r="4916" spans="1:6" ht="15.75" thickBot="1" x14ac:dyDescent="0.3">
      <c r="A4916" s="140" t="s">
        <v>43</v>
      </c>
      <c r="B4916" s="53">
        <v>44097</v>
      </c>
      <c r="C4916" s="4">
        <v>62</v>
      </c>
      <c r="D4916" s="29">
        <f t="shared" si="415"/>
        <v>920</v>
      </c>
      <c r="F4916" s="129">
        <f t="shared" si="414"/>
        <v>3</v>
      </c>
    </row>
    <row r="4917" spans="1:6" ht="15.75" thickBot="1" x14ac:dyDescent="0.3">
      <c r="A4917" s="140" t="s">
        <v>44</v>
      </c>
      <c r="B4917" s="53">
        <v>44097</v>
      </c>
      <c r="C4917" s="4">
        <v>114</v>
      </c>
      <c r="D4917" s="29">
        <f t="shared" si="415"/>
        <v>4030</v>
      </c>
      <c r="E4917" s="4">
        <f>1</f>
        <v>1</v>
      </c>
      <c r="F4917" s="129">
        <f>E4917+F4893</f>
        <v>47</v>
      </c>
    </row>
    <row r="4918" spans="1:6" ht="15.75" thickBot="1" x14ac:dyDescent="0.3">
      <c r="A4918" s="140" t="s">
        <v>29</v>
      </c>
      <c r="B4918" s="53">
        <v>44097</v>
      </c>
      <c r="C4918" s="4">
        <v>1682</v>
      </c>
      <c r="D4918" s="29">
        <f t="shared" si="415"/>
        <v>30884</v>
      </c>
      <c r="E4918" s="4">
        <f>11+6</f>
        <v>17</v>
      </c>
      <c r="F4918" s="129">
        <f>E4918+F4894</f>
        <v>323</v>
      </c>
    </row>
    <row r="4919" spans="1:6" ht="15.75" thickBot="1" x14ac:dyDescent="0.3">
      <c r="A4919" s="140" t="s">
        <v>45</v>
      </c>
      <c r="B4919" s="53">
        <v>44097</v>
      </c>
      <c r="C4919" s="4">
        <v>108</v>
      </c>
      <c r="D4919" s="29">
        <f t="shared" si="415"/>
        <v>2608</v>
      </c>
      <c r="E4919" s="4">
        <f>4</f>
        <v>4</v>
      </c>
      <c r="F4919" s="129">
        <f t="shared" si="414"/>
        <v>43</v>
      </c>
    </row>
    <row r="4920" spans="1:6" ht="15.75" thickBot="1" x14ac:dyDescent="0.3">
      <c r="A4920" s="140" t="s">
        <v>46</v>
      </c>
      <c r="B4920" s="53">
        <v>44097</v>
      </c>
      <c r="C4920" s="4">
        <v>79</v>
      </c>
      <c r="D4920" s="29">
        <f t="shared" si="415"/>
        <v>3435</v>
      </c>
      <c r="E4920" s="4">
        <f>2</f>
        <v>2</v>
      </c>
      <c r="F4920" s="129">
        <f>E4920+F4896</f>
        <v>59</v>
      </c>
    </row>
    <row r="4921" spans="1:6" ht="15.75" thickBot="1" x14ac:dyDescent="0.3">
      <c r="A4921" s="142" t="s">
        <v>47</v>
      </c>
      <c r="B4921" s="46">
        <v>44097</v>
      </c>
      <c r="C4921" s="47">
        <v>819</v>
      </c>
      <c r="D4921" s="85">
        <f t="shared" si="415"/>
        <v>11273</v>
      </c>
      <c r="E4921" s="47"/>
      <c r="F4921" s="139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1">
        <f>C4922+D4898</f>
        <v>388835</v>
      </c>
      <c r="E4922" s="50">
        <f>162+117+3</f>
        <v>282</v>
      </c>
      <c r="F4922" s="128">
        <f>E4922+F4898</f>
        <v>8937</v>
      </c>
    </row>
    <row r="4923" spans="1:6" x14ac:dyDescent="0.25">
      <c r="A4923" s="140" t="s">
        <v>20</v>
      </c>
      <c r="B4923" s="26">
        <v>44098</v>
      </c>
      <c r="C4923" s="4">
        <v>1009</v>
      </c>
      <c r="D4923" s="29">
        <f t="shared" ref="D4923:D4935" si="416">C4923+D4899</f>
        <v>120817</v>
      </c>
      <c r="E4923" s="4">
        <f>9+10</f>
        <v>19</v>
      </c>
      <c r="F4923" s="129">
        <f>E4923+F4899</f>
        <v>2978</v>
      </c>
    </row>
    <row r="4924" spans="1:6" x14ac:dyDescent="0.25">
      <c r="A4924" s="140" t="s">
        <v>35</v>
      </c>
      <c r="B4924" s="26">
        <v>44098</v>
      </c>
      <c r="C4924" s="4">
        <v>2</v>
      </c>
      <c r="D4924" s="29">
        <f t="shared" si="416"/>
        <v>195</v>
      </c>
      <c r="F4924" s="129">
        <f>E4924+F4900</f>
        <v>0</v>
      </c>
    </row>
    <row r="4925" spans="1:6" x14ac:dyDescent="0.25">
      <c r="A4925" s="140" t="s">
        <v>21</v>
      </c>
      <c r="B4925" s="26">
        <v>44098</v>
      </c>
      <c r="C4925" s="4">
        <v>128</v>
      </c>
      <c r="D4925" s="29">
        <f t="shared" si="416"/>
        <v>7787</v>
      </c>
      <c r="E4925" s="4">
        <f>5</f>
        <v>5</v>
      </c>
      <c r="F4925" s="129">
        <f t="shared" ref="F4925:F4943" si="417">E4925+F4901</f>
        <v>270</v>
      </c>
    </row>
    <row r="4926" spans="1:6" x14ac:dyDescent="0.25">
      <c r="A4926" s="140" t="s">
        <v>36</v>
      </c>
      <c r="B4926" s="26">
        <v>44098</v>
      </c>
      <c r="C4926" s="4">
        <v>162</v>
      </c>
      <c r="D4926" s="29">
        <f t="shared" si="416"/>
        <v>2920</v>
      </c>
      <c r="F4926" s="129">
        <f t="shared" si="417"/>
        <v>28</v>
      </c>
    </row>
    <row r="4927" spans="1:6" x14ac:dyDescent="0.25">
      <c r="A4927" s="140" t="s">
        <v>27</v>
      </c>
      <c r="B4927" s="26">
        <v>44098</v>
      </c>
      <c r="C4927" s="4">
        <v>1626</v>
      </c>
      <c r="D4927" s="29">
        <f t="shared" si="416"/>
        <v>24191</v>
      </c>
      <c r="E4927" s="4">
        <f>6+7</f>
        <v>13</v>
      </c>
      <c r="F4927" s="129">
        <f t="shared" si="417"/>
        <v>293</v>
      </c>
    </row>
    <row r="4928" spans="1:6" x14ac:dyDescent="0.25">
      <c r="A4928" s="140" t="s">
        <v>37</v>
      </c>
      <c r="B4928" s="26">
        <v>44098</v>
      </c>
      <c r="C4928" s="4">
        <v>-4</v>
      </c>
      <c r="D4928" s="29">
        <f t="shared" si="416"/>
        <v>1010</v>
      </c>
      <c r="E4928" s="4">
        <f>1</f>
        <v>1</v>
      </c>
      <c r="F4928" s="129">
        <f>E4928+F4904</f>
        <v>16</v>
      </c>
    </row>
    <row r="4929" spans="1:6" x14ac:dyDescent="0.25">
      <c r="A4929" s="140" t="s">
        <v>38</v>
      </c>
      <c r="B4929" s="26">
        <v>44098</v>
      </c>
      <c r="C4929" s="4">
        <v>115</v>
      </c>
      <c r="D4929" s="29">
        <f t="shared" si="416"/>
        <v>6645</v>
      </c>
      <c r="E4929" s="4">
        <f>2+1</f>
        <v>3</v>
      </c>
      <c r="F4929" s="129">
        <f>E4929+F4905</f>
        <v>125</v>
      </c>
    </row>
    <row r="4930" spans="1:6" x14ac:dyDescent="0.25">
      <c r="A4930" s="140" t="s">
        <v>48</v>
      </c>
      <c r="B4930" s="26">
        <v>44098</v>
      </c>
      <c r="C4930" s="4">
        <v>0</v>
      </c>
      <c r="D4930" s="29">
        <f t="shared" si="416"/>
        <v>102</v>
      </c>
      <c r="F4930" s="129">
        <f>E4930+F4906</f>
        <v>1</v>
      </c>
    </row>
    <row r="4931" spans="1:6" x14ac:dyDescent="0.25">
      <c r="A4931" s="140" t="s">
        <v>39</v>
      </c>
      <c r="B4931" s="26">
        <v>44098</v>
      </c>
      <c r="C4931" s="4">
        <v>223</v>
      </c>
      <c r="D4931" s="29">
        <f t="shared" si="416"/>
        <v>14803</v>
      </c>
      <c r="E4931" s="4">
        <f>9+2</f>
        <v>11</v>
      </c>
      <c r="F4931" s="129">
        <f>E4931+F4907</f>
        <v>373</v>
      </c>
    </row>
    <row r="4932" spans="1:6" x14ac:dyDescent="0.25">
      <c r="A4932" s="140" t="s">
        <v>40</v>
      </c>
      <c r="B4932" s="26">
        <v>44098</v>
      </c>
      <c r="C4932" s="4">
        <v>34</v>
      </c>
      <c r="D4932" s="29">
        <f t="shared" si="416"/>
        <v>657</v>
      </c>
      <c r="F4932" s="129">
        <f t="shared" si="417"/>
        <v>4</v>
      </c>
    </row>
    <row r="4933" spans="1:6" x14ac:dyDescent="0.25">
      <c r="A4933" s="140" t="s">
        <v>28</v>
      </c>
      <c r="B4933" s="26">
        <v>44098</v>
      </c>
      <c r="C4933" s="4">
        <v>100</v>
      </c>
      <c r="D4933" s="29">
        <f t="shared" si="416"/>
        <v>4368</v>
      </c>
      <c r="F4933" s="129">
        <f t="shared" si="417"/>
        <v>101</v>
      </c>
    </row>
    <row r="4934" spans="1:6" x14ac:dyDescent="0.25">
      <c r="A4934" s="140" t="s">
        <v>24</v>
      </c>
      <c r="B4934" s="26">
        <v>44098</v>
      </c>
      <c r="C4934" s="4">
        <v>656</v>
      </c>
      <c r="D4934" s="29">
        <f t="shared" si="416"/>
        <v>21059</v>
      </c>
      <c r="E4934" s="4">
        <f>2+4</f>
        <v>6</v>
      </c>
      <c r="F4934" s="129">
        <f t="shared" si="417"/>
        <v>213</v>
      </c>
    </row>
    <row r="4935" spans="1:6" x14ac:dyDescent="0.25">
      <c r="A4935" s="140" t="s">
        <v>30</v>
      </c>
      <c r="B4935" s="26">
        <v>44098</v>
      </c>
      <c r="C4935" s="4">
        <v>3</v>
      </c>
      <c r="D4935" s="29">
        <f t="shared" si="416"/>
        <v>85</v>
      </c>
      <c r="F4935" s="129">
        <f t="shared" si="417"/>
        <v>2</v>
      </c>
    </row>
    <row r="4936" spans="1:6" x14ac:dyDescent="0.25">
      <c r="A4936" s="140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29">
        <f t="shared" si="417"/>
        <v>101</v>
      </c>
    </row>
    <row r="4937" spans="1:6" x14ac:dyDescent="0.25">
      <c r="A4937" s="140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29">
        <f t="shared" si="417"/>
        <v>246</v>
      </c>
    </row>
    <row r="4938" spans="1:6" x14ac:dyDescent="0.25">
      <c r="A4938" s="140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29">
        <f>E4938+F4914</f>
        <v>235</v>
      </c>
    </row>
    <row r="4939" spans="1:6" x14ac:dyDescent="0.25">
      <c r="A4939" s="140" t="s">
        <v>42</v>
      </c>
      <c r="B4939" s="26">
        <v>44098</v>
      </c>
      <c r="C4939" s="4">
        <v>12</v>
      </c>
      <c r="D4939" s="29">
        <f t="shared" ref="D4939:D4945" si="418">C4939+D4915</f>
        <v>548</v>
      </c>
      <c r="F4939" s="129">
        <f>E4939+F4915</f>
        <v>25</v>
      </c>
    </row>
    <row r="4940" spans="1:6" x14ac:dyDescent="0.25">
      <c r="A4940" s="140" t="s">
        <v>43</v>
      </c>
      <c r="B4940" s="26">
        <v>44098</v>
      </c>
      <c r="C4940" s="4">
        <v>71</v>
      </c>
      <c r="D4940" s="29">
        <f t="shared" si="418"/>
        <v>991</v>
      </c>
      <c r="F4940" s="129">
        <f t="shared" si="417"/>
        <v>3</v>
      </c>
    </row>
    <row r="4941" spans="1:6" x14ac:dyDescent="0.25">
      <c r="A4941" s="140" t="s">
        <v>44</v>
      </c>
      <c r="B4941" s="26">
        <v>44098</v>
      </c>
      <c r="C4941" s="4">
        <v>86</v>
      </c>
      <c r="D4941" s="29">
        <f t="shared" si="418"/>
        <v>4116</v>
      </c>
      <c r="E4941" s="4">
        <f>2</f>
        <v>2</v>
      </c>
      <c r="F4941" s="129">
        <f>E4941+F4917</f>
        <v>49</v>
      </c>
    </row>
    <row r="4942" spans="1:6" x14ac:dyDescent="0.25">
      <c r="A4942" s="140" t="s">
        <v>29</v>
      </c>
      <c r="B4942" s="26">
        <v>44098</v>
      </c>
      <c r="C4942" s="4">
        <v>1928</v>
      </c>
      <c r="D4942" s="29">
        <f t="shared" si="418"/>
        <v>32812</v>
      </c>
      <c r="E4942" s="4">
        <f>10+10</f>
        <v>20</v>
      </c>
      <c r="F4942" s="129">
        <f>E4942+F4918</f>
        <v>343</v>
      </c>
    </row>
    <row r="4943" spans="1:6" x14ac:dyDescent="0.25">
      <c r="A4943" s="140" t="s">
        <v>45</v>
      </c>
      <c r="B4943" s="26">
        <v>44098</v>
      </c>
      <c r="C4943" s="4">
        <v>116</v>
      </c>
      <c r="D4943" s="29">
        <f t="shared" si="418"/>
        <v>2724</v>
      </c>
      <c r="E4943" s="4">
        <f>1</f>
        <v>1</v>
      </c>
      <c r="F4943" s="129">
        <f t="shared" si="417"/>
        <v>44</v>
      </c>
    </row>
    <row r="4944" spans="1:6" x14ac:dyDescent="0.25">
      <c r="A4944" s="140" t="s">
        <v>46</v>
      </c>
      <c r="B4944" s="26">
        <v>44098</v>
      </c>
      <c r="C4944" s="4">
        <v>68</v>
      </c>
      <c r="D4944" s="29">
        <f t="shared" si="418"/>
        <v>3503</v>
      </c>
      <c r="E4944" s="4">
        <f>1</f>
        <v>1</v>
      </c>
      <c r="F4944" s="129">
        <f>E4944+F4920</f>
        <v>60</v>
      </c>
    </row>
    <row r="4945" spans="1:6" ht="15.75" thickBot="1" x14ac:dyDescent="0.3">
      <c r="A4945" s="141" t="s">
        <v>47</v>
      </c>
      <c r="B4945" s="53">
        <v>44098</v>
      </c>
      <c r="C4945" s="54">
        <v>224</v>
      </c>
      <c r="D4945" s="132">
        <f t="shared" si="418"/>
        <v>11497</v>
      </c>
      <c r="E4945" s="54">
        <f>1</f>
        <v>1</v>
      </c>
      <c r="F4945" s="130">
        <f>E4945+F4921</f>
        <v>102</v>
      </c>
    </row>
    <row r="4946" spans="1:6" x14ac:dyDescent="0.25">
      <c r="A4946" s="64" t="s">
        <v>22</v>
      </c>
      <c r="B4946" s="136">
        <v>44099</v>
      </c>
      <c r="C4946" s="48">
        <v>5600</v>
      </c>
      <c r="D4946" s="131">
        <f>C4946+D4922</f>
        <v>394435</v>
      </c>
      <c r="E4946" s="48">
        <f>122+118</f>
        <v>240</v>
      </c>
      <c r="F4946" s="128">
        <f>E4946+F4922</f>
        <v>9177</v>
      </c>
    </row>
    <row r="4947" spans="1:6" x14ac:dyDescent="0.25">
      <c r="A4947" s="140" t="s">
        <v>20</v>
      </c>
      <c r="B4947" s="136">
        <v>44099</v>
      </c>
      <c r="C4947" s="4">
        <v>926</v>
      </c>
      <c r="D4947" s="29">
        <f t="shared" ref="D4947:D4959" si="419">C4947+D4923</f>
        <v>121743</v>
      </c>
      <c r="E4947" s="4">
        <f>27+20</f>
        <v>47</v>
      </c>
      <c r="F4947" s="129">
        <f>E4947+F4923</f>
        <v>3025</v>
      </c>
    </row>
    <row r="4948" spans="1:6" x14ac:dyDescent="0.25">
      <c r="A4948" s="140" t="s">
        <v>35</v>
      </c>
      <c r="B4948" s="136">
        <v>44099</v>
      </c>
      <c r="C4948" s="4">
        <v>6</v>
      </c>
      <c r="D4948" s="29">
        <f t="shared" si="419"/>
        <v>201</v>
      </c>
      <c r="F4948" s="129">
        <f>E4948+F4924</f>
        <v>0</v>
      </c>
    </row>
    <row r="4949" spans="1:6" x14ac:dyDescent="0.25">
      <c r="A4949" s="140" t="s">
        <v>21</v>
      </c>
      <c r="B4949" s="136">
        <v>44099</v>
      </c>
      <c r="C4949" s="4">
        <v>120</v>
      </c>
      <c r="D4949" s="29">
        <f t="shared" si="419"/>
        <v>7907</v>
      </c>
      <c r="E4949" s="4">
        <f>4+1</f>
        <v>5</v>
      </c>
      <c r="F4949" s="129">
        <f t="shared" ref="F4949:F4967" si="420">E4949+F4925</f>
        <v>275</v>
      </c>
    </row>
    <row r="4950" spans="1:6" x14ac:dyDescent="0.25">
      <c r="A4950" s="140" t="s">
        <v>36</v>
      </c>
      <c r="B4950" s="136">
        <v>44099</v>
      </c>
      <c r="C4950" s="4">
        <v>207</v>
      </c>
      <c r="D4950" s="29">
        <f t="shared" si="419"/>
        <v>3127</v>
      </c>
      <c r="E4950" s="4">
        <f>1</f>
        <v>1</v>
      </c>
      <c r="F4950" s="129">
        <f t="shared" si="420"/>
        <v>29</v>
      </c>
    </row>
    <row r="4951" spans="1:6" x14ac:dyDescent="0.25">
      <c r="A4951" s="140" t="s">
        <v>27</v>
      </c>
      <c r="B4951" s="136">
        <v>44099</v>
      </c>
      <c r="C4951" s="4">
        <v>1575</v>
      </c>
      <c r="D4951" s="29">
        <f t="shared" si="419"/>
        <v>25766</v>
      </c>
      <c r="E4951" s="4">
        <f>10+7</f>
        <v>17</v>
      </c>
      <c r="F4951" s="129">
        <f t="shared" si="420"/>
        <v>310</v>
      </c>
    </row>
    <row r="4952" spans="1:6" x14ac:dyDescent="0.25">
      <c r="A4952" s="140" t="s">
        <v>37</v>
      </c>
      <c r="B4952" s="136">
        <v>44099</v>
      </c>
      <c r="C4952" s="4">
        <v>-8</v>
      </c>
      <c r="D4952" s="29">
        <f t="shared" si="419"/>
        <v>1002</v>
      </c>
      <c r="F4952" s="129">
        <f>E4952+F4928</f>
        <v>16</v>
      </c>
    </row>
    <row r="4953" spans="1:6" x14ac:dyDescent="0.25">
      <c r="A4953" s="140" t="s">
        <v>38</v>
      </c>
      <c r="B4953" s="136">
        <v>44099</v>
      </c>
      <c r="C4953" s="4">
        <v>165</v>
      </c>
      <c r="D4953" s="29">
        <f t="shared" si="419"/>
        <v>6810</v>
      </c>
      <c r="E4953" s="4">
        <f>2</f>
        <v>2</v>
      </c>
      <c r="F4953" s="129">
        <f>E4953+F4929</f>
        <v>127</v>
      </c>
    </row>
    <row r="4954" spans="1:6" x14ac:dyDescent="0.25">
      <c r="A4954" s="140" t="s">
        <v>48</v>
      </c>
      <c r="B4954" s="136">
        <v>44099</v>
      </c>
      <c r="C4954" s="4">
        <v>0</v>
      </c>
      <c r="D4954" s="29">
        <f t="shared" si="419"/>
        <v>102</v>
      </c>
      <c r="F4954" s="129">
        <f>E4954+F4930</f>
        <v>1</v>
      </c>
    </row>
    <row r="4955" spans="1:6" x14ac:dyDescent="0.25">
      <c r="A4955" s="140" t="s">
        <v>39</v>
      </c>
      <c r="B4955" s="136">
        <v>44099</v>
      </c>
      <c r="C4955" s="4">
        <v>193</v>
      </c>
      <c r="D4955" s="29">
        <f t="shared" si="419"/>
        <v>14996</v>
      </c>
      <c r="E4955" s="4">
        <f>16+5</f>
        <v>21</v>
      </c>
      <c r="F4955" s="129">
        <f>E4955+F4931</f>
        <v>394</v>
      </c>
    </row>
    <row r="4956" spans="1:6" x14ac:dyDescent="0.25">
      <c r="A4956" s="140" t="s">
        <v>40</v>
      </c>
      <c r="B4956" s="136">
        <v>44099</v>
      </c>
      <c r="C4956" s="4">
        <v>25</v>
      </c>
      <c r="D4956" s="29">
        <f t="shared" si="419"/>
        <v>682</v>
      </c>
      <c r="F4956" s="129">
        <f t="shared" si="420"/>
        <v>4</v>
      </c>
    </row>
    <row r="4957" spans="1:6" x14ac:dyDescent="0.25">
      <c r="A4957" s="140" t="s">
        <v>28</v>
      </c>
      <c r="B4957" s="136">
        <v>44099</v>
      </c>
      <c r="C4957" s="4">
        <v>106</v>
      </c>
      <c r="D4957" s="29">
        <f t="shared" si="419"/>
        <v>4474</v>
      </c>
      <c r="F4957" s="129">
        <f t="shared" si="420"/>
        <v>101</v>
      </c>
    </row>
    <row r="4958" spans="1:6" x14ac:dyDescent="0.25">
      <c r="A4958" s="140" t="s">
        <v>24</v>
      </c>
      <c r="B4958" s="136">
        <v>44099</v>
      </c>
      <c r="C4958" s="4">
        <v>768</v>
      </c>
      <c r="D4958" s="29">
        <f t="shared" si="419"/>
        <v>21827</v>
      </c>
      <c r="E4958" s="4">
        <f>7+8</f>
        <v>15</v>
      </c>
      <c r="F4958" s="129">
        <f t="shared" si="420"/>
        <v>228</v>
      </c>
    </row>
    <row r="4959" spans="1:6" x14ac:dyDescent="0.25">
      <c r="A4959" s="140" t="s">
        <v>30</v>
      </c>
      <c r="B4959" s="136">
        <v>44099</v>
      </c>
      <c r="C4959" s="4">
        <v>2</v>
      </c>
      <c r="D4959" s="29">
        <f t="shared" si="419"/>
        <v>87</v>
      </c>
      <c r="F4959" s="129">
        <f t="shared" si="420"/>
        <v>2</v>
      </c>
    </row>
    <row r="4960" spans="1:6" x14ac:dyDescent="0.25">
      <c r="A4960" s="140" t="s">
        <v>26</v>
      </c>
      <c r="B4960" s="136">
        <v>44099</v>
      </c>
      <c r="C4960" s="4">
        <v>105</v>
      </c>
      <c r="D4960" s="29">
        <f>C4960+D4936</f>
        <v>6975</v>
      </c>
      <c r="E4960" s="4">
        <f>3</f>
        <v>3</v>
      </c>
      <c r="F4960" s="129">
        <f t="shared" si="420"/>
        <v>104</v>
      </c>
    </row>
    <row r="4961" spans="1:6" x14ac:dyDescent="0.25">
      <c r="A4961" s="140" t="s">
        <v>25</v>
      </c>
      <c r="B4961" s="136">
        <v>44099</v>
      </c>
      <c r="C4961" s="4">
        <v>227</v>
      </c>
      <c r="D4961" s="29">
        <f>C4961+D4937</f>
        <v>11475</v>
      </c>
      <c r="E4961" s="4">
        <v>10</v>
      </c>
      <c r="F4961" s="129">
        <f t="shared" si="420"/>
        <v>256</v>
      </c>
    </row>
    <row r="4962" spans="1:6" x14ac:dyDescent="0.25">
      <c r="A4962" s="140" t="s">
        <v>41</v>
      </c>
      <c r="B4962" s="136">
        <v>44099</v>
      </c>
      <c r="C4962" s="4">
        <v>469</v>
      </c>
      <c r="D4962" s="29">
        <f>C4962+D4938</f>
        <v>10952</v>
      </c>
      <c r="E4962" s="4">
        <f>24+19</f>
        <v>43</v>
      </c>
      <c r="F4962" s="129">
        <f>E4962+F4938</f>
        <v>278</v>
      </c>
    </row>
    <row r="4963" spans="1:6" x14ac:dyDescent="0.25">
      <c r="A4963" s="140" t="s">
        <v>42</v>
      </c>
      <c r="B4963" s="136">
        <v>44099</v>
      </c>
      <c r="C4963" s="4">
        <v>8</v>
      </c>
      <c r="D4963" s="29">
        <f t="shared" ref="D4963:D4969" si="421">C4963+D4939</f>
        <v>556</v>
      </c>
      <c r="F4963" s="129">
        <f>E4963+F4939</f>
        <v>25</v>
      </c>
    </row>
    <row r="4964" spans="1:6" x14ac:dyDescent="0.25">
      <c r="A4964" s="140" t="s">
        <v>43</v>
      </c>
      <c r="B4964" s="136">
        <v>44099</v>
      </c>
      <c r="C4964" s="4">
        <v>94</v>
      </c>
      <c r="D4964" s="29">
        <f t="shared" si="421"/>
        <v>1085</v>
      </c>
      <c r="E4964" s="4">
        <f>1</f>
        <v>1</v>
      </c>
      <c r="F4964" s="129">
        <f t="shared" si="420"/>
        <v>4</v>
      </c>
    </row>
    <row r="4965" spans="1:6" x14ac:dyDescent="0.25">
      <c r="A4965" s="140" t="s">
        <v>44</v>
      </c>
      <c r="B4965" s="136">
        <v>44099</v>
      </c>
      <c r="C4965" s="4">
        <v>139</v>
      </c>
      <c r="D4965" s="29">
        <f t="shared" si="421"/>
        <v>4255</v>
      </c>
      <c r="E4965" s="4">
        <f>1</f>
        <v>1</v>
      </c>
      <c r="F4965" s="129">
        <f>E4965+F4941</f>
        <v>50</v>
      </c>
    </row>
    <row r="4966" spans="1:6" x14ac:dyDescent="0.25">
      <c r="A4966" s="140" t="s">
        <v>29</v>
      </c>
      <c r="B4966" s="136">
        <v>44099</v>
      </c>
      <c r="C4966" s="4">
        <v>1728</v>
      </c>
      <c r="D4966" s="29">
        <f t="shared" si="421"/>
        <v>34540</v>
      </c>
      <c r="E4966" s="4">
        <f>13+13</f>
        <v>26</v>
      </c>
      <c r="F4966" s="129">
        <f>E4966+F4942</f>
        <v>369</v>
      </c>
    </row>
    <row r="4967" spans="1:6" x14ac:dyDescent="0.25">
      <c r="A4967" s="140" t="s">
        <v>45</v>
      </c>
      <c r="B4967" s="136">
        <v>44099</v>
      </c>
      <c r="C4967" s="4">
        <v>94</v>
      </c>
      <c r="D4967" s="29">
        <f t="shared" si="421"/>
        <v>2818</v>
      </c>
      <c r="E4967" s="4">
        <f>1+2</f>
        <v>3</v>
      </c>
      <c r="F4967" s="129">
        <f t="shared" si="420"/>
        <v>47</v>
      </c>
    </row>
    <row r="4968" spans="1:6" x14ac:dyDescent="0.25">
      <c r="A4968" s="140" t="s">
        <v>46</v>
      </c>
      <c r="B4968" s="136">
        <v>44099</v>
      </c>
      <c r="C4968" s="4">
        <v>37</v>
      </c>
      <c r="D4968" s="29">
        <f t="shared" si="421"/>
        <v>3540</v>
      </c>
      <c r="E4968" s="4">
        <f>1+1</f>
        <v>2</v>
      </c>
      <c r="F4968" s="129">
        <f>E4968+F4944</f>
        <v>62</v>
      </c>
    </row>
    <row r="4969" spans="1:6" ht="15.75" thickBot="1" x14ac:dyDescent="0.3">
      <c r="A4969" s="141" t="s">
        <v>47</v>
      </c>
      <c r="B4969" s="136">
        <v>44099</v>
      </c>
      <c r="C4969" s="4">
        <v>383</v>
      </c>
      <c r="D4969" s="132">
        <f t="shared" si="421"/>
        <v>11880</v>
      </c>
      <c r="E4969" s="4">
        <f>4+1</f>
        <v>5</v>
      </c>
      <c r="F4969" s="130">
        <f>E4969+F4945</f>
        <v>107</v>
      </c>
    </row>
    <row r="4970" spans="1:6" x14ac:dyDescent="0.25">
      <c r="A4970" s="64" t="s">
        <v>22</v>
      </c>
      <c r="B4970" s="136">
        <v>44100</v>
      </c>
      <c r="C4970" s="4">
        <v>4480</v>
      </c>
      <c r="D4970" s="131">
        <f>C4970+D4946</f>
        <v>398915</v>
      </c>
      <c r="E4970" s="4">
        <f>86+87</f>
        <v>173</v>
      </c>
      <c r="F4970" s="128">
        <f>E4970+F4946</f>
        <v>9350</v>
      </c>
    </row>
    <row r="4971" spans="1:6" x14ac:dyDescent="0.25">
      <c r="A4971" s="140" t="s">
        <v>20</v>
      </c>
      <c r="B4971" s="136">
        <v>44100</v>
      </c>
      <c r="C4971" s="4">
        <v>917</v>
      </c>
      <c r="D4971" s="29">
        <f t="shared" ref="D4971:D4983" si="422">C4971+D4947</f>
        <v>122660</v>
      </c>
      <c r="E4971" s="4">
        <f>30+29</f>
        <v>59</v>
      </c>
      <c r="F4971" s="129">
        <f>E4971+F4947</f>
        <v>3084</v>
      </c>
    </row>
    <row r="4972" spans="1:6" x14ac:dyDescent="0.25">
      <c r="A4972" s="140" t="s">
        <v>35</v>
      </c>
      <c r="B4972" s="136">
        <v>44100</v>
      </c>
      <c r="C4972" s="4">
        <v>4</v>
      </c>
      <c r="D4972" s="29">
        <f t="shared" si="422"/>
        <v>205</v>
      </c>
      <c r="F4972" s="129">
        <f>E4972+F4948</f>
        <v>0</v>
      </c>
    </row>
    <row r="4973" spans="1:6" x14ac:dyDescent="0.25">
      <c r="A4973" s="140" t="s">
        <v>21</v>
      </c>
      <c r="B4973" s="136">
        <v>44100</v>
      </c>
      <c r="C4973" s="4">
        <v>160</v>
      </c>
      <c r="D4973" s="29">
        <f t="shared" si="422"/>
        <v>8067</v>
      </c>
      <c r="E4973" s="4">
        <f>1+1</f>
        <v>2</v>
      </c>
      <c r="F4973" s="129">
        <f t="shared" ref="F4973:F4991" si="423">E4973+F4949</f>
        <v>277</v>
      </c>
    </row>
    <row r="4974" spans="1:6" x14ac:dyDescent="0.25">
      <c r="A4974" s="140" t="s">
        <v>36</v>
      </c>
      <c r="B4974" s="136">
        <v>44100</v>
      </c>
      <c r="C4974" s="4">
        <v>182</v>
      </c>
      <c r="D4974" s="29">
        <f t="shared" si="422"/>
        <v>3309</v>
      </c>
      <c r="E4974" s="4">
        <f>2+1</f>
        <v>3</v>
      </c>
      <c r="F4974" s="129">
        <f t="shared" si="423"/>
        <v>32</v>
      </c>
    </row>
    <row r="4975" spans="1:6" x14ac:dyDescent="0.25">
      <c r="A4975" s="140" t="s">
        <v>27</v>
      </c>
      <c r="B4975" s="136">
        <v>44100</v>
      </c>
      <c r="C4975" s="4">
        <v>1867</v>
      </c>
      <c r="D4975" s="29">
        <f t="shared" si="422"/>
        <v>27633</v>
      </c>
      <c r="E4975" s="4">
        <f>12+6</f>
        <v>18</v>
      </c>
      <c r="F4975" s="129">
        <f t="shared" si="423"/>
        <v>328</v>
      </c>
    </row>
    <row r="4976" spans="1:6" x14ac:dyDescent="0.25">
      <c r="A4976" s="140" t="s">
        <v>37</v>
      </c>
      <c r="B4976" s="136">
        <v>44100</v>
      </c>
      <c r="C4976" s="4">
        <v>12</v>
      </c>
      <c r="D4976" s="29">
        <f t="shared" si="422"/>
        <v>1014</v>
      </c>
      <c r="F4976" s="129">
        <f>E4976+F4952</f>
        <v>16</v>
      </c>
    </row>
    <row r="4977" spans="1:6" x14ac:dyDescent="0.25">
      <c r="A4977" s="140" t="s">
        <v>38</v>
      </c>
      <c r="B4977" s="136">
        <v>44100</v>
      </c>
      <c r="C4977" s="4">
        <v>146</v>
      </c>
      <c r="D4977" s="29">
        <f t="shared" si="422"/>
        <v>6956</v>
      </c>
      <c r="E4977" s="4">
        <f>1+1</f>
        <v>2</v>
      </c>
      <c r="F4977" s="129">
        <f>E4977+F4953</f>
        <v>129</v>
      </c>
    </row>
    <row r="4978" spans="1:6" x14ac:dyDescent="0.25">
      <c r="A4978" s="140" t="s">
        <v>48</v>
      </c>
      <c r="B4978" s="136">
        <v>44100</v>
      </c>
      <c r="C4978" s="4">
        <v>2</v>
      </c>
      <c r="D4978" s="29">
        <f t="shared" si="422"/>
        <v>104</v>
      </c>
      <c r="F4978" s="129">
        <f>E4978+F4954</f>
        <v>1</v>
      </c>
    </row>
    <row r="4979" spans="1:6" x14ac:dyDescent="0.25">
      <c r="A4979" s="140" t="s">
        <v>39</v>
      </c>
      <c r="B4979" s="136">
        <v>44100</v>
      </c>
      <c r="C4979" s="4">
        <v>209</v>
      </c>
      <c r="D4979" s="29">
        <f t="shared" si="422"/>
        <v>15205</v>
      </c>
      <c r="E4979" s="4">
        <f>11+8</f>
        <v>19</v>
      </c>
      <c r="F4979" s="129">
        <f>E4979+F4955</f>
        <v>413</v>
      </c>
    </row>
    <row r="4980" spans="1:6" x14ac:dyDescent="0.25">
      <c r="A4980" s="140" t="s">
        <v>40</v>
      </c>
      <c r="B4980" s="136">
        <v>44100</v>
      </c>
      <c r="C4980" s="4">
        <v>2</v>
      </c>
      <c r="D4980" s="29">
        <f t="shared" si="422"/>
        <v>684</v>
      </c>
      <c r="E4980" s="4">
        <f>1</f>
        <v>1</v>
      </c>
      <c r="F4980" s="129">
        <f t="shared" si="423"/>
        <v>5</v>
      </c>
    </row>
    <row r="4981" spans="1:6" x14ac:dyDescent="0.25">
      <c r="A4981" s="140" t="s">
        <v>28</v>
      </c>
      <c r="B4981" s="136">
        <v>44100</v>
      </c>
      <c r="C4981" s="4">
        <v>22</v>
      </c>
      <c r="D4981" s="29">
        <f t="shared" si="422"/>
        <v>4496</v>
      </c>
      <c r="F4981" s="129">
        <f t="shared" si="423"/>
        <v>101</v>
      </c>
    </row>
    <row r="4982" spans="1:6" x14ac:dyDescent="0.25">
      <c r="A4982" s="140" t="s">
        <v>24</v>
      </c>
      <c r="B4982" s="136">
        <v>44100</v>
      </c>
      <c r="C4982" s="4">
        <v>656</v>
      </c>
      <c r="D4982" s="29">
        <f t="shared" si="422"/>
        <v>22483</v>
      </c>
      <c r="E4982" s="4">
        <f>9+5</f>
        <v>14</v>
      </c>
      <c r="F4982" s="129">
        <f t="shared" si="423"/>
        <v>242</v>
      </c>
    </row>
    <row r="4983" spans="1:6" x14ac:dyDescent="0.25">
      <c r="A4983" s="140" t="s">
        <v>30</v>
      </c>
      <c r="B4983" s="136">
        <v>44100</v>
      </c>
      <c r="C4983" s="4">
        <v>-5</v>
      </c>
      <c r="D4983" s="29">
        <f t="shared" si="422"/>
        <v>82</v>
      </c>
      <c r="F4983" s="129">
        <f t="shared" si="423"/>
        <v>2</v>
      </c>
    </row>
    <row r="4984" spans="1:6" x14ac:dyDescent="0.25">
      <c r="A4984" s="140" t="s">
        <v>26</v>
      </c>
      <c r="B4984" s="136">
        <v>44100</v>
      </c>
      <c r="C4984" s="4">
        <v>180</v>
      </c>
      <c r="D4984" s="29">
        <f>C4984+D4960</f>
        <v>7155</v>
      </c>
      <c r="E4984" s="4">
        <f>5</f>
        <v>5</v>
      </c>
      <c r="F4984" s="129">
        <f t="shared" si="423"/>
        <v>109</v>
      </c>
    </row>
    <row r="4985" spans="1:6" x14ac:dyDescent="0.25">
      <c r="A4985" s="140" t="s">
        <v>25</v>
      </c>
      <c r="B4985" s="136">
        <v>44100</v>
      </c>
      <c r="C4985" s="4">
        <v>243</v>
      </c>
      <c r="D4985" s="29">
        <f>C4985+D4961</f>
        <v>11718</v>
      </c>
      <c r="E4985" s="4">
        <f>1</f>
        <v>1</v>
      </c>
      <c r="F4985" s="129">
        <f t="shared" si="423"/>
        <v>257</v>
      </c>
    </row>
    <row r="4986" spans="1:6" x14ac:dyDescent="0.25">
      <c r="A4986" s="140" t="s">
        <v>41</v>
      </c>
      <c r="B4986" s="136">
        <v>44100</v>
      </c>
      <c r="C4986" s="4">
        <v>301</v>
      </c>
      <c r="D4986" s="29">
        <f>C4986+D4962</f>
        <v>11253</v>
      </c>
      <c r="E4986" s="4">
        <f>12+3</f>
        <v>15</v>
      </c>
      <c r="F4986" s="129">
        <f>E4986+F4962</f>
        <v>293</v>
      </c>
    </row>
    <row r="4987" spans="1:6" x14ac:dyDescent="0.25">
      <c r="A4987" s="140" t="s">
        <v>42</v>
      </c>
      <c r="B4987" s="136">
        <v>44100</v>
      </c>
      <c r="C4987" s="4">
        <v>2</v>
      </c>
      <c r="D4987" s="29">
        <f t="shared" ref="D4987:D4993" si="424">C4987+D4963</f>
        <v>558</v>
      </c>
      <c r="E4987" s="4">
        <f>1+2</f>
        <v>3</v>
      </c>
      <c r="F4987" s="129">
        <f>E4987+F4963</f>
        <v>28</v>
      </c>
    </row>
    <row r="4988" spans="1:6" x14ac:dyDescent="0.25">
      <c r="A4988" s="140" t="s">
        <v>43</v>
      </c>
      <c r="B4988" s="136">
        <v>44100</v>
      </c>
      <c r="C4988" s="4">
        <v>1</v>
      </c>
      <c r="D4988" s="29">
        <f t="shared" si="424"/>
        <v>1086</v>
      </c>
      <c r="F4988" s="129">
        <f t="shared" si="423"/>
        <v>4</v>
      </c>
    </row>
    <row r="4989" spans="1:6" x14ac:dyDescent="0.25">
      <c r="A4989" s="140" t="s">
        <v>44</v>
      </c>
      <c r="B4989" s="136">
        <v>44100</v>
      </c>
      <c r="C4989" s="4">
        <v>125</v>
      </c>
      <c r="D4989" s="29">
        <f t="shared" si="424"/>
        <v>4380</v>
      </c>
      <c r="E4989" s="4">
        <f>3+2</f>
        <v>5</v>
      </c>
      <c r="F4989" s="129">
        <f>E4989+F4965</f>
        <v>55</v>
      </c>
    </row>
    <row r="4990" spans="1:6" x14ac:dyDescent="0.25">
      <c r="A4990" s="140" t="s">
        <v>29</v>
      </c>
      <c r="B4990" s="136">
        <v>44100</v>
      </c>
      <c r="C4990" s="4">
        <v>1311</v>
      </c>
      <c r="D4990" s="29">
        <f t="shared" si="424"/>
        <v>35851</v>
      </c>
      <c r="E4990" s="4">
        <f>7+8</f>
        <v>15</v>
      </c>
      <c r="F4990" s="129">
        <f>E4990+F4966</f>
        <v>384</v>
      </c>
    </row>
    <row r="4991" spans="1:6" x14ac:dyDescent="0.25">
      <c r="A4991" s="140" t="s">
        <v>45</v>
      </c>
      <c r="B4991" s="136">
        <v>44100</v>
      </c>
      <c r="C4991" s="4">
        <v>71</v>
      </c>
      <c r="D4991" s="29">
        <f t="shared" si="424"/>
        <v>2889</v>
      </c>
      <c r="E4991" s="4">
        <f>2</f>
        <v>2</v>
      </c>
      <c r="F4991" s="129">
        <f t="shared" si="423"/>
        <v>49</v>
      </c>
    </row>
    <row r="4992" spans="1:6" x14ac:dyDescent="0.25">
      <c r="A4992" s="140" t="s">
        <v>46</v>
      </c>
      <c r="B4992" s="136">
        <v>44100</v>
      </c>
      <c r="C4992" s="4">
        <v>102</v>
      </c>
      <c r="D4992" s="29">
        <f t="shared" si="424"/>
        <v>3642</v>
      </c>
      <c r="F4992" s="129">
        <f>E4992+F4968</f>
        <v>62</v>
      </c>
    </row>
    <row r="4993" spans="1:6" ht="15.75" thickBot="1" x14ac:dyDescent="0.3">
      <c r="A4993" s="141" t="s">
        <v>47</v>
      </c>
      <c r="B4993" s="136">
        <v>44100</v>
      </c>
      <c r="C4993" s="4">
        <v>249</v>
      </c>
      <c r="D4993" s="132">
        <f t="shared" si="424"/>
        <v>12129</v>
      </c>
      <c r="F4993" s="130">
        <f>E4993+F4969</f>
        <v>107</v>
      </c>
    </row>
    <row r="4994" spans="1:6" x14ac:dyDescent="0.25">
      <c r="A4994" s="64" t="s">
        <v>22</v>
      </c>
      <c r="B4994" s="136">
        <v>44101</v>
      </c>
      <c r="C4994" s="4">
        <v>2947</v>
      </c>
      <c r="D4994" s="131">
        <f>C4994+D4970</f>
        <v>401862</v>
      </c>
      <c r="E4994" s="4">
        <f>35+33</f>
        <v>68</v>
      </c>
      <c r="F4994" s="128">
        <f>E4994+F4970</f>
        <v>9418</v>
      </c>
    </row>
    <row r="4995" spans="1:6" x14ac:dyDescent="0.25">
      <c r="A4995" s="140" t="s">
        <v>20</v>
      </c>
      <c r="B4995" s="136">
        <v>44101</v>
      </c>
      <c r="C4995" s="4">
        <v>628</v>
      </c>
      <c r="D4995" s="29">
        <f t="shared" ref="D4995:D5007" si="425">C4995+D4971</f>
        <v>123288</v>
      </c>
      <c r="E4995" s="4">
        <f>30+32</f>
        <v>62</v>
      </c>
      <c r="F4995" s="129">
        <f>E4995+F4971</f>
        <v>3146</v>
      </c>
    </row>
    <row r="4996" spans="1:6" x14ac:dyDescent="0.25">
      <c r="A4996" s="140" t="s">
        <v>35</v>
      </c>
      <c r="B4996" s="136">
        <v>44101</v>
      </c>
      <c r="C4996" s="4">
        <v>67</v>
      </c>
      <c r="D4996" s="29">
        <f t="shared" si="425"/>
        <v>272</v>
      </c>
      <c r="E4996" s="4">
        <f>0</f>
        <v>0</v>
      </c>
      <c r="F4996" s="129">
        <f>E4996+F4972</f>
        <v>0</v>
      </c>
    </row>
    <row r="4997" spans="1:6" x14ac:dyDescent="0.25">
      <c r="A4997" s="140" t="s">
        <v>21</v>
      </c>
      <c r="B4997" s="136">
        <v>44101</v>
      </c>
      <c r="C4997" s="4">
        <v>111</v>
      </c>
      <c r="D4997" s="29">
        <f t="shared" si="425"/>
        <v>8178</v>
      </c>
      <c r="E4997" s="4">
        <f>1</f>
        <v>1</v>
      </c>
      <c r="F4997" s="129">
        <f t="shared" ref="F4997:F5015" si="426">E4997+F4973</f>
        <v>278</v>
      </c>
    </row>
    <row r="4998" spans="1:6" x14ac:dyDescent="0.25">
      <c r="A4998" s="140" t="s">
        <v>36</v>
      </c>
      <c r="B4998" s="136">
        <v>44101</v>
      </c>
      <c r="C4998" s="4">
        <v>100</v>
      </c>
      <c r="D4998" s="29">
        <f t="shared" si="425"/>
        <v>3409</v>
      </c>
      <c r="F4998" s="129">
        <f t="shared" si="426"/>
        <v>32</v>
      </c>
    </row>
    <row r="4999" spans="1:6" x14ac:dyDescent="0.25">
      <c r="A4999" s="140" t="s">
        <v>27</v>
      </c>
      <c r="B4999" s="136">
        <v>44101</v>
      </c>
      <c r="C4999" s="4">
        <v>1577</v>
      </c>
      <c r="D4999" s="29">
        <f t="shared" si="425"/>
        <v>29210</v>
      </c>
      <c r="E4999" s="4">
        <f>7+10</f>
        <v>17</v>
      </c>
      <c r="F4999" s="129">
        <f t="shared" si="426"/>
        <v>345</v>
      </c>
    </row>
    <row r="5000" spans="1:6" x14ac:dyDescent="0.25">
      <c r="A5000" s="140" t="s">
        <v>37</v>
      </c>
      <c r="B5000" s="136">
        <v>44101</v>
      </c>
      <c r="C5000" s="4">
        <v>49</v>
      </c>
      <c r="D5000" s="29">
        <f t="shared" si="425"/>
        <v>1063</v>
      </c>
      <c r="E5000" s="4">
        <f>3</f>
        <v>3</v>
      </c>
      <c r="F5000" s="129">
        <f>E5000+F4976</f>
        <v>19</v>
      </c>
    </row>
    <row r="5001" spans="1:6" x14ac:dyDescent="0.25">
      <c r="A5001" s="140" t="s">
        <v>38</v>
      </c>
      <c r="B5001" s="136">
        <v>44101</v>
      </c>
      <c r="C5001" s="4">
        <v>85</v>
      </c>
      <c r="D5001" s="29">
        <f t="shared" si="425"/>
        <v>7041</v>
      </c>
      <c r="E5001" s="4">
        <f>2</f>
        <v>2</v>
      </c>
      <c r="F5001" s="129">
        <f>E5001+F4977</f>
        <v>131</v>
      </c>
    </row>
    <row r="5002" spans="1:6" x14ac:dyDescent="0.25">
      <c r="A5002" s="140" t="s">
        <v>48</v>
      </c>
      <c r="B5002" s="136">
        <v>44101</v>
      </c>
      <c r="C5002" s="4">
        <v>1</v>
      </c>
      <c r="D5002" s="29">
        <f t="shared" si="425"/>
        <v>105</v>
      </c>
      <c r="F5002" s="129">
        <f>E5002+F4978</f>
        <v>1</v>
      </c>
    </row>
    <row r="5003" spans="1:6" x14ac:dyDescent="0.25">
      <c r="A5003" s="140" t="s">
        <v>39</v>
      </c>
      <c r="B5003" s="136">
        <v>44101</v>
      </c>
      <c r="C5003" s="4">
        <v>97</v>
      </c>
      <c r="D5003" s="29">
        <f t="shared" si="425"/>
        <v>15302</v>
      </c>
      <c r="E5003" s="4">
        <f>11+7</f>
        <v>18</v>
      </c>
      <c r="F5003" s="129">
        <f>E5003+F4979</f>
        <v>431</v>
      </c>
    </row>
    <row r="5004" spans="1:6" x14ac:dyDescent="0.25">
      <c r="A5004" s="140" t="s">
        <v>40</v>
      </c>
      <c r="B5004" s="136">
        <v>44101</v>
      </c>
      <c r="C5004" s="4">
        <v>10</v>
      </c>
      <c r="D5004" s="29">
        <f t="shared" si="425"/>
        <v>694</v>
      </c>
      <c r="E5004" s="4">
        <f>2</f>
        <v>2</v>
      </c>
      <c r="F5004" s="129">
        <f t="shared" si="426"/>
        <v>7</v>
      </c>
    </row>
    <row r="5005" spans="1:6" x14ac:dyDescent="0.25">
      <c r="A5005" s="140" t="s">
        <v>28</v>
      </c>
      <c r="B5005" s="136">
        <v>44101</v>
      </c>
      <c r="C5005" s="4">
        <v>86</v>
      </c>
      <c r="D5005" s="29">
        <f t="shared" si="425"/>
        <v>4582</v>
      </c>
      <c r="F5005" s="129">
        <f t="shared" si="426"/>
        <v>101</v>
      </c>
    </row>
    <row r="5006" spans="1:6" x14ac:dyDescent="0.25">
      <c r="A5006" s="140" t="s">
        <v>24</v>
      </c>
      <c r="B5006" s="136">
        <v>44101</v>
      </c>
      <c r="C5006" s="4">
        <v>558</v>
      </c>
      <c r="D5006" s="29">
        <f t="shared" si="425"/>
        <v>23041</v>
      </c>
      <c r="E5006" s="4">
        <f>2</f>
        <v>2</v>
      </c>
      <c r="F5006" s="129">
        <f t="shared" si="426"/>
        <v>244</v>
      </c>
    </row>
    <row r="5007" spans="1:6" x14ac:dyDescent="0.25">
      <c r="A5007" s="140" t="s">
        <v>30</v>
      </c>
      <c r="B5007" s="136">
        <v>44101</v>
      </c>
      <c r="C5007" s="4">
        <v>3</v>
      </c>
      <c r="D5007" s="29">
        <f t="shared" si="425"/>
        <v>85</v>
      </c>
      <c r="F5007" s="129">
        <f t="shared" si="426"/>
        <v>2</v>
      </c>
    </row>
    <row r="5008" spans="1:6" x14ac:dyDescent="0.25">
      <c r="A5008" s="140" t="s">
        <v>26</v>
      </c>
      <c r="B5008" s="136">
        <v>44101</v>
      </c>
      <c r="C5008" s="4">
        <v>181</v>
      </c>
      <c r="D5008" s="29">
        <f>C5008+D4984</f>
        <v>7336</v>
      </c>
      <c r="E5008" s="4">
        <f>2</f>
        <v>2</v>
      </c>
      <c r="F5008" s="129">
        <f t="shared" si="426"/>
        <v>111</v>
      </c>
    </row>
    <row r="5009" spans="1:6" x14ac:dyDescent="0.25">
      <c r="A5009" s="140" t="s">
        <v>25</v>
      </c>
      <c r="B5009" s="136">
        <v>44101</v>
      </c>
      <c r="C5009" s="4">
        <v>200</v>
      </c>
      <c r="D5009" s="29">
        <f>C5009+D4985</f>
        <v>11918</v>
      </c>
      <c r="E5009" s="4">
        <f>6+2</f>
        <v>8</v>
      </c>
      <c r="F5009" s="129">
        <f t="shared" si="426"/>
        <v>265</v>
      </c>
    </row>
    <row r="5010" spans="1:6" x14ac:dyDescent="0.25">
      <c r="A5010" s="140" t="s">
        <v>41</v>
      </c>
      <c r="B5010" s="136">
        <v>44101</v>
      </c>
      <c r="C5010" s="4">
        <v>244</v>
      </c>
      <c r="D5010" s="29">
        <f>C5010+D4986</f>
        <v>11497</v>
      </c>
      <c r="E5010" s="4">
        <f>2+1</f>
        <v>3</v>
      </c>
      <c r="F5010" s="129">
        <f>E5010+F4986</f>
        <v>296</v>
      </c>
    </row>
    <row r="5011" spans="1:6" x14ac:dyDescent="0.25">
      <c r="A5011" s="140" t="s">
        <v>42</v>
      </c>
      <c r="B5011" s="136">
        <v>44101</v>
      </c>
      <c r="C5011" s="4">
        <v>65</v>
      </c>
      <c r="D5011" s="29">
        <f t="shared" ref="D5011:D5017" si="427">C5011+D4987</f>
        <v>623</v>
      </c>
      <c r="F5011" s="129">
        <f>E5011+F4987</f>
        <v>28</v>
      </c>
    </row>
    <row r="5012" spans="1:6" x14ac:dyDescent="0.25">
      <c r="A5012" s="140" t="s">
        <v>43</v>
      </c>
      <c r="B5012" s="136">
        <v>44101</v>
      </c>
      <c r="C5012" s="4">
        <v>5</v>
      </c>
      <c r="D5012" s="29">
        <f t="shared" si="427"/>
        <v>1091</v>
      </c>
      <c r="F5012" s="129">
        <f t="shared" si="426"/>
        <v>4</v>
      </c>
    </row>
    <row r="5013" spans="1:6" x14ac:dyDescent="0.25">
      <c r="A5013" s="140" t="s">
        <v>44</v>
      </c>
      <c r="B5013" s="136">
        <v>44101</v>
      </c>
      <c r="C5013" s="4">
        <v>77</v>
      </c>
      <c r="D5013" s="29">
        <f t="shared" si="427"/>
        <v>4457</v>
      </c>
      <c r="E5013" s="4">
        <f>1+1</f>
        <v>2</v>
      </c>
      <c r="F5013" s="129">
        <f>E5013+F4989</f>
        <v>57</v>
      </c>
    </row>
    <row r="5014" spans="1:6" x14ac:dyDescent="0.25">
      <c r="A5014" s="140" t="s">
        <v>29</v>
      </c>
      <c r="B5014" s="136">
        <v>44101</v>
      </c>
      <c r="C5014" s="4">
        <v>944</v>
      </c>
      <c r="D5014" s="29">
        <f t="shared" si="427"/>
        <v>36795</v>
      </c>
      <c r="E5014" s="4">
        <f>6+7</f>
        <v>13</v>
      </c>
      <c r="F5014" s="129">
        <f>E5014+F4990</f>
        <v>397</v>
      </c>
    </row>
    <row r="5015" spans="1:6" x14ac:dyDescent="0.25">
      <c r="A5015" s="140" t="s">
        <v>45</v>
      </c>
      <c r="B5015" s="136">
        <v>44101</v>
      </c>
      <c r="C5015" s="4">
        <v>168</v>
      </c>
      <c r="D5015" s="29">
        <f t="shared" si="427"/>
        <v>3057</v>
      </c>
      <c r="E5015" s="4">
        <f>2+1</f>
        <v>3</v>
      </c>
      <c r="F5015" s="129">
        <f t="shared" si="426"/>
        <v>52</v>
      </c>
    </row>
    <row r="5016" spans="1:6" x14ac:dyDescent="0.25">
      <c r="A5016" s="140" t="s">
        <v>46</v>
      </c>
      <c r="B5016" s="136">
        <v>44101</v>
      </c>
      <c r="C5016" s="4">
        <v>86</v>
      </c>
      <c r="D5016" s="29">
        <f t="shared" si="427"/>
        <v>3728</v>
      </c>
      <c r="F5016" s="129">
        <f>E5016+F4992</f>
        <v>62</v>
      </c>
    </row>
    <row r="5017" spans="1:6" ht="15.75" thickBot="1" x14ac:dyDescent="0.3">
      <c r="A5017" s="142" t="s">
        <v>47</v>
      </c>
      <c r="B5017" s="138">
        <v>44101</v>
      </c>
      <c r="C5017" s="47">
        <v>552</v>
      </c>
      <c r="D5017" s="85">
        <f t="shared" si="427"/>
        <v>12681</v>
      </c>
      <c r="E5017" s="47"/>
      <c r="F5017" s="139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1">
        <f>C5018+D4994</f>
        <v>406406</v>
      </c>
      <c r="E5018" s="50">
        <v>193</v>
      </c>
      <c r="F5018" s="128">
        <f>E5018+F4994</f>
        <v>9611</v>
      </c>
    </row>
    <row r="5019" spans="1:6" x14ac:dyDescent="0.25">
      <c r="A5019" s="140" t="s">
        <v>20</v>
      </c>
      <c r="B5019" s="136">
        <v>44102</v>
      </c>
      <c r="C5019" s="4">
        <v>787</v>
      </c>
      <c r="D5019" s="29">
        <f t="shared" ref="D5019:D5031" si="428">C5019+D4995</f>
        <v>124075</v>
      </c>
      <c r="E5019" s="4">
        <v>38</v>
      </c>
      <c r="F5019" s="129">
        <f>E5019+F4995</f>
        <v>3184</v>
      </c>
    </row>
    <row r="5020" spans="1:6" x14ac:dyDescent="0.25">
      <c r="A5020" s="140" t="s">
        <v>35</v>
      </c>
      <c r="B5020" s="136">
        <v>44102</v>
      </c>
      <c r="C5020" s="4">
        <v>3</v>
      </c>
      <c r="D5020" s="29">
        <f t="shared" si="428"/>
        <v>275</v>
      </c>
      <c r="F5020" s="129">
        <f>E5020+F4996</f>
        <v>0</v>
      </c>
    </row>
    <row r="5021" spans="1:6" x14ac:dyDescent="0.25">
      <c r="A5021" s="140" t="s">
        <v>21</v>
      </c>
      <c r="B5021" s="136">
        <v>44102</v>
      </c>
      <c r="C5021" s="4">
        <v>65</v>
      </c>
      <c r="D5021" s="29">
        <f t="shared" si="428"/>
        <v>8243</v>
      </c>
      <c r="E5021" s="4">
        <v>2</v>
      </c>
      <c r="F5021" s="129">
        <f t="shared" ref="F5021:F5039" si="429">E5021+F4997</f>
        <v>280</v>
      </c>
    </row>
    <row r="5022" spans="1:6" x14ac:dyDescent="0.25">
      <c r="A5022" s="140" t="s">
        <v>36</v>
      </c>
      <c r="B5022" s="136">
        <v>44102</v>
      </c>
      <c r="C5022" s="4">
        <v>181</v>
      </c>
      <c r="D5022" s="29">
        <f t="shared" si="428"/>
        <v>3590</v>
      </c>
      <c r="E5022" s="4">
        <v>5</v>
      </c>
      <c r="F5022" s="129">
        <f t="shared" si="429"/>
        <v>37</v>
      </c>
    </row>
    <row r="5023" spans="1:6" x14ac:dyDescent="0.25">
      <c r="A5023" s="140" t="s">
        <v>27</v>
      </c>
      <c r="B5023" s="136">
        <v>44102</v>
      </c>
      <c r="C5023" s="4">
        <v>1475</v>
      </c>
      <c r="D5023" s="29">
        <f t="shared" si="428"/>
        <v>30685</v>
      </c>
      <c r="E5023" s="4">
        <v>12</v>
      </c>
      <c r="F5023" s="129">
        <f t="shared" si="429"/>
        <v>357</v>
      </c>
    </row>
    <row r="5024" spans="1:6" x14ac:dyDescent="0.25">
      <c r="A5024" s="140" t="s">
        <v>37</v>
      </c>
      <c r="B5024" s="136">
        <v>44102</v>
      </c>
      <c r="C5024" s="4">
        <v>22</v>
      </c>
      <c r="D5024" s="29">
        <f t="shared" si="428"/>
        <v>1085</v>
      </c>
      <c r="E5024" s="4">
        <v>4</v>
      </c>
      <c r="F5024" s="129">
        <f>E5024+F5000</f>
        <v>23</v>
      </c>
    </row>
    <row r="5025" spans="1:6" x14ac:dyDescent="0.25">
      <c r="A5025" s="140" t="s">
        <v>38</v>
      </c>
      <c r="B5025" s="136">
        <v>44102</v>
      </c>
      <c r="C5025" s="4">
        <v>103</v>
      </c>
      <c r="D5025" s="29">
        <f t="shared" si="428"/>
        <v>7144</v>
      </c>
      <c r="E5025" s="4">
        <v>1</v>
      </c>
      <c r="F5025" s="129">
        <f>E5025+F5001</f>
        <v>132</v>
      </c>
    </row>
    <row r="5026" spans="1:6" x14ac:dyDescent="0.25">
      <c r="A5026" s="140" t="s">
        <v>48</v>
      </c>
      <c r="B5026" s="136">
        <v>44102</v>
      </c>
      <c r="C5026" s="4">
        <v>-1</v>
      </c>
      <c r="D5026" s="29">
        <f t="shared" si="428"/>
        <v>104</v>
      </c>
      <c r="F5026" s="129">
        <f>E5026+F5002</f>
        <v>1</v>
      </c>
    </row>
    <row r="5027" spans="1:6" x14ac:dyDescent="0.25">
      <c r="A5027" s="140" t="s">
        <v>39</v>
      </c>
      <c r="B5027" s="136">
        <v>44102</v>
      </c>
      <c r="C5027" s="4">
        <v>109</v>
      </c>
      <c r="D5027" s="29">
        <f t="shared" si="428"/>
        <v>15411</v>
      </c>
      <c r="E5027" s="4">
        <v>33</v>
      </c>
      <c r="F5027" s="129">
        <f>E5027+F5003</f>
        <v>464</v>
      </c>
    </row>
    <row r="5028" spans="1:6" x14ac:dyDescent="0.25">
      <c r="A5028" s="140" t="s">
        <v>40</v>
      </c>
      <c r="B5028" s="136">
        <v>44102</v>
      </c>
      <c r="C5028" s="4">
        <v>25</v>
      </c>
      <c r="D5028" s="29">
        <f t="shared" si="428"/>
        <v>719</v>
      </c>
      <c r="F5028" s="129">
        <f t="shared" si="429"/>
        <v>7</v>
      </c>
    </row>
    <row r="5029" spans="1:6" x14ac:dyDescent="0.25">
      <c r="A5029" s="140" t="s">
        <v>28</v>
      </c>
      <c r="B5029" s="136">
        <v>44102</v>
      </c>
      <c r="C5029" s="4">
        <v>69</v>
      </c>
      <c r="D5029" s="29">
        <f t="shared" si="428"/>
        <v>4651</v>
      </c>
      <c r="F5029" s="129">
        <f t="shared" si="429"/>
        <v>101</v>
      </c>
    </row>
    <row r="5030" spans="1:6" x14ac:dyDescent="0.25">
      <c r="A5030" s="140" t="s">
        <v>24</v>
      </c>
      <c r="B5030" s="136">
        <v>44102</v>
      </c>
      <c r="C5030" s="4">
        <v>649</v>
      </c>
      <c r="D5030" s="29">
        <f t="shared" si="428"/>
        <v>23690</v>
      </c>
      <c r="E5030" s="4">
        <v>2</v>
      </c>
      <c r="F5030" s="129">
        <f t="shared" si="429"/>
        <v>246</v>
      </c>
    </row>
    <row r="5031" spans="1:6" x14ac:dyDescent="0.25">
      <c r="A5031" s="140" t="s">
        <v>30</v>
      </c>
      <c r="B5031" s="136">
        <v>44102</v>
      </c>
      <c r="C5031" s="4">
        <v>-6</v>
      </c>
      <c r="D5031" s="29">
        <f t="shared" si="428"/>
        <v>79</v>
      </c>
      <c r="E5031" s="4">
        <v>1</v>
      </c>
      <c r="F5031" s="129">
        <f t="shared" si="429"/>
        <v>3</v>
      </c>
    </row>
    <row r="5032" spans="1:6" x14ac:dyDescent="0.25">
      <c r="A5032" s="140" t="s">
        <v>26</v>
      </c>
      <c r="B5032" s="136">
        <v>44102</v>
      </c>
      <c r="C5032" s="4">
        <v>288</v>
      </c>
      <c r="D5032" s="29">
        <f>C5032+D5008</f>
        <v>7624</v>
      </c>
      <c r="E5032" s="4">
        <v>3</v>
      </c>
      <c r="F5032" s="129">
        <f t="shared" si="429"/>
        <v>114</v>
      </c>
    </row>
    <row r="5033" spans="1:6" x14ac:dyDescent="0.25">
      <c r="A5033" s="140" t="s">
        <v>25</v>
      </c>
      <c r="B5033" s="136">
        <v>44102</v>
      </c>
      <c r="C5033" s="4">
        <v>213</v>
      </c>
      <c r="D5033" s="29">
        <f>C5033+D5009</f>
        <v>12131</v>
      </c>
      <c r="E5033" s="4">
        <v>6</v>
      </c>
      <c r="F5033" s="129">
        <f t="shared" si="429"/>
        <v>271</v>
      </c>
    </row>
    <row r="5034" spans="1:6" x14ac:dyDescent="0.25">
      <c r="A5034" s="140" t="s">
        <v>41</v>
      </c>
      <c r="B5034" s="136">
        <v>44102</v>
      </c>
      <c r="C5034" s="4">
        <v>234</v>
      </c>
      <c r="D5034" s="29">
        <f>C5034+D5010</f>
        <v>11731</v>
      </c>
      <c r="E5034" s="4">
        <v>19</v>
      </c>
      <c r="F5034" s="129">
        <f>E5034+F5010</f>
        <v>315</v>
      </c>
    </row>
    <row r="5035" spans="1:6" x14ac:dyDescent="0.25">
      <c r="A5035" s="140" t="s">
        <v>42</v>
      </c>
      <c r="B5035" s="136">
        <v>44102</v>
      </c>
      <c r="C5035" s="4">
        <v>72</v>
      </c>
      <c r="D5035" s="29">
        <f t="shared" ref="D5035:D5041" si="430">C5035+D5011</f>
        <v>695</v>
      </c>
      <c r="F5035" s="129">
        <f>E5035+F5011</f>
        <v>28</v>
      </c>
    </row>
    <row r="5036" spans="1:6" x14ac:dyDescent="0.25">
      <c r="A5036" s="140" t="s">
        <v>43</v>
      </c>
      <c r="B5036" s="136">
        <v>44102</v>
      </c>
      <c r="C5036" s="4">
        <v>100</v>
      </c>
      <c r="D5036" s="29">
        <f t="shared" si="430"/>
        <v>1191</v>
      </c>
      <c r="E5036" s="4">
        <v>1</v>
      </c>
      <c r="F5036" s="129">
        <f t="shared" si="429"/>
        <v>5</v>
      </c>
    </row>
    <row r="5037" spans="1:6" x14ac:dyDescent="0.25">
      <c r="A5037" s="140" t="s">
        <v>44</v>
      </c>
      <c r="B5037" s="136">
        <v>44102</v>
      </c>
      <c r="C5037" s="4">
        <v>129</v>
      </c>
      <c r="D5037" s="29">
        <f t="shared" si="430"/>
        <v>4586</v>
      </c>
      <c r="E5037" s="4">
        <v>1</v>
      </c>
      <c r="F5037" s="129">
        <f>E5037+F5013</f>
        <v>58</v>
      </c>
    </row>
    <row r="5038" spans="1:6" x14ac:dyDescent="0.25">
      <c r="A5038" s="140" t="s">
        <v>29</v>
      </c>
      <c r="B5038" s="136">
        <v>44102</v>
      </c>
      <c r="C5038" s="4">
        <v>1575</v>
      </c>
      <c r="D5038" s="29">
        <f t="shared" si="430"/>
        <v>38370</v>
      </c>
      <c r="E5038" s="4">
        <v>24</v>
      </c>
      <c r="F5038" s="129">
        <f>E5038+F5014</f>
        <v>421</v>
      </c>
    </row>
    <row r="5039" spans="1:6" x14ac:dyDescent="0.25">
      <c r="A5039" s="140" t="s">
        <v>45</v>
      </c>
      <c r="B5039" s="136">
        <v>44102</v>
      </c>
      <c r="C5039" s="4">
        <v>124</v>
      </c>
      <c r="D5039" s="29">
        <f t="shared" si="430"/>
        <v>3181</v>
      </c>
      <c r="E5039" s="4">
        <v>5</v>
      </c>
      <c r="F5039" s="129">
        <f t="shared" si="429"/>
        <v>57</v>
      </c>
    </row>
    <row r="5040" spans="1:6" x14ac:dyDescent="0.25">
      <c r="A5040" s="140" t="s">
        <v>46</v>
      </c>
      <c r="B5040" s="136">
        <v>44102</v>
      </c>
      <c r="C5040" s="4">
        <v>158</v>
      </c>
      <c r="D5040" s="29">
        <f t="shared" si="430"/>
        <v>3886</v>
      </c>
      <c r="E5040" s="4">
        <v>3</v>
      </c>
      <c r="F5040" s="129">
        <f>E5040+F5016</f>
        <v>65</v>
      </c>
    </row>
    <row r="5041" spans="1:6" ht="15.75" thickBot="1" x14ac:dyDescent="0.3">
      <c r="A5041" s="141" t="s">
        <v>47</v>
      </c>
      <c r="B5041" s="145">
        <v>44102</v>
      </c>
      <c r="C5041" s="54">
        <v>889</v>
      </c>
      <c r="D5041" s="132">
        <f t="shared" si="430"/>
        <v>13570</v>
      </c>
      <c r="E5041" s="54">
        <v>12</v>
      </c>
      <c r="F5041" s="130">
        <f>E5041+F5017</f>
        <v>119</v>
      </c>
    </row>
    <row r="5042" spans="1:6" x14ac:dyDescent="0.25">
      <c r="A5042" s="64" t="s">
        <v>22</v>
      </c>
      <c r="B5042" s="136">
        <v>44103</v>
      </c>
      <c r="C5042" s="48">
        <v>5328</v>
      </c>
      <c r="D5042" s="131">
        <f>C5042+D5018</f>
        <v>411734</v>
      </c>
      <c r="E5042" s="48">
        <v>249</v>
      </c>
      <c r="F5042" s="128">
        <f>E5042+F5018</f>
        <v>9860</v>
      </c>
    </row>
    <row r="5043" spans="1:6" x14ac:dyDescent="0.25">
      <c r="A5043" s="140" t="s">
        <v>20</v>
      </c>
      <c r="B5043" s="136">
        <v>44103</v>
      </c>
      <c r="C5043" s="4">
        <v>993</v>
      </c>
      <c r="D5043" s="29">
        <f t="shared" ref="D5043:D5055" si="431">C5043+D5019</f>
        <v>125068</v>
      </c>
      <c r="E5043" s="4">
        <v>52</v>
      </c>
      <c r="F5043" s="129">
        <f>E5043+F5019</f>
        <v>3236</v>
      </c>
    </row>
    <row r="5044" spans="1:6" x14ac:dyDescent="0.25">
      <c r="A5044" s="140" t="s">
        <v>35</v>
      </c>
      <c r="B5044" s="136">
        <v>44103</v>
      </c>
      <c r="C5044" s="4">
        <v>4</v>
      </c>
      <c r="D5044" s="29">
        <f t="shared" si="431"/>
        <v>279</v>
      </c>
      <c r="F5044" s="129">
        <f>E5044+F5020</f>
        <v>0</v>
      </c>
    </row>
    <row r="5045" spans="1:6" x14ac:dyDescent="0.25">
      <c r="A5045" s="140" t="s">
        <v>21</v>
      </c>
      <c r="B5045" s="136">
        <v>44103</v>
      </c>
      <c r="C5045" s="4">
        <v>143</v>
      </c>
      <c r="D5045" s="29">
        <f t="shared" si="431"/>
        <v>8386</v>
      </c>
      <c r="E5045" s="4">
        <v>1</v>
      </c>
      <c r="F5045" s="129">
        <f t="shared" ref="F5045:F5063" si="432">E5045+F5021</f>
        <v>281</v>
      </c>
    </row>
    <row r="5046" spans="1:6" x14ac:dyDescent="0.25">
      <c r="A5046" s="140" t="s">
        <v>36</v>
      </c>
      <c r="B5046" s="136">
        <v>44103</v>
      </c>
      <c r="C5046" s="4">
        <v>209</v>
      </c>
      <c r="D5046" s="29">
        <f t="shared" si="431"/>
        <v>3799</v>
      </c>
      <c r="E5046" s="4">
        <v>7</v>
      </c>
      <c r="F5046" s="129">
        <f t="shared" si="432"/>
        <v>44</v>
      </c>
    </row>
    <row r="5047" spans="1:6" x14ac:dyDescent="0.25">
      <c r="A5047" s="140" t="s">
        <v>27</v>
      </c>
      <c r="B5047" s="136">
        <v>44103</v>
      </c>
      <c r="C5047" s="4">
        <v>1800</v>
      </c>
      <c r="D5047" s="29">
        <f t="shared" si="431"/>
        <v>32485</v>
      </c>
      <c r="E5047" s="4">
        <v>21</v>
      </c>
      <c r="F5047" s="129">
        <f t="shared" si="432"/>
        <v>378</v>
      </c>
    </row>
    <row r="5048" spans="1:6" x14ac:dyDescent="0.25">
      <c r="A5048" s="140" t="s">
        <v>37</v>
      </c>
      <c r="B5048" s="136">
        <v>44103</v>
      </c>
      <c r="C5048" s="4">
        <v>-12</v>
      </c>
      <c r="D5048" s="29">
        <f t="shared" si="431"/>
        <v>1073</v>
      </c>
      <c r="E5048" s="4">
        <v>-1</v>
      </c>
      <c r="F5048" s="129">
        <f>E5048+F5024</f>
        <v>22</v>
      </c>
    </row>
    <row r="5049" spans="1:6" x14ac:dyDescent="0.25">
      <c r="A5049" s="140" t="s">
        <v>38</v>
      </c>
      <c r="B5049" s="136">
        <v>44103</v>
      </c>
      <c r="C5049" s="4">
        <v>162</v>
      </c>
      <c r="D5049" s="29">
        <f t="shared" si="431"/>
        <v>7306</v>
      </c>
      <c r="E5049" s="4">
        <v>6</v>
      </c>
      <c r="F5049" s="129">
        <f>E5049+F5025</f>
        <v>138</v>
      </c>
    </row>
    <row r="5050" spans="1:6" x14ac:dyDescent="0.25">
      <c r="A5050" s="140" t="s">
        <v>48</v>
      </c>
      <c r="B5050" s="136">
        <v>44103</v>
      </c>
      <c r="C5050" s="4">
        <v>0</v>
      </c>
      <c r="D5050" s="29">
        <f t="shared" si="431"/>
        <v>104</v>
      </c>
      <c r="E5050" s="4">
        <v>0</v>
      </c>
      <c r="F5050" s="129">
        <f>E5050+F5026</f>
        <v>1</v>
      </c>
    </row>
    <row r="5051" spans="1:6" x14ac:dyDescent="0.25">
      <c r="A5051" s="140" t="s">
        <v>39</v>
      </c>
      <c r="B5051" s="136">
        <v>44103</v>
      </c>
      <c r="C5051" s="4">
        <v>102</v>
      </c>
      <c r="D5051" s="29">
        <f t="shared" si="431"/>
        <v>15513</v>
      </c>
      <c r="E5051" s="4">
        <v>4</v>
      </c>
      <c r="F5051" s="129">
        <f>E5051+F5027</f>
        <v>468</v>
      </c>
    </row>
    <row r="5052" spans="1:6" x14ac:dyDescent="0.25">
      <c r="A5052" s="140" t="s">
        <v>40</v>
      </c>
      <c r="B5052" s="136">
        <v>44103</v>
      </c>
      <c r="C5052" s="4">
        <v>19</v>
      </c>
      <c r="D5052" s="29">
        <f t="shared" si="431"/>
        <v>738</v>
      </c>
      <c r="E5052" s="4">
        <v>0</v>
      </c>
      <c r="F5052" s="129">
        <f t="shared" si="432"/>
        <v>7</v>
      </c>
    </row>
    <row r="5053" spans="1:6" x14ac:dyDescent="0.25">
      <c r="A5053" s="140" t="s">
        <v>28</v>
      </c>
      <c r="B5053" s="136">
        <v>44103</v>
      </c>
      <c r="C5053" s="4">
        <v>51</v>
      </c>
      <c r="D5053" s="29">
        <f t="shared" si="431"/>
        <v>4702</v>
      </c>
      <c r="E5053" s="4">
        <v>0</v>
      </c>
      <c r="F5053" s="129">
        <f t="shared" si="432"/>
        <v>101</v>
      </c>
    </row>
    <row r="5054" spans="1:6" x14ac:dyDescent="0.25">
      <c r="A5054" s="140" t="s">
        <v>24</v>
      </c>
      <c r="B5054" s="136">
        <v>44103</v>
      </c>
      <c r="C5054" s="4">
        <v>668</v>
      </c>
      <c r="D5054" s="29">
        <f t="shared" si="431"/>
        <v>24358</v>
      </c>
      <c r="E5054" s="4">
        <v>7</v>
      </c>
      <c r="F5054" s="129">
        <f t="shared" si="432"/>
        <v>253</v>
      </c>
    </row>
    <row r="5055" spans="1:6" x14ac:dyDescent="0.25">
      <c r="A5055" s="140" t="s">
        <v>30</v>
      </c>
      <c r="B5055" s="136">
        <v>44103</v>
      </c>
      <c r="C5055" s="4">
        <v>8</v>
      </c>
      <c r="D5055" s="29">
        <f t="shared" si="431"/>
        <v>87</v>
      </c>
      <c r="E5055" s="4">
        <v>0</v>
      </c>
      <c r="F5055" s="129">
        <f t="shared" si="432"/>
        <v>3</v>
      </c>
    </row>
    <row r="5056" spans="1:6" x14ac:dyDescent="0.25">
      <c r="A5056" s="140" t="s">
        <v>26</v>
      </c>
      <c r="B5056" s="136">
        <v>44103</v>
      </c>
      <c r="C5056" s="4">
        <v>77</v>
      </c>
      <c r="D5056" s="29">
        <f>C5056+D5032</f>
        <v>7701</v>
      </c>
      <c r="E5056" s="4">
        <v>2</v>
      </c>
      <c r="F5056" s="129">
        <f t="shared" si="432"/>
        <v>116</v>
      </c>
    </row>
    <row r="5057" spans="1:6" x14ac:dyDescent="0.25">
      <c r="A5057" s="140" t="s">
        <v>25</v>
      </c>
      <c r="B5057" s="136">
        <v>44103</v>
      </c>
      <c r="C5057" s="4">
        <v>339</v>
      </c>
      <c r="D5057" s="29">
        <f>C5057+D5033</f>
        <v>12470</v>
      </c>
      <c r="E5057" s="4">
        <v>8</v>
      </c>
      <c r="F5057" s="129">
        <f t="shared" si="432"/>
        <v>279</v>
      </c>
    </row>
    <row r="5058" spans="1:6" x14ac:dyDescent="0.25">
      <c r="A5058" s="140" t="s">
        <v>41</v>
      </c>
      <c r="B5058" s="136">
        <v>44103</v>
      </c>
      <c r="C5058" s="4">
        <v>324</v>
      </c>
      <c r="D5058" s="29">
        <f>C5058+D5034</f>
        <v>12055</v>
      </c>
      <c r="E5058" s="4">
        <v>11</v>
      </c>
      <c r="F5058" s="129">
        <f>E5058+F5034</f>
        <v>326</v>
      </c>
    </row>
    <row r="5059" spans="1:6" x14ac:dyDescent="0.25">
      <c r="A5059" s="140" t="s">
        <v>42</v>
      </c>
      <c r="B5059" s="136">
        <v>44103</v>
      </c>
      <c r="C5059" s="4">
        <v>20</v>
      </c>
      <c r="D5059" s="29">
        <f t="shared" ref="D5059:D5065" si="433">C5059+D5035</f>
        <v>715</v>
      </c>
      <c r="E5059" s="4">
        <v>4</v>
      </c>
      <c r="F5059" s="129">
        <f>E5059+F5035</f>
        <v>32</v>
      </c>
    </row>
    <row r="5060" spans="1:6" x14ac:dyDescent="0.25">
      <c r="A5060" s="140" t="s">
        <v>43</v>
      </c>
      <c r="B5060" s="136">
        <v>44103</v>
      </c>
      <c r="C5060" s="4">
        <v>150</v>
      </c>
      <c r="D5060" s="29">
        <f t="shared" si="433"/>
        <v>1341</v>
      </c>
      <c r="E5060" s="4">
        <v>0</v>
      </c>
      <c r="F5060" s="129">
        <f t="shared" si="432"/>
        <v>5</v>
      </c>
    </row>
    <row r="5061" spans="1:6" x14ac:dyDescent="0.25">
      <c r="A5061" s="140" t="s">
        <v>44</v>
      </c>
      <c r="B5061" s="136">
        <v>44103</v>
      </c>
      <c r="C5061" s="4">
        <v>113</v>
      </c>
      <c r="D5061" s="29">
        <f t="shared" si="433"/>
        <v>4699</v>
      </c>
      <c r="E5061" s="4">
        <v>3</v>
      </c>
      <c r="F5061" s="129">
        <f>E5061+F5037</f>
        <v>61</v>
      </c>
    </row>
    <row r="5062" spans="1:6" x14ac:dyDescent="0.25">
      <c r="A5062" s="140" t="s">
        <v>29</v>
      </c>
      <c r="B5062" s="136">
        <v>44103</v>
      </c>
      <c r="C5062" s="4">
        <v>2011</v>
      </c>
      <c r="D5062" s="29">
        <f t="shared" si="433"/>
        <v>40381</v>
      </c>
      <c r="E5062" s="4">
        <v>15</v>
      </c>
      <c r="F5062" s="129">
        <f>E5062+F5038</f>
        <v>436</v>
      </c>
    </row>
    <row r="5063" spans="1:6" x14ac:dyDescent="0.25">
      <c r="A5063" s="140" t="s">
        <v>45</v>
      </c>
      <c r="B5063" s="136">
        <v>44103</v>
      </c>
      <c r="C5063" s="4">
        <v>142</v>
      </c>
      <c r="D5063" s="29">
        <f t="shared" si="433"/>
        <v>3323</v>
      </c>
      <c r="E5063" s="4">
        <v>1</v>
      </c>
      <c r="F5063" s="129">
        <f t="shared" si="432"/>
        <v>58</v>
      </c>
    </row>
    <row r="5064" spans="1:6" x14ac:dyDescent="0.25">
      <c r="A5064" s="140" t="s">
        <v>46</v>
      </c>
      <c r="B5064" s="136">
        <v>44103</v>
      </c>
      <c r="C5064" s="4">
        <v>221</v>
      </c>
      <c r="D5064" s="29">
        <f t="shared" si="433"/>
        <v>4107</v>
      </c>
      <c r="E5064" s="4">
        <v>2</v>
      </c>
      <c r="F5064" s="129">
        <f>E5064+F5040</f>
        <v>67</v>
      </c>
    </row>
    <row r="5065" spans="1:6" ht="15.75" thickBot="1" x14ac:dyDescent="0.3">
      <c r="A5065" s="141" t="s">
        <v>47</v>
      </c>
      <c r="B5065" s="136">
        <v>44103</v>
      </c>
      <c r="C5065" s="4">
        <v>605</v>
      </c>
      <c r="D5065" s="132">
        <f t="shared" si="433"/>
        <v>14175</v>
      </c>
      <c r="E5065" s="4">
        <v>13</v>
      </c>
      <c r="F5065" s="130">
        <f>E5065+F5041</f>
        <v>132</v>
      </c>
    </row>
    <row r="5066" spans="1:6" x14ac:dyDescent="0.25">
      <c r="A5066" s="64" t="s">
        <v>22</v>
      </c>
      <c r="B5066" s="136">
        <v>44104</v>
      </c>
      <c r="C5066" s="4">
        <v>5943</v>
      </c>
      <c r="D5066" s="131">
        <f>C5066+D5042</f>
        <v>417677</v>
      </c>
      <c r="E5066" s="4">
        <f>92+84</f>
        <v>176</v>
      </c>
      <c r="F5066" s="128">
        <f>E5066+F5042</f>
        <v>10036</v>
      </c>
    </row>
    <row r="5067" spans="1:6" x14ac:dyDescent="0.25">
      <c r="A5067" s="140" t="s">
        <v>20</v>
      </c>
      <c r="B5067" s="136">
        <v>44104</v>
      </c>
      <c r="C5067" s="4">
        <v>898</v>
      </c>
      <c r="D5067" s="29">
        <f t="shared" ref="D5067:D5079" si="434">C5067+D5043</f>
        <v>125966</v>
      </c>
      <c r="E5067" s="4">
        <f>55+63</f>
        <v>118</v>
      </c>
      <c r="F5067" s="129">
        <f>E5067+F5043</f>
        <v>3354</v>
      </c>
    </row>
    <row r="5068" spans="1:6" x14ac:dyDescent="0.25">
      <c r="A5068" s="140" t="s">
        <v>35</v>
      </c>
      <c r="B5068" s="136">
        <v>44104</v>
      </c>
      <c r="C5068" s="4">
        <v>8</v>
      </c>
      <c r="D5068" s="29">
        <f t="shared" si="434"/>
        <v>287</v>
      </c>
      <c r="F5068" s="129">
        <f>E5068+F5044</f>
        <v>0</v>
      </c>
    </row>
    <row r="5069" spans="1:6" x14ac:dyDescent="0.25">
      <c r="A5069" s="140" t="s">
        <v>21</v>
      </c>
      <c r="B5069" s="136">
        <v>44104</v>
      </c>
      <c r="C5069" s="4">
        <v>157</v>
      </c>
      <c r="D5069" s="29">
        <f t="shared" si="434"/>
        <v>8543</v>
      </c>
      <c r="E5069" s="4">
        <f>2+2</f>
        <v>4</v>
      </c>
      <c r="F5069" s="129">
        <f t="shared" ref="F5069:F5087" si="435">E5069+F5045</f>
        <v>285</v>
      </c>
    </row>
    <row r="5070" spans="1:6" x14ac:dyDescent="0.25">
      <c r="A5070" s="140" t="s">
        <v>36</v>
      </c>
      <c r="B5070" s="136">
        <v>44104</v>
      </c>
      <c r="C5070" s="4">
        <v>156</v>
      </c>
      <c r="D5070" s="29">
        <f t="shared" si="434"/>
        <v>3955</v>
      </c>
      <c r="E5070" s="4">
        <f>3+3</f>
        <v>6</v>
      </c>
      <c r="F5070" s="129">
        <f t="shared" si="435"/>
        <v>50</v>
      </c>
    </row>
    <row r="5071" spans="1:6" x14ac:dyDescent="0.25">
      <c r="A5071" s="140" t="s">
        <v>27</v>
      </c>
      <c r="B5071" s="136">
        <v>44104</v>
      </c>
      <c r="C5071" s="4">
        <v>1718</v>
      </c>
      <c r="D5071" s="29">
        <f t="shared" si="434"/>
        <v>34203</v>
      </c>
      <c r="E5071" s="4">
        <f>8+11</f>
        <v>19</v>
      </c>
      <c r="F5071" s="129">
        <f t="shared" si="435"/>
        <v>397</v>
      </c>
    </row>
    <row r="5072" spans="1:6" x14ac:dyDescent="0.25">
      <c r="A5072" s="140" t="s">
        <v>37</v>
      </c>
      <c r="B5072" s="136">
        <v>44104</v>
      </c>
      <c r="C5072" s="4">
        <v>20</v>
      </c>
      <c r="D5072" s="29">
        <f t="shared" si="434"/>
        <v>1093</v>
      </c>
      <c r="F5072" s="129">
        <f>E5072+F5048</f>
        <v>22</v>
      </c>
    </row>
    <row r="5073" spans="1:6" x14ac:dyDescent="0.25">
      <c r="A5073" s="140" t="s">
        <v>38</v>
      </c>
      <c r="B5073" s="136">
        <v>44104</v>
      </c>
      <c r="C5073" s="4">
        <v>177</v>
      </c>
      <c r="D5073" s="29">
        <f t="shared" si="434"/>
        <v>7483</v>
      </c>
      <c r="E5073" s="4">
        <f>1+1</f>
        <v>2</v>
      </c>
      <c r="F5073" s="129">
        <f>E5073+F5049</f>
        <v>140</v>
      </c>
    </row>
    <row r="5074" spans="1:6" x14ac:dyDescent="0.25">
      <c r="A5074" s="140" t="s">
        <v>48</v>
      </c>
      <c r="B5074" s="136">
        <v>44104</v>
      </c>
      <c r="C5074" s="4">
        <v>0</v>
      </c>
      <c r="D5074" s="29">
        <f t="shared" si="434"/>
        <v>104</v>
      </c>
      <c r="F5074" s="129">
        <f>E5074+F5050</f>
        <v>1</v>
      </c>
    </row>
    <row r="5075" spans="1:6" x14ac:dyDescent="0.25">
      <c r="A5075" s="140" t="s">
        <v>39</v>
      </c>
      <c r="B5075" s="136">
        <v>44104</v>
      </c>
      <c r="C5075" s="4">
        <v>157</v>
      </c>
      <c r="D5075" s="29">
        <f t="shared" si="434"/>
        <v>15670</v>
      </c>
      <c r="E5075" s="4">
        <f>26+10</f>
        <v>36</v>
      </c>
      <c r="F5075" s="129">
        <f>E5075+F5051</f>
        <v>504</v>
      </c>
    </row>
    <row r="5076" spans="1:6" x14ac:dyDescent="0.25">
      <c r="A5076" s="140" t="s">
        <v>40</v>
      </c>
      <c r="B5076" s="136">
        <v>44104</v>
      </c>
      <c r="C5076" s="4">
        <v>25</v>
      </c>
      <c r="D5076" s="29">
        <f t="shared" si="434"/>
        <v>763</v>
      </c>
      <c r="F5076" s="129">
        <f t="shared" si="435"/>
        <v>7</v>
      </c>
    </row>
    <row r="5077" spans="1:6" x14ac:dyDescent="0.25">
      <c r="A5077" s="140" t="s">
        <v>28</v>
      </c>
      <c r="B5077" s="136">
        <v>44104</v>
      </c>
      <c r="C5077" s="4">
        <v>126</v>
      </c>
      <c r="D5077" s="29">
        <f t="shared" si="434"/>
        <v>4828</v>
      </c>
      <c r="F5077" s="129">
        <f t="shared" si="435"/>
        <v>101</v>
      </c>
    </row>
    <row r="5078" spans="1:6" x14ac:dyDescent="0.25">
      <c r="A5078" s="140" t="s">
        <v>24</v>
      </c>
      <c r="B5078" s="136">
        <v>44104</v>
      </c>
      <c r="C5078" s="4">
        <v>691</v>
      </c>
      <c r="D5078" s="29">
        <f t="shared" si="434"/>
        <v>25049</v>
      </c>
      <c r="E5078" s="4">
        <f>10+4</f>
        <v>14</v>
      </c>
      <c r="F5078" s="129">
        <f t="shared" si="435"/>
        <v>267</v>
      </c>
    </row>
    <row r="5079" spans="1:6" x14ac:dyDescent="0.25">
      <c r="A5079" s="140" t="s">
        <v>30</v>
      </c>
      <c r="B5079" s="136">
        <v>44104</v>
      </c>
      <c r="C5079" s="4">
        <v>9</v>
      </c>
      <c r="D5079" s="29">
        <f t="shared" si="434"/>
        <v>96</v>
      </c>
      <c r="F5079" s="129">
        <f t="shared" si="435"/>
        <v>3</v>
      </c>
    </row>
    <row r="5080" spans="1:6" x14ac:dyDescent="0.25">
      <c r="A5080" s="140" t="s">
        <v>26</v>
      </c>
      <c r="B5080" s="136">
        <v>44104</v>
      </c>
      <c r="C5080" s="4">
        <v>192</v>
      </c>
      <c r="D5080" s="29">
        <f>C5080+D5056</f>
        <v>7893</v>
      </c>
      <c r="E5080" s="4">
        <f>1</f>
        <v>1</v>
      </c>
      <c r="F5080" s="129">
        <f t="shared" si="435"/>
        <v>117</v>
      </c>
    </row>
    <row r="5081" spans="1:6" x14ac:dyDescent="0.25">
      <c r="A5081" s="140" t="s">
        <v>25</v>
      </c>
      <c r="B5081" s="136">
        <v>44104</v>
      </c>
      <c r="C5081" s="4">
        <v>369</v>
      </c>
      <c r="D5081" s="29">
        <f>C5081+D5057</f>
        <v>12839</v>
      </c>
      <c r="E5081" s="4">
        <f>5+6</f>
        <v>11</v>
      </c>
      <c r="F5081" s="129">
        <f t="shared" si="435"/>
        <v>290</v>
      </c>
    </row>
    <row r="5082" spans="1:6" x14ac:dyDescent="0.25">
      <c r="A5082" s="140" t="s">
        <v>41</v>
      </c>
      <c r="B5082" s="136">
        <v>44104</v>
      </c>
      <c r="C5082" s="4">
        <v>360</v>
      </c>
      <c r="D5082" s="29">
        <f>C5082+D5058</f>
        <v>12415</v>
      </c>
      <c r="E5082" s="4">
        <f>5+7</f>
        <v>12</v>
      </c>
      <c r="F5082" s="129">
        <f>E5082+F5058</f>
        <v>338</v>
      </c>
    </row>
    <row r="5083" spans="1:6" x14ac:dyDescent="0.25">
      <c r="A5083" s="140" t="s">
        <v>42</v>
      </c>
      <c r="B5083" s="136">
        <v>44104</v>
      </c>
      <c r="C5083" s="4">
        <v>2</v>
      </c>
      <c r="D5083" s="29">
        <f t="shared" ref="D5083:D5089" si="436">C5083+D5059</f>
        <v>717</v>
      </c>
      <c r="E5083" s="4">
        <f>1+2</f>
        <v>3</v>
      </c>
      <c r="F5083" s="129">
        <f>E5083+F5059</f>
        <v>35</v>
      </c>
    </row>
    <row r="5084" spans="1:6" x14ac:dyDescent="0.25">
      <c r="A5084" s="140" t="s">
        <v>43</v>
      </c>
      <c r="B5084" s="136">
        <v>44104</v>
      </c>
      <c r="C5084" s="4">
        <v>131</v>
      </c>
      <c r="D5084" s="29">
        <f t="shared" si="436"/>
        <v>1472</v>
      </c>
      <c r="E5084" s="4">
        <f>1</f>
        <v>1</v>
      </c>
      <c r="F5084" s="129">
        <f t="shared" si="435"/>
        <v>6</v>
      </c>
    </row>
    <row r="5085" spans="1:6" x14ac:dyDescent="0.25">
      <c r="A5085" s="140" t="s">
        <v>44</v>
      </c>
      <c r="B5085" s="136">
        <v>44104</v>
      </c>
      <c r="C5085" s="4">
        <v>145</v>
      </c>
      <c r="D5085" s="29">
        <f t="shared" si="436"/>
        <v>4844</v>
      </c>
      <c r="E5085" s="4">
        <f>1</f>
        <v>1</v>
      </c>
      <c r="F5085" s="129">
        <f>E5085+F5061</f>
        <v>62</v>
      </c>
    </row>
    <row r="5086" spans="1:6" x14ac:dyDescent="0.25">
      <c r="A5086" s="140" t="s">
        <v>29</v>
      </c>
      <c r="B5086" s="136">
        <v>44104</v>
      </c>
      <c r="C5086" s="4">
        <v>2017</v>
      </c>
      <c r="D5086" s="29">
        <f t="shared" si="436"/>
        <v>42398</v>
      </c>
      <c r="E5086" s="4">
        <f>5+5</f>
        <v>10</v>
      </c>
      <c r="F5086" s="129">
        <f>E5086+F5062</f>
        <v>446</v>
      </c>
    </row>
    <row r="5087" spans="1:6" x14ac:dyDescent="0.25">
      <c r="A5087" s="140" t="s">
        <v>45</v>
      </c>
      <c r="B5087" s="136">
        <v>44104</v>
      </c>
      <c r="C5087" s="4">
        <v>96</v>
      </c>
      <c r="D5087" s="29">
        <f t="shared" si="436"/>
        <v>3419</v>
      </c>
      <c r="E5087" s="4">
        <f>2+2</f>
        <v>4</v>
      </c>
      <c r="F5087" s="129">
        <f t="shared" si="435"/>
        <v>62</v>
      </c>
    </row>
    <row r="5088" spans="1:6" x14ac:dyDescent="0.25">
      <c r="A5088" s="140" t="s">
        <v>46</v>
      </c>
      <c r="B5088" s="136">
        <v>44104</v>
      </c>
      <c r="C5088" s="4">
        <v>256</v>
      </c>
      <c r="D5088" s="29">
        <f t="shared" si="436"/>
        <v>4363</v>
      </c>
      <c r="F5088" s="129">
        <f t="shared" ref="F5088:F5099" si="437">E5088+F5064</f>
        <v>67</v>
      </c>
    </row>
    <row r="5089" spans="1:6" ht="15.75" thickBot="1" x14ac:dyDescent="0.3">
      <c r="A5089" s="142" t="s">
        <v>47</v>
      </c>
      <c r="B5089" s="138">
        <v>44104</v>
      </c>
      <c r="C5089" s="47">
        <v>739</v>
      </c>
      <c r="D5089" s="85">
        <f t="shared" si="436"/>
        <v>14914</v>
      </c>
      <c r="E5089" s="47"/>
      <c r="F5089" s="139">
        <f t="shared" si="437"/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1">
        <f>C5090+D5066</f>
        <v>423084</v>
      </c>
      <c r="E5090" s="50">
        <v>3193</v>
      </c>
      <c r="F5090" s="128">
        <f t="shared" si="437"/>
        <v>13229</v>
      </c>
    </row>
    <row r="5091" spans="1:6" x14ac:dyDescent="0.25">
      <c r="A5091" s="140" t="s">
        <v>20</v>
      </c>
      <c r="B5091" s="136">
        <v>44105</v>
      </c>
      <c r="C5091" s="4">
        <v>924</v>
      </c>
      <c r="D5091" s="29">
        <f t="shared" ref="D5091:D5103" si="438">C5091+D5067</f>
        <v>126890</v>
      </c>
      <c r="E5091" s="4">
        <v>55</v>
      </c>
      <c r="F5091" s="129">
        <f t="shared" si="437"/>
        <v>3409</v>
      </c>
    </row>
    <row r="5092" spans="1:6" x14ac:dyDescent="0.25">
      <c r="A5092" s="140" t="s">
        <v>35</v>
      </c>
      <c r="B5092" s="136">
        <v>44105</v>
      </c>
      <c r="C5092" s="4">
        <v>5</v>
      </c>
      <c r="D5092" s="29">
        <f t="shared" si="438"/>
        <v>292</v>
      </c>
      <c r="E5092" s="4">
        <v>0</v>
      </c>
      <c r="F5092" s="129">
        <f t="shared" si="437"/>
        <v>0</v>
      </c>
    </row>
    <row r="5093" spans="1:6" x14ac:dyDescent="0.25">
      <c r="A5093" s="140" t="s">
        <v>21</v>
      </c>
      <c r="B5093" s="136">
        <v>44105</v>
      </c>
      <c r="C5093" s="4">
        <v>200</v>
      </c>
      <c r="D5093" s="29">
        <f t="shared" si="438"/>
        <v>8743</v>
      </c>
      <c r="E5093" s="4">
        <v>3</v>
      </c>
      <c r="F5093" s="129">
        <f t="shared" si="437"/>
        <v>288</v>
      </c>
    </row>
    <row r="5094" spans="1:6" x14ac:dyDescent="0.25">
      <c r="A5094" s="140" t="s">
        <v>36</v>
      </c>
      <c r="B5094" s="136">
        <v>44105</v>
      </c>
      <c r="C5094" s="4">
        <v>188</v>
      </c>
      <c r="D5094" s="29">
        <f t="shared" si="438"/>
        <v>4143</v>
      </c>
      <c r="E5094" s="4">
        <v>6</v>
      </c>
      <c r="F5094" s="129">
        <f t="shared" si="437"/>
        <v>56</v>
      </c>
    </row>
    <row r="5095" spans="1:6" x14ac:dyDescent="0.25">
      <c r="A5095" s="140" t="s">
        <v>27</v>
      </c>
      <c r="B5095" s="136">
        <v>44105</v>
      </c>
      <c r="C5095" s="4">
        <v>1966</v>
      </c>
      <c r="D5095" s="29">
        <f t="shared" si="438"/>
        <v>36169</v>
      </c>
      <c r="E5095" s="4">
        <v>17</v>
      </c>
      <c r="F5095" s="129">
        <f t="shared" si="437"/>
        <v>414</v>
      </c>
    </row>
    <row r="5096" spans="1:6" x14ac:dyDescent="0.25">
      <c r="A5096" s="140" t="s">
        <v>37</v>
      </c>
      <c r="B5096" s="136">
        <v>44105</v>
      </c>
      <c r="C5096" s="4">
        <v>7</v>
      </c>
      <c r="D5096" s="29">
        <f t="shared" si="438"/>
        <v>1100</v>
      </c>
      <c r="E5096" s="4">
        <v>0</v>
      </c>
      <c r="F5096" s="129">
        <f t="shared" si="437"/>
        <v>22</v>
      </c>
    </row>
    <row r="5097" spans="1:6" x14ac:dyDescent="0.25">
      <c r="A5097" s="140" t="s">
        <v>38</v>
      </c>
      <c r="B5097" s="136">
        <v>44105</v>
      </c>
      <c r="C5097" s="4">
        <v>186</v>
      </c>
      <c r="D5097" s="29">
        <f t="shared" si="438"/>
        <v>7669</v>
      </c>
      <c r="E5097" s="4">
        <v>0</v>
      </c>
      <c r="F5097" s="129">
        <f t="shared" si="437"/>
        <v>140</v>
      </c>
    </row>
    <row r="5098" spans="1:6" x14ac:dyDescent="0.25">
      <c r="A5098" s="140" t="s">
        <v>48</v>
      </c>
      <c r="B5098" s="136">
        <v>44105</v>
      </c>
      <c r="C5098" s="4">
        <v>0</v>
      </c>
      <c r="D5098" s="29">
        <f t="shared" si="438"/>
        <v>104</v>
      </c>
      <c r="E5098" s="4">
        <v>0</v>
      </c>
      <c r="F5098" s="129">
        <f t="shared" si="437"/>
        <v>1</v>
      </c>
    </row>
    <row r="5099" spans="1:6" x14ac:dyDescent="0.25">
      <c r="A5099" s="140" t="s">
        <v>39</v>
      </c>
      <c r="B5099" s="136">
        <v>44105</v>
      </c>
      <c r="C5099" s="4">
        <v>175</v>
      </c>
      <c r="D5099" s="29">
        <f t="shared" si="438"/>
        <v>15845</v>
      </c>
      <c r="E5099" s="4">
        <v>16</v>
      </c>
      <c r="F5099" s="129">
        <f t="shared" si="437"/>
        <v>520</v>
      </c>
    </row>
    <row r="5100" spans="1:6" x14ac:dyDescent="0.25">
      <c r="A5100" s="140" t="s">
        <v>40</v>
      </c>
      <c r="B5100" s="136">
        <v>44105</v>
      </c>
      <c r="C5100" s="4">
        <v>28</v>
      </c>
      <c r="D5100" s="29">
        <f t="shared" si="438"/>
        <v>791</v>
      </c>
      <c r="E5100" s="4">
        <v>0</v>
      </c>
      <c r="F5100" s="129">
        <f t="shared" ref="F5100:F5111" si="439">E5100+F5076</f>
        <v>7</v>
      </c>
    </row>
    <row r="5101" spans="1:6" x14ac:dyDescent="0.25">
      <c r="A5101" s="140" t="s">
        <v>28</v>
      </c>
      <c r="B5101" s="136">
        <v>44105</v>
      </c>
      <c r="C5101" s="4">
        <v>22</v>
      </c>
      <c r="D5101" s="29">
        <f t="shared" si="438"/>
        <v>4850</v>
      </c>
      <c r="E5101" s="4">
        <v>4</v>
      </c>
      <c r="F5101" s="129">
        <f t="shared" si="439"/>
        <v>105</v>
      </c>
    </row>
    <row r="5102" spans="1:6" x14ac:dyDescent="0.25">
      <c r="A5102" s="140" t="s">
        <v>24</v>
      </c>
      <c r="B5102" s="136">
        <v>44105</v>
      </c>
      <c r="C5102" s="4">
        <v>799</v>
      </c>
      <c r="D5102" s="29">
        <f t="shared" si="438"/>
        <v>25848</v>
      </c>
      <c r="E5102" s="4">
        <v>7</v>
      </c>
      <c r="F5102" s="129">
        <f t="shared" si="439"/>
        <v>274</v>
      </c>
    </row>
    <row r="5103" spans="1:6" x14ac:dyDescent="0.25">
      <c r="A5103" s="140" t="s">
        <v>30</v>
      </c>
      <c r="B5103" s="136">
        <v>44105</v>
      </c>
      <c r="C5103" s="4">
        <v>-2</v>
      </c>
      <c r="D5103" s="29">
        <f t="shared" si="438"/>
        <v>94</v>
      </c>
      <c r="E5103" s="4">
        <v>0</v>
      </c>
      <c r="F5103" s="129">
        <f t="shared" si="439"/>
        <v>3</v>
      </c>
    </row>
    <row r="5104" spans="1:6" x14ac:dyDescent="0.25">
      <c r="A5104" s="140" t="s">
        <v>26</v>
      </c>
      <c r="B5104" s="136">
        <v>44105</v>
      </c>
      <c r="C5104" s="4">
        <v>186</v>
      </c>
      <c r="D5104" s="29">
        <f>C5104+D5080</f>
        <v>8079</v>
      </c>
      <c r="E5104" s="4">
        <v>1</v>
      </c>
      <c r="F5104" s="129">
        <f t="shared" si="439"/>
        <v>118</v>
      </c>
    </row>
    <row r="5105" spans="1:6" x14ac:dyDescent="0.25">
      <c r="A5105" s="140" t="s">
        <v>25</v>
      </c>
      <c r="B5105" s="136">
        <v>44105</v>
      </c>
      <c r="C5105" s="4">
        <v>287</v>
      </c>
      <c r="D5105" s="29">
        <f>C5105+D5081</f>
        <v>13126</v>
      </c>
      <c r="E5105" s="4">
        <v>9</v>
      </c>
      <c r="F5105" s="129">
        <f t="shared" si="439"/>
        <v>299</v>
      </c>
    </row>
    <row r="5106" spans="1:6" x14ac:dyDescent="0.25">
      <c r="A5106" s="140" t="s">
        <v>41</v>
      </c>
      <c r="B5106" s="136">
        <v>44105</v>
      </c>
      <c r="C5106" s="4">
        <v>359</v>
      </c>
      <c r="D5106" s="29">
        <f>C5106+D5082</f>
        <v>12774</v>
      </c>
      <c r="E5106" s="4">
        <v>11</v>
      </c>
      <c r="F5106" s="129">
        <f>E5106+F5082</f>
        <v>349</v>
      </c>
    </row>
    <row r="5107" spans="1:6" x14ac:dyDescent="0.25">
      <c r="A5107" s="140" t="s">
        <v>42</v>
      </c>
      <c r="B5107" s="136">
        <v>44105</v>
      </c>
      <c r="C5107" s="4">
        <v>34</v>
      </c>
      <c r="D5107" s="29">
        <f t="shared" ref="D5107:D5113" si="440">C5107+D5083</f>
        <v>751</v>
      </c>
      <c r="E5107" s="4">
        <v>1</v>
      </c>
      <c r="F5107" s="129">
        <f>E5107+F5083</f>
        <v>36</v>
      </c>
    </row>
    <row r="5108" spans="1:6" x14ac:dyDescent="0.25">
      <c r="A5108" s="140" t="s">
        <v>43</v>
      </c>
      <c r="B5108" s="136">
        <v>44105</v>
      </c>
      <c r="C5108" s="4">
        <v>93</v>
      </c>
      <c r="D5108" s="29">
        <f t="shared" si="440"/>
        <v>1565</v>
      </c>
      <c r="E5108" s="4">
        <v>1</v>
      </c>
      <c r="F5108" s="129">
        <f t="shared" si="439"/>
        <v>7</v>
      </c>
    </row>
    <row r="5109" spans="1:6" x14ac:dyDescent="0.25">
      <c r="A5109" s="140" t="s">
        <v>44</v>
      </c>
      <c r="B5109" s="136">
        <v>44105</v>
      </c>
      <c r="C5109" s="4">
        <v>142</v>
      </c>
      <c r="D5109" s="29">
        <f t="shared" si="440"/>
        <v>4986</v>
      </c>
      <c r="E5109" s="4">
        <v>3</v>
      </c>
      <c r="F5109" s="129">
        <f>E5109+F5085</f>
        <v>65</v>
      </c>
    </row>
    <row r="5110" spans="1:6" x14ac:dyDescent="0.25">
      <c r="A5110" s="140" t="s">
        <v>29</v>
      </c>
      <c r="B5110" s="136">
        <v>44105</v>
      </c>
      <c r="C5110" s="4">
        <v>2073</v>
      </c>
      <c r="D5110" s="29">
        <f t="shared" si="440"/>
        <v>44471</v>
      </c>
      <c r="E5110" s="4">
        <v>21</v>
      </c>
      <c r="F5110" s="129">
        <f>E5110+F5086</f>
        <v>467</v>
      </c>
    </row>
    <row r="5111" spans="1:6" x14ac:dyDescent="0.25">
      <c r="A5111" s="140" t="s">
        <v>45</v>
      </c>
      <c r="B5111" s="136">
        <v>44105</v>
      </c>
      <c r="C5111" s="4">
        <v>126</v>
      </c>
      <c r="D5111" s="29">
        <f t="shared" si="440"/>
        <v>3545</v>
      </c>
      <c r="E5111" s="4">
        <v>0</v>
      </c>
      <c r="F5111" s="129">
        <f t="shared" si="439"/>
        <v>62</v>
      </c>
    </row>
    <row r="5112" spans="1:6" x14ac:dyDescent="0.25">
      <c r="A5112" s="140" t="s">
        <v>46</v>
      </c>
      <c r="B5112" s="136">
        <v>44105</v>
      </c>
      <c r="C5112" s="4">
        <v>164</v>
      </c>
      <c r="D5112" s="29">
        <f t="shared" si="440"/>
        <v>4527</v>
      </c>
      <c r="E5112" s="4">
        <v>0</v>
      </c>
      <c r="F5112" s="129">
        <f t="shared" ref="F5112:F5123" si="441">E5112+F5088</f>
        <v>67</v>
      </c>
    </row>
    <row r="5113" spans="1:6" ht="15.75" thickBot="1" x14ac:dyDescent="0.3">
      <c r="A5113" s="141" t="s">
        <v>47</v>
      </c>
      <c r="B5113" s="145">
        <v>44105</v>
      </c>
      <c r="C5113" s="54">
        <v>632</v>
      </c>
      <c r="D5113" s="132">
        <f t="shared" si="440"/>
        <v>15546</v>
      </c>
      <c r="E5113" s="54">
        <v>0</v>
      </c>
      <c r="F5113" s="130">
        <f t="shared" si="441"/>
        <v>132</v>
      </c>
    </row>
    <row r="5114" spans="1:6" ht="15.75" thickBot="1" x14ac:dyDescent="0.3">
      <c r="A5114" s="64" t="s">
        <v>22</v>
      </c>
      <c r="B5114" s="145">
        <v>44106</v>
      </c>
      <c r="C5114" s="48">
        <v>5695</v>
      </c>
      <c r="D5114" s="131">
        <f>C5114+D5090</f>
        <v>428779</v>
      </c>
      <c r="E5114" s="48">
        <v>149</v>
      </c>
      <c r="F5114" s="128">
        <f t="shared" si="441"/>
        <v>13378</v>
      </c>
    </row>
    <row r="5115" spans="1:6" ht="15.75" thickBot="1" x14ac:dyDescent="0.3">
      <c r="A5115" s="140" t="s">
        <v>20</v>
      </c>
      <c r="B5115" s="145">
        <v>44106</v>
      </c>
      <c r="C5115" s="4">
        <v>1050</v>
      </c>
      <c r="D5115" s="29">
        <f t="shared" ref="D5115:D5127" si="442">C5115+D5091</f>
        <v>127940</v>
      </c>
      <c r="E5115" s="4">
        <v>44</v>
      </c>
      <c r="F5115" s="129">
        <f t="shared" si="441"/>
        <v>3453</v>
      </c>
    </row>
    <row r="5116" spans="1:6" ht="15.75" thickBot="1" x14ac:dyDescent="0.3">
      <c r="A5116" s="140" t="s">
        <v>35</v>
      </c>
      <c r="B5116" s="145">
        <v>44106</v>
      </c>
      <c r="C5116" s="4">
        <v>7</v>
      </c>
      <c r="D5116" s="29">
        <f t="shared" si="442"/>
        <v>299</v>
      </c>
      <c r="F5116" s="129">
        <f t="shared" si="441"/>
        <v>0</v>
      </c>
    </row>
    <row r="5117" spans="1:6" ht="15.75" thickBot="1" x14ac:dyDescent="0.3">
      <c r="A5117" s="140" t="s">
        <v>21</v>
      </c>
      <c r="B5117" s="145">
        <v>44106</v>
      </c>
      <c r="C5117" s="4">
        <v>200</v>
      </c>
      <c r="D5117" s="29">
        <f t="shared" si="442"/>
        <v>8943</v>
      </c>
      <c r="E5117" s="4">
        <v>8</v>
      </c>
      <c r="F5117" s="129">
        <f t="shared" si="441"/>
        <v>296</v>
      </c>
    </row>
    <row r="5118" spans="1:6" ht="15.75" thickBot="1" x14ac:dyDescent="0.3">
      <c r="A5118" s="140" t="s">
        <v>36</v>
      </c>
      <c r="B5118" s="145">
        <v>44106</v>
      </c>
      <c r="C5118" s="4">
        <v>214</v>
      </c>
      <c r="D5118" s="29">
        <f t="shared" si="442"/>
        <v>4357</v>
      </c>
      <c r="E5118" s="4">
        <v>2</v>
      </c>
      <c r="F5118" s="129">
        <f t="shared" si="441"/>
        <v>58</v>
      </c>
    </row>
    <row r="5119" spans="1:6" ht="15.75" thickBot="1" x14ac:dyDescent="0.3">
      <c r="A5119" s="140" t="s">
        <v>27</v>
      </c>
      <c r="B5119" s="145">
        <v>44106</v>
      </c>
      <c r="C5119" s="4">
        <v>1776</v>
      </c>
      <c r="D5119" s="29">
        <f t="shared" si="442"/>
        <v>37945</v>
      </c>
      <c r="E5119" s="4">
        <v>14</v>
      </c>
      <c r="F5119" s="129">
        <f t="shared" si="441"/>
        <v>428</v>
      </c>
    </row>
    <row r="5120" spans="1:6" ht="15.75" thickBot="1" x14ac:dyDescent="0.3">
      <c r="A5120" s="140" t="s">
        <v>37</v>
      </c>
      <c r="B5120" s="145">
        <v>44106</v>
      </c>
      <c r="C5120" s="4">
        <v>67</v>
      </c>
      <c r="D5120" s="29">
        <f t="shared" si="442"/>
        <v>1167</v>
      </c>
      <c r="E5120" s="4">
        <v>4</v>
      </c>
      <c r="F5120" s="129">
        <f t="shared" si="441"/>
        <v>26</v>
      </c>
    </row>
    <row r="5121" spans="1:6" ht="15.75" thickBot="1" x14ac:dyDescent="0.3">
      <c r="A5121" s="140" t="s">
        <v>38</v>
      </c>
      <c r="B5121" s="145">
        <v>44106</v>
      </c>
      <c r="C5121" s="4">
        <v>173</v>
      </c>
      <c r="D5121" s="29">
        <f t="shared" si="442"/>
        <v>7842</v>
      </c>
      <c r="E5121" s="4">
        <v>2</v>
      </c>
      <c r="F5121" s="129">
        <f t="shared" si="441"/>
        <v>142</v>
      </c>
    </row>
    <row r="5122" spans="1:6" ht="15.75" thickBot="1" x14ac:dyDescent="0.3">
      <c r="A5122" s="140" t="s">
        <v>48</v>
      </c>
      <c r="B5122" s="145">
        <v>44106</v>
      </c>
      <c r="C5122" s="4">
        <v>2</v>
      </c>
      <c r="D5122" s="29">
        <f t="shared" si="442"/>
        <v>106</v>
      </c>
      <c r="F5122" s="129">
        <f t="shared" si="441"/>
        <v>1</v>
      </c>
    </row>
    <row r="5123" spans="1:6" ht="15.75" thickBot="1" x14ac:dyDescent="0.3">
      <c r="A5123" s="140" t="s">
        <v>39</v>
      </c>
      <c r="B5123" s="145">
        <v>44106</v>
      </c>
      <c r="C5123" s="4">
        <v>116</v>
      </c>
      <c r="D5123" s="29">
        <f t="shared" si="442"/>
        <v>15961</v>
      </c>
      <c r="E5123" s="4">
        <v>9</v>
      </c>
      <c r="F5123" s="129">
        <f t="shared" si="441"/>
        <v>529</v>
      </c>
    </row>
    <row r="5124" spans="1:6" ht="15.75" thickBot="1" x14ac:dyDescent="0.3">
      <c r="A5124" s="140" t="s">
        <v>40</v>
      </c>
      <c r="B5124" s="145">
        <v>44106</v>
      </c>
      <c r="C5124" s="4">
        <v>13</v>
      </c>
      <c r="D5124" s="29">
        <f t="shared" si="442"/>
        <v>804</v>
      </c>
      <c r="E5124" s="4">
        <v>2</v>
      </c>
      <c r="F5124" s="129">
        <f t="shared" ref="F5124:F5135" si="443">E5124+F5100</f>
        <v>9</v>
      </c>
    </row>
    <row r="5125" spans="1:6" ht="15.75" thickBot="1" x14ac:dyDescent="0.3">
      <c r="A5125" s="140" t="s">
        <v>28</v>
      </c>
      <c r="B5125" s="145">
        <v>44106</v>
      </c>
      <c r="C5125" s="4">
        <v>142</v>
      </c>
      <c r="D5125" s="29">
        <f t="shared" si="442"/>
        <v>4992</v>
      </c>
      <c r="F5125" s="129">
        <f t="shared" si="443"/>
        <v>105</v>
      </c>
    </row>
    <row r="5126" spans="1:6" ht="15.75" thickBot="1" x14ac:dyDescent="0.3">
      <c r="A5126" s="140" t="s">
        <v>24</v>
      </c>
      <c r="B5126" s="145">
        <v>44106</v>
      </c>
      <c r="C5126" s="4">
        <v>759</v>
      </c>
      <c r="D5126" s="29">
        <f t="shared" si="442"/>
        <v>26607</v>
      </c>
      <c r="E5126" s="4">
        <v>14</v>
      </c>
      <c r="F5126" s="129">
        <f t="shared" si="443"/>
        <v>288</v>
      </c>
    </row>
    <row r="5127" spans="1:6" ht="15.75" thickBot="1" x14ac:dyDescent="0.3">
      <c r="A5127" s="140" t="s">
        <v>30</v>
      </c>
      <c r="B5127" s="145">
        <v>44106</v>
      </c>
      <c r="C5127" s="4">
        <v>5</v>
      </c>
      <c r="D5127" s="29">
        <f t="shared" si="442"/>
        <v>99</v>
      </c>
      <c r="E5127" s="4">
        <v>1</v>
      </c>
      <c r="F5127" s="129">
        <f t="shared" si="443"/>
        <v>4</v>
      </c>
    </row>
    <row r="5128" spans="1:6" ht="15.75" thickBot="1" x14ac:dyDescent="0.3">
      <c r="A5128" s="140" t="s">
        <v>26</v>
      </c>
      <c r="B5128" s="145">
        <v>44106</v>
      </c>
      <c r="C5128" s="4">
        <v>270</v>
      </c>
      <c r="D5128" s="29">
        <f>C5128+D5104</f>
        <v>8349</v>
      </c>
      <c r="E5128" s="4">
        <v>2</v>
      </c>
      <c r="F5128" s="129">
        <f t="shared" si="443"/>
        <v>120</v>
      </c>
    </row>
    <row r="5129" spans="1:6" ht="15.75" thickBot="1" x14ac:dyDescent="0.3">
      <c r="A5129" s="140" t="s">
        <v>25</v>
      </c>
      <c r="B5129" s="145">
        <v>44106</v>
      </c>
      <c r="C5129" s="4">
        <v>371</v>
      </c>
      <c r="D5129" s="29">
        <f>C5129+D5105</f>
        <v>13497</v>
      </c>
      <c r="E5129" s="4">
        <v>4</v>
      </c>
      <c r="F5129" s="129">
        <f t="shared" si="443"/>
        <v>303</v>
      </c>
    </row>
    <row r="5130" spans="1:6" ht="15.75" thickBot="1" x14ac:dyDescent="0.3">
      <c r="A5130" s="140" t="s">
        <v>41</v>
      </c>
      <c r="B5130" s="145">
        <v>44106</v>
      </c>
      <c r="C5130" s="4">
        <v>327</v>
      </c>
      <c r="D5130" s="29">
        <f>C5130+D5106</f>
        <v>13101</v>
      </c>
      <c r="E5130" s="4">
        <v>14</v>
      </c>
      <c r="F5130" s="129">
        <f>E5130+F5106</f>
        <v>363</v>
      </c>
    </row>
    <row r="5131" spans="1:6" ht="15.75" thickBot="1" x14ac:dyDescent="0.3">
      <c r="A5131" s="140" t="s">
        <v>42</v>
      </c>
      <c r="B5131" s="145">
        <v>44106</v>
      </c>
      <c r="C5131" s="4">
        <v>3</v>
      </c>
      <c r="D5131" s="29">
        <f t="shared" ref="D5131:D5137" si="444">C5131+D5107</f>
        <v>754</v>
      </c>
      <c r="E5131" s="4">
        <v>4</v>
      </c>
      <c r="F5131" s="129">
        <f>E5131+F5107</f>
        <v>40</v>
      </c>
    </row>
    <row r="5132" spans="1:6" ht="15.75" thickBot="1" x14ac:dyDescent="0.3">
      <c r="A5132" s="140" t="s">
        <v>43</v>
      </c>
      <c r="B5132" s="145">
        <v>44106</v>
      </c>
      <c r="C5132" s="4">
        <v>73</v>
      </c>
      <c r="D5132" s="29">
        <f t="shared" si="444"/>
        <v>1638</v>
      </c>
      <c r="F5132" s="129">
        <f t="shared" si="443"/>
        <v>7</v>
      </c>
    </row>
    <row r="5133" spans="1:6" ht="15.75" thickBot="1" x14ac:dyDescent="0.3">
      <c r="A5133" s="140" t="s">
        <v>44</v>
      </c>
      <c r="B5133" s="145">
        <v>44106</v>
      </c>
      <c r="C5133" s="4">
        <v>137</v>
      </c>
      <c r="D5133" s="29">
        <f t="shared" si="444"/>
        <v>5123</v>
      </c>
      <c r="E5133" s="4">
        <v>2</v>
      </c>
      <c r="F5133" s="129">
        <f>E5133+F5109</f>
        <v>67</v>
      </c>
    </row>
    <row r="5134" spans="1:6" ht="15.75" thickBot="1" x14ac:dyDescent="0.3">
      <c r="A5134" s="140" t="s">
        <v>29</v>
      </c>
      <c r="B5134" s="145">
        <v>44106</v>
      </c>
      <c r="C5134" s="4">
        <v>2244</v>
      </c>
      <c r="D5134" s="29">
        <f t="shared" si="444"/>
        <v>46715</v>
      </c>
      <c r="E5134" s="4">
        <v>24</v>
      </c>
      <c r="F5134" s="129">
        <f>E5134+F5110</f>
        <v>491</v>
      </c>
    </row>
    <row r="5135" spans="1:6" ht="15.75" thickBot="1" x14ac:dyDescent="0.3">
      <c r="A5135" s="140" t="s">
        <v>45</v>
      </c>
      <c r="B5135" s="145">
        <v>44106</v>
      </c>
      <c r="C5135" s="4">
        <v>176</v>
      </c>
      <c r="D5135" s="29">
        <f t="shared" si="444"/>
        <v>3721</v>
      </c>
      <c r="E5135" s="4">
        <v>2</v>
      </c>
      <c r="F5135" s="129">
        <f t="shared" si="443"/>
        <v>64</v>
      </c>
    </row>
    <row r="5136" spans="1:6" ht="15.75" thickBot="1" x14ac:dyDescent="0.3">
      <c r="A5136" s="140" t="s">
        <v>46</v>
      </c>
      <c r="B5136" s="145">
        <v>44106</v>
      </c>
      <c r="C5136" s="4">
        <v>193</v>
      </c>
      <c r="D5136" s="29">
        <f t="shared" si="444"/>
        <v>4720</v>
      </c>
      <c r="E5136" s="4">
        <v>3</v>
      </c>
      <c r="F5136" s="129">
        <f t="shared" ref="F5136:F5147" si="445">E5136+F5112</f>
        <v>70</v>
      </c>
    </row>
    <row r="5137" spans="1:6" ht="15.75" thickBot="1" x14ac:dyDescent="0.3">
      <c r="A5137" s="141" t="s">
        <v>47</v>
      </c>
      <c r="B5137" s="145">
        <v>44106</v>
      </c>
      <c r="C5137" s="4">
        <v>674</v>
      </c>
      <c r="D5137" s="132">
        <f t="shared" si="444"/>
        <v>16220</v>
      </c>
      <c r="E5137" s="4">
        <v>8</v>
      </c>
      <c r="F5137" s="130">
        <f t="shared" si="445"/>
        <v>140</v>
      </c>
    </row>
    <row r="5138" spans="1:6" ht="15.75" thickBot="1" x14ac:dyDescent="0.3">
      <c r="A5138" s="64" t="s">
        <v>22</v>
      </c>
      <c r="B5138" s="145">
        <v>44107</v>
      </c>
      <c r="C5138" s="4">
        <v>4507</v>
      </c>
      <c r="D5138" s="131">
        <f>C5138+D5114</f>
        <v>433286</v>
      </c>
      <c r="E5138" s="4">
        <f>56+34</f>
        <v>90</v>
      </c>
      <c r="F5138" s="128">
        <f t="shared" si="445"/>
        <v>13468</v>
      </c>
    </row>
    <row r="5139" spans="1:6" ht="15.75" thickBot="1" x14ac:dyDescent="0.3">
      <c r="A5139" s="140" t="s">
        <v>20</v>
      </c>
      <c r="B5139" s="145">
        <v>44107</v>
      </c>
      <c r="C5139" s="4">
        <v>801</v>
      </c>
      <c r="D5139" s="29">
        <f t="shared" ref="D5139:D5151" si="446">C5139+D5115</f>
        <v>128741</v>
      </c>
      <c r="E5139" s="4">
        <f>8+12</f>
        <v>20</v>
      </c>
      <c r="F5139" s="129">
        <f t="shared" si="445"/>
        <v>3473</v>
      </c>
    </row>
    <row r="5140" spans="1:6" ht="15.75" thickBot="1" x14ac:dyDescent="0.3">
      <c r="A5140" s="140" t="s">
        <v>35</v>
      </c>
      <c r="B5140" s="145">
        <v>44107</v>
      </c>
      <c r="C5140" s="4">
        <v>6</v>
      </c>
      <c r="D5140" s="29">
        <f t="shared" si="446"/>
        <v>305</v>
      </c>
      <c r="F5140" s="129">
        <f t="shared" si="445"/>
        <v>0</v>
      </c>
    </row>
    <row r="5141" spans="1:6" ht="15.75" thickBot="1" x14ac:dyDescent="0.3">
      <c r="A5141" s="140" t="s">
        <v>21</v>
      </c>
      <c r="B5141" s="145">
        <v>44107</v>
      </c>
      <c r="C5141" s="4">
        <v>120</v>
      </c>
      <c r="D5141" s="29">
        <f t="shared" si="446"/>
        <v>9063</v>
      </c>
      <c r="E5141" s="4">
        <f>1</f>
        <v>1</v>
      </c>
      <c r="F5141" s="129">
        <f t="shared" si="445"/>
        <v>297</v>
      </c>
    </row>
    <row r="5142" spans="1:6" ht="15.75" thickBot="1" x14ac:dyDescent="0.3">
      <c r="A5142" s="140" t="s">
        <v>36</v>
      </c>
      <c r="B5142" s="145">
        <v>44107</v>
      </c>
      <c r="C5142" s="4">
        <v>149</v>
      </c>
      <c r="D5142" s="29">
        <f t="shared" si="446"/>
        <v>4506</v>
      </c>
      <c r="F5142" s="129">
        <f t="shared" si="445"/>
        <v>58</v>
      </c>
    </row>
    <row r="5143" spans="1:6" ht="15.75" thickBot="1" x14ac:dyDescent="0.3">
      <c r="A5143" s="140" t="s">
        <v>27</v>
      </c>
      <c r="B5143" s="145">
        <v>44107</v>
      </c>
      <c r="C5143" s="4">
        <v>1451</v>
      </c>
      <c r="D5143" s="29">
        <f t="shared" si="446"/>
        <v>39396</v>
      </c>
      <c r="E5143" s="4">
        <f>12+7</f>
        <v>19</v>
      </c>
      <c r="F5143" s="129">
        <f t="shared" si="445"/>
        <v>447</v>
      </c>
    </row>
    <row r="5144" spans="1:6" ht="15.75" thickBot="1" x14ac:dyDescent="0.3">
      <c r="A5144" s="140" t="s">
        <v>37</v>
      </c>
      <c r="B5144" s="145">
        <v>44107</v>
      </c>
      <c r="C5144" s="4">
        <v>3</v>
      </c>
      <c r="D5144" s="29">
        <f t="shared" si="446"/>
        <v>1170</v>
      </c>
      <c r="E5144" s="4">
        <f>1</f>
        <v>1</v>
      </c>
      <c r="F5144" s="129">
        <f t="shared" si="445"/>
        <v>27</v>
      </c>
    </row>
    <row r="5145" spans="1:6" ht="15.75" thickBot="1" x14ac:dyDescent="0.3">
      <c r="A5145" s="140" t="s">
        <v>38</v>
      </c>
      <c r="B5145" s="145">
        <v>44107</v>
      </c>
      <c r="C5145" s="4">
        <v>152</v>
      </c>
      <c r="D5145" s="29">
        <f t="shared" si="446"/>
        <v>7994</v>
      </c>
      <c r="E5145" s="4">
        <f>1</f>
        <v>1</v>
      </c>
      <c r="F5145" s="129">
        <f t="shared" si="445"/>
        <v>143</v>
      </c>
    </row>
    <row r="5146" spans="1:6" ht="15.75" thickBot="1" x14ac:dyDescent="0.3">
      <c r="A5146" s="140" t="s">
        <v>48</v>
      </c>
      <c r="B5146" s="145">
        <v>44107</v>
      </c>
      <c r="C5146" s="4">
        <v>-1</v>
      </c>
      <c r="D5146" s="29">
        <f t="shared" si="446"/>
        <v>105</v>
      </c>
      <c r="F5146" s="129">
        <f t="shared" si="445"/>
        <v>1</v>
      </c>
    </row>
    <row r="5147" spans="1:6" ht="15.75" thickBot="1" x14ac:dyDescent="0.3">
      <c r="A5147" s="140" t="s">
        <v>39</v>
      </c>
      <c r="B5147" s="145">
        <v>44107</v>
      </c>
      <c r="C5147" s="4">
        <v>122</v>
      </c>
      <c r="D5147" s="29">
        <f t="shared" si="446"/>
        <v>16083</v>
      </c>
      <c r="E5147" s="4">
        <f>8+2</f>
        <v>10</v>
      </c>
      <c r="F5147" s="129">
        <f t="shared" si="445"/>
        <v>539</v>
      </c>
    </row>
    <row r="5148" spans="1:6" ht="15.75" thickBot="1" x14ac:dyDescent="0.3">
      <c r="A5148" s="140" t="s">
        <v>40</v>
      </c>
      <c r="B5148" s="145">
        <v>44107</v>
      </c>
      <c r="C5148" s="4">
        <v>27</v>
      </c>
      <c r="D5148" s="29">
        <f t="shared" si="446"/>
        <v>831</v>
      </c>
      <c r="F5148" s="129">
        <f t="shared" ref="F5148:F5159" si="447">E5148+F5124</f>
        <v>9</v>
      </c>
    </row>
    <row r="5149" spans="1:6" ht="15.75" thickBot="1" x14ac:dyDescent="0.3">
      <c r="A5149" s="140" t="s">
        <v>28</v>
      </c>
      <c r="B5149" s="145">
        <v>44107</v>
      </c>
      <c r="C5149" s="4">
        <v>62</v>
      </c>
      <c r="D5149" s="29">
        <f t="shared" si="446"/>
        <v>5054</v>
      </c>
      <c r="F5149" s="129">
        <f t="shared" si="447"/>
        <v>105</v>
      </c>
    </row>
    <row r="5150" spans="1:6" ht="15.75" thickBot="1" x14ac:dyDescent="0.3">
      <c r="A5150" s="140" t="s">
        <v>24</v>
      </c>
      <c r="B5150" s="145">
        <v>44107</v>
      </c>
      <c r="C5150" s="4">
        <v>517</v>
      </c>
      <c r="D5150" s="29">
        <f t="shared" si="446"/>
        <v>27124</v>
      </c>
      <c r="E5150" s="4">
        <f>12+4</f>
        <v>16</v>
      </c>
      <c r="F5150" s="129">
        <f t="shared" si="447"/>
        <v>304</v>
      </c>
    </row>
    <row r="5151" spans="1:6" ht="15.75" thickBot="1" x14ac:dyDescent="0.3">
      <c r="A5151" s="140" t="s">
        <v>30</v>
      </c>
      <c r="B5151" s="145">
        <v>44107</v>
      </c>
      <c r="C5151" s="4">
        <v>5</v>
      </c>
      <c r="D5151" s="29">
        <f t="shared" si="446"/>
        <v>104</v>
      </c>
      <c r="F5151" s="129">
        <f t="shared" si="447"/>
        <v>4</v>
      </c>
    </row>
    <row r="5152" spans="1:6" ht="15.75" thickBot="1" x14ac:dyDescent="0.3">
      <c r="A5152" s="140" t="s">
        <v>26</v>
      </c>
      <c r="B5152" s="145">
        <v>44107</v>
      </c>
      <c r="C5152" s="4">
        <v>264</v>
      </c>
      <c r="D5152" s="29">
        <f>C5152+D5128</f>
        <v>8613</v>
      </c>
      <c r="E5152" s="4">
        <f>1</f>
        <v>1</v>
      </c>
      <c r="F5152" s="129">
        <f t="shared" si="447"/>
        <v>121</v>
      </c>
    </row>
    <row r="5153" spans="1:6" ht="15.75" thickBot="1" x14ac:dyDescent="0.3">
      <c r="A5153" s="140" t="s">
        <v>25</v>
      </c>
      <c r="B5153" s="145">
        <v>44107</v>
      </c>
      <c r="C5153" s="4">
        <v>330</v>
      </c>
      <c r="D5153" s="29">
        <f>C5153+D5129</f>
        <v>13827</v>
      </c>
      <c r="E5153" s="4">
        <f>2+2</f>
        <v>4</v>
      </c>
      <c r="F5153" s="129">
        <f t="shared" si="447"/>
        <v>307</v>
      </c>
    </row>
    <row r="5154" spans="1:6" ht="15.75" thickBot="1" x14ac:dyDescent="0.3">
      <c r="A5154" s="140" t="s">
        <v>41</v>
      </c>
      <c r="B5154" s="145">
        <v>44107</v>
      </c>
      <c r="C5154" s="4">
        <v>134</v>
      </c>
      <c r="D5154" s="29">
        <f>C5154+D5130</f>
        <v>13235</v>
      </c>
      <c r="E5154" s="4">
        <f>2+1</f>
        <v>3</v>
      </c>
      <c r="F5154" s="129">
        <f>E5154+F5130</f>
        <v>366</v>
      </c>
    </row>
    <row r="5155" spans="1:6" ht="15.75" thickBot="1" x14ac:dyDescent="0.3">
      <c r="A5155" s="140" t="s">
        <v>42</v>
      </c>
      <c r="B5155" s="145">
        <v>44107</v>
      </c>
      <c r="C5155" s="4">
        <v>75</v>
      </c>
      <c r="D5155" s="29">
        <f t="shared" ref="D5155:D5161" si="448">C5155+D5131</f>
        <v>829</v>
      </c>
      <c r="F5155" s="129">
        <f>E5155+F5131</f>
        <v>40</v>
      </c>
    </row>
    <row r="5156" spans="1:6" ht="15.75" thickBot="1" x14ac:dyDescent="0.3">
      <c r="A5156" s="140" t="s">
        <v>43</v>
      </c>
      <c r="B5156" s="145">
        <v>44107</v>
      </c>
      <c r="C5156" s="4">
        <v>11</v>
      </c>
      <c r="D5156" s="29">
        <f t="shared" si="448"/>
        <v>1649</v>
      </c>
      <c r="E5156" s="4">
        <f>7+5</f>
        <v>12</v>
      </c>
      <c r="F5156" s="129">
        <f t="shared" si="447"/>
        <v>19</v>
      </c>
    </row>
    <row r="5157" spans="1:6" ht="15.75" thickBot="1" x14ac:dyDescent="0.3">
      <c r="A5157" s="140" t="s">
        <v>44</v>
      </c>
      <c r="B5157" s="145">
        <v>44107</v>
      </c>
      <c r="C5157" s="4">
        <v>221</v>
      </c>
      <c r="D5157" s="29">
        <f t="shared" si="448"/>
        <v>5344</v>
      </c>
      <c r="F5157" s="129">
        <f>E5157+F5133</f>
        <v>67</v>
      </c>
    </row>
    <row r="5158" spans="1:6" ht="15.75" thickBot="1" x14ac:dyDescent="0.3">
      <c r="A5158" s="140" t="s">
        <v>29</v>
      </c>
      <c r="B5158" s="145">
        <v>44107</v>
      </c>
      <c r="C5158" s="4">
        <v>1450</v>
      </c>
      <c r="D5158" s="29">
        <f t="shared" si="448"/>
        <v>48165</v>
      </c>
      <c r="E5158" s="4">
        <f>7+8</f>
        <v>15</v>
      </c>
      <c r="F5158" s="129">
        <f>E5158+F5134</f>
        <v>506</v>
      </c>
    </row>
    <row r="5159" spans="1:6" ht="15.75" thickBot="1" x14ac:dyDescent="0.3">
      <c r="A5159" s="140" t="s">
        <v>45</v>
      </c>
      <c r="B5159" s="145">
        <v>44107</v>
      </c>
      <c r="C5159" s="4">
        <v>123</v>
      </c>
      <c r="D5159" s="29">
        <f t="shared" si="448"/>
        <v>3844</v>
      </c>
      <c r="E5159" s="4">
        <f>1</f>
        <v>1</v>
      </c>
      <c r="F5159" s="129">
        <f t="shared" si="447"/>
        <v>65</v>
      </c>
    </row>
    <row r="5160" spans="1:6" ht="15.75" thickBot="1" x14ac:dyDescent="0.3">
      <c r="A5160" s="140" t="s">
        <v>46</v>
      </c>
      <c r="B5160" s="145">
        <v>44107</v>
      </c>
      <c r="C5160" s="4">
        <v>188</v>
      </c>
      <c r="D5160" s="29">
        <f t="shared" si="448"/>
        <v>4908</v>
      </c>
      <c r="E5160" s="4">
        <f>1</f>
        <v>1</v>
      </c>
      <c r="F5160" s="129">
        <f t="shared" ref="F5160:F5171" si="449">E5160+F5136</f>
        <v>71</v>
      </c>
    </row>
    <row r="5161" spans="1:6" ht="15.75" thickBot="1" x14ac:dyDescent="0.3">
      <c r="A5161" s="141" t="s">
        <v>47</v>
      </c>
      <c r="B5161" s="145">
        <v>44107</v>
      </c>
      <c r="C5161" s="4">
        <v>412</v>
      </c>
      <c r="D5161" s="132">
        <f t="shared" si="448"/>
        <v>16632</v>
      </c>
      <c r="F5161" s="130">
        <f t="shared" si="449"/>
        <v>140</v>
      </c>
    </row>
    <row r="5162" spans="1:6" ht="15.75" thickBot="1" x14ac:dyDescent="0.3">
      <c r="A5162" s="64" t="s">
        <v>22</v>
      </c>
      <c r="B5162" s="145">
        <v>44108</v>
      </c>
      <c r="C5162" s="4">
        <v>2648</v>
      </c>
      <c r="D5162" s="131">
        <f>C5162+D5138</f>
        <v>435934</v>
      </c>
      <c r="E5162" s="4">
        <v>59</v>
      </c>
      <c r="F5162" s="128">
        <f t="shared" si="449"/>
        <v>13527</v>
      </c>
    </row>
    <row r="5163" spans="1:6" ht="15.75" thickBot="1" x14ac:dyDescent="0.3">
      <c r="A5163" s="140" t="s">
        <v>20</v>
      </c>
      <c r="B5163" s="145">
        <v>44108</v>
      </c>
      <c r="C5163" s="4">
        <v>533</v>
      </c>
      <c r="D5163" s="29">
        <f t="shared" ref="D5163:D5175" si="450">C5163+D5139</f>
        <v>129274</v>
      </c>
      <c r="E5163" s="4">
        <f>30+27</f>
        <v>57</v>
      </c>
      <c r="F5163" s="129">
        <f t="shared" si="449"/>
        <v>3530</v>
      </c>
    </row>
    <row r="5164" spans="1:6" ht="15.75" thickBot="1" x14ac:dyDescent="0.3">
      <c r="A5164" s="140" t="s">
        <v>35</v>
      </c>
      <c r="B5164" s="145">
        <v>44108</v>
      </c>
      <c r="C5164" s="4">
        <v>13</v>
      </c>
      <c r="D5164" s="29">
        <f t="shared" si="450"/>
        <v>318</v>
      </c>
      <c r="F5164" s="129">
        <f t="shared" si="449"/>
        <v>0</v>
      </c>
    </row>
    <row r="5165" spans="1:6" ht="15.75" thickBot="1" x14ac:dyDescent="0.3">
      <c r="A5165" s="140" t="s">
        <v>21</v>
      </c>
      <c r="B5165" s="145">
        <v>44108</v>
      </c>
      <c r="C5165" s="4">
        <v>177</v>
      </c>
      <c r="D5165" s="29">
        <f t="shared" si="450"/>
        <v>9240</v>
      </c>
      <c r="E5165" s="4">
        <f>2</f>
        <v>2</v>
      </c>
      <c r="F5165" s="129">
        <f t="shared" si="449"/>
        <v>299</v>
      </c>
    </row>
    <row r="5166" spans="1:6" ht="15.75" thickBot="1" x14ac:dyDescent="0.3">
      <c r="A5166" s="140" t="s">
        <v>36</v>
      </c>
      <c r="B5166" s="145">
        <v>44108</v>
      </c>
      <c r="C5166" s="4">
        <v>181</v>
      </c>
      <c r="D5166" s="29">
        <f t="shared" si="450"/>
        <v>4687</v>
      </c>
      <c r="F5166" s="129">
        <f t="shared" si="449"/>
        <v>58</v>
      </c>
    </row>
    <row r="5167" spans="1:6" ht="15.75" thickBot="1" x14ac:dyDescent="0.3">
      <c r="A5167" s="140" t="s">
        <v>27</v>
      </c>
      <c r="B5167" s="145">
        <v>44108</v>
      </c>
      <c r="C5167" s="4">
        <v>1154</v>
      </c>
      <c r="D5167" s="29">
        <f t="shared" si="450"/>
        <v>40550</v>
      </c>
      <c r="E5167" s="4">
        <f>9+16</f>
        <v>25</v>
      </c>
      <c r="F5167" s="129">
        <f t="shared" si="449"/>
        <v>472</v>
      </c>
    </row>
    <row r="5168" spans="1:6" ht="15.75" thickBot="1" x14ac:dyDescent="0.3">
      <c r="A5168" s="140" t="s">
        <v>37</v>
      </c>
      <c r="B5168" s="145">
        <v>44108</v>
      </c>
      <c r="C5168" s="4">
        <v>4</v>
      </c>
      <c r="D5168" s="29">
        <f t="shared" si="450"/>
        <v>1174</v>
      </c>
      <c r="F5168" s="129">
        <f t="shared" si="449"/>
        <v>27</v>
      </c>
    </row>
    <row r="5169" spans="1:6" ht="15.75" thickBot="1" x14ac:dyDescent="0.3">
      <c r="A5169" s="140" t="s">
        <v>38</v>
      </c>
      <c r="B5169" s="145">
        <v>44108</v>
      </c>
      <c r="C5169" s="4">
        <v>125</v>
      </c>
      <c r="D5169" s="29">
        <f t="shared" si="450"/>
        <v>8119</v>
      </c>
      <c r="F5169" s="129">
        <f t="shared" si="449"/>
        <v>143</v>
      </c>
    </row>
    <row r="5170" spans="1:6" ht="15.75" thickBot="1" x14ac:dyDescent="0.3">
      <c r="A5170" s="140" t="s">
        <v>48</v>
      </c>
      <c r="B5170" s="145">
        <v>44108</v>
      </c>
      <c r="C5170" s="4">
        <v>0</v>
      </c>
      <c r="D5170" s="29">
        <f t="shared" si="450"/>
        <v>105</v>
      </c>
      <c r="F5170" s="129">
        <f t="shared" si="449"/>
        <v>1</v>
      </c>
    </row>
    <row r="5171" spans="1:6" ht="15.75" thickBot="1" x14ac:dyDescent="0.3">
      <c r="A5171" s="140" t="s">
        <v>39</v>
      </c>
      <c r="B5171" s="145">
        <v>44108</v>
      </c>
      <c r="C5171" s="4">
        <v>37</v>
      </c>
      <c r="D5171" s="29">
        <f t="shared" si="450"/>
        <v>16120</v>
      </c>
      <c r="E5171" s="4">
        <f>16+5</f>
        <v>21</v>
      </c>
      <c r="F5171" s="129">
        <f t="shared" si="449"/>
        <v>560</v>
      </c>
    </row>
    <row r="5172" spans="1:6" ht="15.75" thickBot="1" x14ac:dyDescent="0.3">
      <c r="A5172" s="140" t="s">
        <v>40</v>
      </c>
      <c r="B5172" s="145">
        <v>44108</v>
      </c>
      <c r="C5172" s="4">
        <v>24</v>
      </c>
      <c r="D5172" s="29">
        <f t="shared" si="450"/>
        <v>855</v>
      </c>
      <c r="E5172" s="4">
        <f>2</f>
        <v>2</v>
      </c>
      <c r="F5172" s="129">
        <f t="shared" ref="F5172:F5183" si="451">E5172+F5148</f>
        <v>11</v>
      </c>
    </row>
    <row r="5173" spans="1:6" ht="15.75" thickBot="1" x14ac:dyDescent="0.3">
      <c r="A5173" s="140" t="s">
        <v>28</v>
      </c>
      <c r="B5173" s="145">
        <v>44108</v>
      </c>
      <c r="C5173" s="4">
        <v>62</v>
      </c>
      <c r="D5173" s="29">
        <f t="shared" si="450"/>
        <v>5116</v>
      </c>
      <c r="F5173" s="129">
        <f t="shared" si="451"/>
        <v>105</v>
      </c>
    </row>
    <row r="5174" spans="1:6" ht="15.75" thickBot="1" x14ac:dyDescent="0.3">
      <c r="A5174" s="140" t="s">
        <v>24</v>
      </c>
      <c r="B5174" s="145">
        <v>44108</v>
      </c>
      <c r="C5174" s="4">
        <v>377</v>
      </c>
      <c r="D5174" s="29">
        <f t="shared" si="450"/>
        <v>27501</v>
      </c>
      <c r="E5174" s="4">
        <f>2+4</f>
        <v>6</v>
      </c>
      <c r="F5174" s="129">
        <f t="shared" si="451"/>
        <v>310</v>
      </c>
    </row>
    <row r="5175" spans="1:6" ht="15.75" thickBot="1" x14ac:dyDescent="0.3">
      <c r="A5175" s="140" t="s">
        <v>30</v>
      </c>
      <c r="B5175" s="145">
        <v>44108</v>
      </c>
      <c r="C5175" s="4">
        <v>-1</v>
      </c>
      <c r="D5175" s="29">
        <f t="shared" si="450"/>
        <v>103</v>
      </c>
      <c r="F5175" s="129">
        <f t="shared" si="451"/>
        <v>4</v>
      </c>
    </row>
    <row r="5176" spans="1:6" ht="15.75" thickBot="1" x14ac:dyDescent="0.3">
      <c r="A5176" s="140" t="s">
        <v>26</v>
      </c>
      <c r="B5176" s="145">
        <v>44108</v>
      </c>
      <c r="C5176" s="4">
        <v>266</v>
      </c>
      <c r="D5176" s="29">
        <f>C5176+D5152</f>
        <v>8879</v>
      </c>
      <c r="E5176" s="4">
        <f>1</f>
        <v>1</v>
      </c>
      <c r="F5176" s="129">
        <f t="shared" si="451"/>
        <v>122</v>
      </c>
    </row>
    <row r="5177" spans="1:6" ht="15.75" thickBot="1" x14ac:dyDescent="0.3">
      <c r="A5177" s="140" t="s">
        <v>25</v>
      </c>
      <c r="B5177" s="145">
        <v>44108</v>
      </c>
      <c r="C5177" s="4">
        <v>230</v>
      </c>
      <c r="D5177" s="29">
        <f>C5177+D5153</f>
        <v>14057</v>
      </c>
      <c r="E5177" s="4">
        <f>2+1</f>
        <v>3</v>
      </c>
      <c r="F5177" s="129">
        <f t="shared" si="451"/>
        <v>310</v>
      </c>
    </row>
    <row r="5178" spans="1:6" ht="15.75" thickBot="1" x14ac:dyDescent="0.3">
      <c r="A5178" s="140" t="s">
        <v>41</v>
      </c>
      <c r="B5178" s="145">
        <v>44108</v>
      </c>
      <c r="C5178" s="4">
        <v>288</v>
      </c>
      <c r="D5178" s="29">
        <f>C5178+D5154</f>
        <v>13523</v>
      </c>
      <c r="E5178" s="4">
        <f>10+7</f>
        <v>17</v>
      </c>
      <c r="F5178" s="129">
        <f>E5178+F5154</f>
        <v>383</v>
      </c>
    </row>
    <row r="5179" spans="1:6" ht="15.75" thickBot="1" x14ac:dyDescent="0.3">
      <c r="A5179" s="140" t="s">
        <v>42</v>
      </c>
      <c r="B5179" s="145">
        <v>44108</v>
      </c>
      <c r="C5179" s="4">
        <v>10</v>
      </c>
      <c r="D5179" s="29">
        <f t="shared" ref="D5179:D5185" si="452">C5179+D5155</f>
        <v>839</v>
      </c>
      <c r="E5179" s="4">
        <f>2</f>
        <v>2</v>
      </c>
      <c r="F5179" s="129">
        <f>E5179+F5155</f>
        <v>42</v>
      </c>
    </row>
    <row r="5180" spans="1:6" ht="15.75" thickBot="1" x14ac:dyDescent="0.3">
      <c r="A5180" s="140" t="s">
        <v>43</v>
      </c>
      <c r="B5180" s="145">
        <v>44108</v>
      </c>
      <c r="C5180" s="4">
        <v>51</v>
      </c>
      <c r="D5180" s="29">
        <f t="shared" si="452"/>
        <v>1700</v>
      </c>
      <c r="E5180" s="4">
        <f>4+2</f>
        <v>6</v>
      </c>
      <c r="F5180" s="129">
        <f t="shared" si="451"/>
        <v>25</v>
      </c>
    </row>
    <row r="5181" spans="1:6" ht="15.75" thickBot="1" x14ac:dyDescent="0.3">
      <c r="A5181" s="140" t="s">
        <v>44</v>
      </c>
      <c r="B5181" s="145">
        <v>44108</v>
      </c>
      <c r="C5181" s="4">
        <v>109</v>
      </c>
      <c r="D5181" s="29">
        <f t="shared" si="452"/>
        <v>5453</v>
      </c>
      <c r="E5181" s="4">
        <f>1</f>
        <v>1</v>
      </c>
      <c r="F5181" s="129">
        <f>E5181+F5157</f>
        <v>68</v>
      </c>
    </row>
    <row r="5182" spans="1:6" ht="15.75" thickBot="1" x14ac:dyDescent="0.3">
      <c r="A5182" s="140" t="s">
        <v>29</v>
      </c>
      <c r="B5182" s="145">
        <v>44108</v>
      </c>
      <c r="C5182" s="4">
        <v>851</v>
      </c>
      <c r="D5182" s="29">
        <f t="shared" si="452"/>
        <v>49016</v>
      </c>
      <c r="E5182" s="4">
        <f>6+10</f>
        <v>16</v>
      </c>
      <c r="F5182" s="129">
        <f>E5182+F5158</f>
        <v>522</v>
      </c>
    </row>
    <row r="5183" spans="1:6" ht="15.75" thickBot="1" x14ac:dyDescent="0.3">
      <c r="A5183" s="140" t="s">
        <v>45</v>
      </c>
      <c r="B5183" s="145">
        <v>44108</v>
      </c>
      <c r="C5183" s="4">
        <v>58</v>
      </c>
      <c r="D5183" s="29">
        <f t="shared" si="452"/>
        <v>3902</v>
      </c>
      <c r="E5183" s="4">
        <f>2</f>
        <v>2</v>
      </c>
      <c r="F5183" s="129">
        <f t="shared" si="451"/>
        <v>67</v>
      </c>
    </row>
    <row r="5184" spans="1:6" ht="15.75" thickBot="1" x14ac:dyDescent="0.3">
      <c r="A5184" s="140" t="s">
        <v>46</v>
      </c>
      <c r="B5184" s="145">
        <v>44108</v>
      </c>
      <c r="C5184" s="4">
        <v>135</v>
      </c>
      <c r="D5184" s="29">
        <f t="shared" si="452"/>
        <v>5043</v>
      </c>
      <c r="F5184" s="129">
        <f t="shared" ref="F5184:F5195" si="453">E5184+F5160</f>
        <v>71</v>
      </c>
    </row>
    <row r="5185" spans="1:6" ht="15.75" thickBot="1" x14ac:dyDescent="0.3">
      <c r="A5185" s="141" t="s">
        <v>47</v>
      </c>
      <c r="B5185" s="145">
        <v>44108</v>
      </c>
      <c r="C5185" s="4">
        <v>336</v>
      </c>
      <c r="D5185" s="132">
        <f t="shared" si="452"/>
        <v>16968</v>
      </c>
      <c r="E5185" s="4">
        <f>1+1</f>
        <v>2</v>
      </c>
      <c r="F5185" s="130">
        <f t="shared" si="453"/>
        <v>142</v>
      </c>
    </row>
    <row r="5186" spans="1:6" ht="15.75" thickBot="1" x14ac:dyDescent="0.3">
      <c r="A5186" s="64" t="s">
        <v>22</v>
      </c>
      <c r="B5186" s="145">
        <v>44109</v>
      </c>
      <c r="C5186" s="4">
        <v>4471</v>
      </c>
      <c r="D5186" s="131">
        <f>C5186+D5162</f>
        <v>440405</v>
      </c>
      <c r="E5186" s="4">
        <v>203</v>
      </c>
      <c r="F5186" s="128">
        <f t="shared" si="453"/>
        <v>13730</v>
      </c>
    </row>
    <row r="5187" spans="1:6" ht="15.75" thickBot="1" x14ac:dyDescent="0.3">
      <c r="A5187" s="140" t="s">
        <v>20</v>
      </c>
      <c r="B5187" s="145">
        <v>44109</v>
      </c>
      <c r="C5187" s="4">
        <v>684</v>
      </c>
      <c r="D5187" s="29">
        <f t="shared" ref="D5187:D5199" si="454">C5187+D5163</f>
        <v>129958</v>
      </c>
      <c r="E5187" s="4">
        <v>59</v>
      </c>
      <c r="F5187" s="129">
        <f t="shared" si="453"/>
        <v>3589</v>
      </c>
    </row>
    <row r="5188" spans="1:6" ht="15.75" thickBot="1" x14ac:dyDescent="0.3">
      <c r="A5188" s="140" t="s">
        <v>35</v>
      </c>
      <c r="B5188" s="145">
        <v>44109</v>
      </c>
      <c r="C5188" s="4">
        <v>0</v>
      </c>
      <c r="D5188" s="29">
        <f t="shared" si="454"/>
        <v>318</v>
      </c>
      <c r="F5188" s="129">
        <f t="shared" si="453"/>
        <v>0</v>
      </c>
    </row>
    <row r="5189" spans="1:6" ht="15.75" thickBot="1" x14ac:dyDescent="0.3">
      <c r="A5189" s="140" t="s">
        <v>21</v>
      </c>
      <c r="B5189" s="145">
        <v>44109</v>
      </c>
      <c r="C5189" s="4">
        <v>101</v>
      </c>
      <c r="D5189" s="29">
        <f t="shared" si="454"/>
        <v>9341</v>
      </c>
      <c r="E5189" s="4">
        <v>5</v>
      </c>
      <c r="F5189" s="129">
        <f t="shared" si="453"/>
        <v>304</v>
      </c>
    </row>
    <row r="5190" spans="1:6" ht="15.75" thickBot="1" x14ac:dyDescent="0.3">
      <c r="A5190" s="140" t="s">
        <v>36</v>
      </c>
      <c r="B5190" s="145">
        <v>44109</v>
      </c>
      <c r="C5190" s="4">
        <v>234</v>
      </c>
      <c r="D5190" s="29">
        <f t="shared" si="454"/>
        <v>4921</v>
      </c>
      <c r="E5190" s="4">
        <v>11</v>
      </c>
      <c r="F5190" s="129">
        <f t="shared" si="453"/>
        <v>69</v>
      </c>
    </row>
    <row r="5191" spans="1:6" ht="15.75" thickBot="1" x14ac:dyDescent="0.3">
      <c r="A5191" s="140" t="s">
        <v>27</v>
      </c>
      <c r="B5191" s="145">
        <v>44109</v>
      </c>
      <c r="C5191" s="4">
        <v>1188</v>
      </c>
      <c r="D5191" s="29">
        <f t="shared" si="454"/>
        <v>41738</v>
      </c>
      <c r="E5191" s="4">
        <v>21</v>
      </c>
      <c r="F5191" s="129">
        <f t="shared" si="453"/>
        <v>493</v>
      </c>
    </row>
    <row r="5192" spans="1:6" ht="15.75" thickBot="1" x14ac:dyDescent="0.3">
      <c r="A5192" s="140" t="s">
        <v>37</v>
      </c>
      <c r="B5192" s="145">
        <v>44109</v>
      </c>
      <c r="C5192" s="4">
        <v>110</v>
      </c>
      <c r="D5192" s="29">
        <f t="shared" si="454"/>
        <v>1284</v>
      </c>
      <c r="E5192" s="4">
        <v>1</v>
      </c>
      <c r="F5192" s="129">
        <f t="shared" si="453"/>
        <v>28</v>
      </c>
    </row>
    <row r="5193" spans="1:6" ht="15.75" thickBot="1" x14ac:dyDescent="0.3">
      <c r="A5193" s="140" t="s">
        <v>38</v>
      </c>
      <c r="B5193" s="145">
        <v>44109</v>
      </c>
      <c r="C5193" s="4">
        <v>129</v>
      </c>
      <c r="D5193" s="29">
        <f t="shared" si="454"/>
        <v>8248</v>
      </c>
      <c r="E5193" s="4">
        <v>7</v>
      </c>
      <c r="F5193" s="129">
        <f t="shared" si="453"/>
        <v>150</v>
      </c>
    </row>
    <row r="5194" spans="1:6" ht="15.75" thickBot="1" x14ac:dyDescent="0.3">
      <c r="A5194" s="140" t="s">
        <v>48</v>
      </c>
      <c r="B5194" s="145">
        <v>44109</v>
      </c>
      <c r="C5194" s="4">
        <v>1</v>
      </c>
      <c r="D5194" s="29">
        <f t="shared" si="454"/>
        <v>106</v>
      </c>
      <c r="F5194" s="129">
        <f t="shared" si="453"/>
        <v>1</v>
      </c>
    </row>
    <row r="5195" spans="1:6" ht="15.75" thickBot="1" x14ac:dyDescent="0.3">
      <c r="A5195" s="140" t="s">
        <v>39</v>
      </c>
      <c r="B5195" s="145">
        <v>44109</v>
      </c>
      <c r="C5195" s="4">
        <v>61</v>
      </c>
      <c r="D5195" s="29">
        <f t="shared" si="454"/>
        <v>16181</v>
      </c>
      <c r="E5195" s="4">
        <v>29</v>
      </c>
      <c r="F5195" s="129">
        <f t="shared" si="453"/>
        <v>589</v>
      </c>
    </row>
    <row r="5196" spans="1:6" ht="15.75" thickBot="1" x14ac:dyDescent="0.3">
      <c r="A5196" s="140" t="s">
        <v>40</v>
      </c>
      <c r="B5196" s="145">
        <v>44109</v>
      </c>
      <c r="C5196" s="4">
        <v>16</v>
      </c>
      <c r="D5196" s="29">
        <f t="shared" si="454"/>
        <v>871</v>
      </c>
      <c r="F5196" s="129">
        <f t="shared" ref="F5196:F5207" si="455">E5196+F5172</f>
        <v>11</v>
      </c>
    </row>
    <row r="5197" spans="1:6" ht="15.75" thickBot="1" x14ac:dyDescent="0.3">
      <c r="A5197" s="140" t="s">
        <v>28</v>
      </c>
      <c r="B5197" s="145">
        <v>44109</v>
      </c>
      <c r="C5197" s="4">
        <v>85</v>
      </c>
      <c r="D5197" s="29">
        <f t="shared" si="454"/>
        <v>5201</v>
      </c>
      <c r="F5197" s="129">
        <f t="shared" si="455"/>
        <v>105</v>
      </c>
    </row>
    <row r="5198" spans="1:6" ht="15.75" thickBot="1" x14ac:dyDescent="0.3">
      <c r="A5198" s="140" t="s">
        <v>24</v>
      </c>
      <c r="B5198" s="145">
        <v>44109</v>
      </c>
      <c r="C5198" s="4">
        <v>384</v>
      </c>
      <c r="D5198" s="29">
        <f t="shared" si="454"/>
        <v>27885</v>
      </c>
      <c r="E5198" s="4">
        <v>8</v>
      </c>
      <c r="F5198" s="129">
        <f t="shared" si="455"/>
        <v>318</v>
      </c>
    </row>
    <row r="5199" spans="1:6" ht="15.75" thickBot="1" x14ac:dyDescent="0.3">
      <c r="A5199" s="140" t="s">
        <v>30</v>
      </c>
      <c r="B5199" s="145">
        <v>44109</v>
      </c>
      <c r="C5199" s="4">
        <v>4</v>
      </c>
      <c r="D5199" s="29">
        <f t="shared" si="454"/>
        <v>107</v>
      </c>
      <c r="F5199" s="129">
        <f t="shared" si="455"/>
        <v>4</v>
      </c>
    </row>
    <row r="5200" spans="1:6" ht="15.75" thickBot="1" x14ac:dyDescent="0.3">
      <c r="A5200" s="140" t="s">
        <v>26</v>
      </c>
      <c r="B5200" s="145">
        <v>44109</v>
      </c>
      <c r="C5200" s="4">
        <v>251</v>
      </c>
      <c r="D5200" s="29">
        <f>C5200+D5176</f>
        <v>9130</v>
      </c>
      <c r="F5200" s="129">
        <f t="shared" si="455"/>
        <v>122</v>
      </c>
    </row>
    <row r="5201" spans="1:6" ht="15.75" thickBot="1" x14ac:dyDescent="0.3">
      <c r="A5201" s="140" t="s">
        <v>25</v>
      </c>
      <c r="B5201" s="145">
        <v>44109</v>
      </c>
      <c r="C5201" s="4">
        <v>257</v>
      </c>
      <c r="D5201" s="29">
        <f>C5201+D5177</f>
        <v>14314</v>
      </c>
      <c r="E5201" s="4">
        <v>10</v>
      </c>
      <c r="F5201" s="129">
        <f t="shared" si="455"/>
        <v>320</v>
      </c>
    </row>
    <row r="5202" spans="1:6" ht="15.75" thickBot="1" x14ac:dyDescent="0.3">
      <c r="A5202" s="140" t="s">
        <v>41</v>
      </c>
      <c r="B5202" s="145">
        <v>44109</v>
      </c>
      <c r="C5202" s="4">
        <v>217</v>
      </c>
      <c r="D5202" s="29">
        <f>C5202+D5178</f>
        <v>13740</v>
      </c>
      <c r="E5202" s="4">
        <v>41</v>
      </c>
      <c r="F5202" s="129">
        <f>E5202+F5178</f>
        <v>424</v>
      </c>
    </row>
    <row r="5203" spans="1:6" ht="15.75" thickBot="1" x14ac:dyDescent="0.3">
      <c r="A5203" s="140" t="s">
        <v>42</v>
      </c>
      <c r="B5203" s="145">
        <v>44109</v>
      </c>
      <c r="C5203" s="4">
        <v>84</v>
      </c>
      <c r="D5203" s="29">
        <f t="shared" ref="D5203:D5209" si="456">C5203+D5179</f>
        <v>923</v>
      </c>
      <c r="F5203" s="129">
        <f>E5203+F5179</f>
        <v>42</v>
      </c>
    </row>
    <row r="5204" spans="1:6" ht="15.75" thickBot="1" x14ac:dyDescent="0.3">
      <c r="A5204" s="140" t="s">
        <v>43</v>
      </c>
      <c r="B5204" s="145">
        <v>44109</v>
      </c>
      <c r="C5204" s="4">
        <v>104</v>
      </c>
      <c r="D5204" s="29">
        <f t="shared" si="456"/>
        <v>1804</v>
      </c>
      <c r="E5204" s="4">
        <v>3</v>
      </c>
      <c r="F5204" s="129">
        <f t="shared" si="455"/>
        <v>28</v>
      </c>
    </row>
    <row r="5205" spans="1:6" ht="15.75" thickBot="1" x14ac:dyDescent="0.3">
      <c r="A5205" s="140" t="s">
        <v>44</v>
      </c>
      <c r="B5205" s="145">
        <v>44109</v>
      </c>
      <c r="C5205" s="4">
        <v>110</v>
      </c>
      <c r="D5205" s="29">
        <f t="shared" si="456"/>
        <v>5563</v>
      </c>
      <c r="E5205" s="4">
        <v>3</v>
      </c>
      <c r="F5205" s="129">
        <f>E5205+F5181</f>
        <v>71</v>
      </c>
    </row>
    <row r="5206" spans="1:6" ht="15.75" thickBot="1" x14ac:dyDescent="0.3">
      <c r="A5206" s="140" t="s">
        <v>29</v>
      </c>
      <c r="B5206" s="145">
        <v>44109</v>
      </c>
      <c r="C5206" s="4">
        <v>1670</v>
      </c>
      <c r="D5206" s="29">
        <f t="shared" si="456"/>
        <v>50686</v>
      </c>
      <c r="E5206" s="4">
        <v>34</v>
      </c>
      <c r="F5206" s="129">
        <f>E5206+F5182</f>
        <v>556</v>
      </c>
    </row>
    <row r="5207" spans="1:6" ht="15.75" thickBot="1" x14ac:dyDescent="0.3">
      <c r="A5207" s="140" t="s">
        <v>45</v>
      </c>
      <c r="B5207" s="145">
        <v>44109</v>
      </c>
      <c r="C5207" s="4">
        <v>112</v>
      </c>
      <c r="D5207" s="29">
        <f t="shared" si="456"/>
        <v>4014</v>
      </c>
      <c r="E5207" s="4">
        <v>2</v>
      </c>
      <c r="F5207" s="129">
        <f t="shared" si="455"/>
        <v>69</v>
      </c>
    </row>
    <row r="5208" spans="1:6" ht="15.75" thickBot="1" x14ac:dyDescent="0.3">
      <c r="A5208" s="140" t="s">
        <v>46</v>
      </c>
      <c r="B5208" s="145">
        <v>44109</v>
      </c>
      <c r="C5208" s="4">
        <v>133</v>
      </c>
      <c r="D5208" s="29">
        <f t="shared" si="456"/>
        <v>5176</v>
      </c>
      <c r="E5208" s="4">
        <v>3</v>
      </c>
      <c r="F5208" s="129">
        <f t="shared" ref="F5208:F5219" si="457">E5208+F5184</f>
        <v>74</v>
      </c>
    </row>
    <row r="5209" spans="1:6" ht="15.75" thickBot="1" x14ac:dyDescent="0.3">
      <c r="A5209" s="141" t="s">
        <v>47</v>
      </c>
      <c r="B5209" s="145">
        <v>44109</v>
      </c>
      <c r="C5209" s="4">
        <v>836</v>
      </c>
      <c r="D5209" s="132">
        <f t="shared" si="456"/>
        <v>17804</v>
      </c>
      <c r="E5209" s="4">
        <v>9</v>
      </c>
      <c r="F5209" s="130">
        <f t="shared" si="457"/>
        <v>151</v>
      </c>
    </row>
    <row r="5210" spans="1:6" ht="15.75" thickBot="1" x14ac:dyDescent="0.3">
      <c r="A5210" s="64" t="s">
        <v>22</v>
      </c>
      <c r="B5210" s="145">
        <v>44110</v>
      </c>
      <c r="C5210" s="4">
        <v>5659</v>
      </c>
      <c r="D5210" s="131">
        <f>C5210+D5186</f>
        <v>446064</v>
      </c>
      <c r="E5210" s="4">
        <v>149</v>
      </c>
      <c r="F5210" s="128">
        <f t="shared" si="457"/>
        <v>13879</v>
      </c>
    </row>
    <row r="5211" spans="1:6" ht="15.75" thickBot="1" x14ac:dyDescent="0.3">
      <c r="A5211" s="140" t="s">
        <v>20</v>
      </c>
      <c r="B5211" s="145">
        <v>44110</v>
      </c>
      <c r="C5211" s="4">
        <v>883</v>
      </c>
      <c r="D5211" s="29">
        <f t="shared" ref="D5211:D5223" si="458">C5211+D5187</f>
        <v>130841</v>
      </c>
      <c r="E5211" s="4">
        <v>51</v>
      </c>
      <c r="F5211" s="129">
        <f t="shared" si="457"/>
        <v>3640</v>
      </c>
    </row>
    <row r="5212" spans="1:6" ht="15.75" thickBot="1" x14ac:dyDescent="0.3">
      <c r="A5212" s="140" t="s">
        <v>35</v>
      </c>
      <c r="B5212" s="145">
        <v>44110</v>
      </c>
      <c r="C5212" s="4">
        <v>9</v>
      </c>
      <c r="D5212" s="29">
        <f t="shared" si="458"/>
        <v>327</v>
      </c>
      <c r="F5212" s="129">
        <f t="shared" si="457"/>
        <v>0</v>
      </c>
    </row>
    <row r="5213" spans="1:6" ht="15.75" thickBot="1" x14ac:dyDescent="0.3">
      <c r="A5213" s="140" t="s">
        <v>21</v>
      </c>
      <c r="B5213" s="145">
        <v>44110</v>
      </c>
      <c r="C5213" s="4">
        <v>145</v>
      </c>
      <c r="D5213" s="29">
        <f t="shared" si="458"/>
        <v>9486</v>
      </c>
      <c r="E5213" s="4">
        <v>4</v>
      </c>
      <c r="F5213" s="129">
        <f t="shared" si="457"/>
        <v>308</v>
      </c>
    </row>
    <row r="5214" spans="1:6" ht="15.75" thickBot="1" x14ac:dyDescent="0.3">
      <c r="A5214" s="140" t="s">
        <v>36</v>
      </c>
      <c r="B5214" s="145">
        <v>44110</v>
      </c>
      <c r="C5214" s="4">
        <v>322</v>
      </c>
      <c r="D5214" s="29">
        <f t="shared" si="458"/>
        <v>5243</v>
      </c>
      <c r="F5214" s="129">
        <f t="shared" si="457"/>
        <v>69</v>
      </c>
    </row>
    <row r="5215" spans="1:6" ht="15.75" thickBot="1" x14ac:dyDescent="0.3">
      <c r="A5215" s="140" t="s">
        <v>27</v>
      </c>
      <c r="B5215" s="145">
        <v>44110</v>
      </c>
      <c r="C5215" s="4">
        <v>1455</v>
      </c>
      <c r="D5215" s="29">
        <f t="shared" si="458"/>
        <v>43193</v>
      </c>
      <c r="E5215" s="4">
        <v>21</v>
      </c>
      <c r="F5215" s="129">
        <f t="shared" si="457"/>
        <v>514</v>
      </c>
    </row>
    <row r="5216" spans="1:6" ht="15.75" thickBot="1" x14ac:dyDescent="0.3">
      <c r="A5216" s="140" t="s">
        <v>37</v>
      </c>
      <c r="B5216" s="145">
        <v>44110</v>
      </c>
      <c r="C5216" s="4">
        <v>72</v>
      </c>
      <c r="D5216" s="29">
        <f t="shared" si="458"/>
        <v>1356</v>
      </c>
      <c r="E5216" s="4">
        <v>3</v>
      </c>
      <c r="F5216" s="129">
        <f t="shared" si="457"/>
        <v>31</v>
      </c>
    </row>
    <row r="5217" spans="1:6" ht="15.75" thickBot="1" x14ac:dyDescent="0.3">
      <c r="A5217" s="140" t="s">
        <v>38</v>
      </c>
      <c r="B5217" s="145">
        <v>44110</v>
      </c>
      <c r="C5217" s="4">
        <v>201</v>
      </c>
      <c r="D5217" s="29">
        <f t="shared" si="458"/>
        <v>8449</v>
      </c>
      <c r="E5217" s="4">
        <v>3</v>
      </c>
      <c r="F5217" s="129">
        <f t="shared" si="457"/>
        <v>153</v>
      </c>
    </row>
    <row r="5218" spans="1:6" ht="15.75" thickBot="1" x14ac:dyDescent="0.3">
      <c r="A5218" s="140" t="s">
        <v>48</v>
      </c>
      <c r="B5218" s="145">
        <v>44110</v>
      </c>
      <c r="C5218" s="4">
        <v>0</v>
      </c>
      <c r="D5218" s="29">
        <f t="shared" si="458"/>
        <v>106</v>
      </c>
      <c r="F5218" s="129">
        <f t="shared" si="457"/>
        <v>1</v>
      </c>
    </row>
    <row r="5219" spans="1:6" ht="15.75" thickBot="1" x14ac:dyDescent="0.3">
      <c r="A5219" s="140" t="s">
        <v>39</v>
      </c>
      <c r="B5219" s="145">
        <v>44110</v>
      </c>
      <c r="C5219" s="4">
        <v>109</v>
      </c>
      <c r="D5219" s="29">
        <f t="shared" si="458"/>
        <v>16290</v>
      </c>
      <c r="E5219" s="4">
        <v>19</v>
      </c>
      <c r="F5219" s="129">
        <f t="shared" si="457"/>
        <v>608</v>
      </c>
    </row>
    <row r="5220" spans="1:6" ht="15.75" thickBot="1" x14ac:dyDescent="0.3">
      <c r="A5220" s="140" t="s">
        <v>40</v>
      </c>
      <c r="B5220" s="145">
        <v>44110</v>
      </c>
      <c r="C5220" s="4">
        <v>26</v>
      </c>
      <c r="D5220" s="29">
        <f t="shared" si="458"/>
        <v>897</v>
      </c>
      <c r="F5220" s="129">
        <f t="shared" ref="F5220:F5231" si="459">E5220+F5196</f>
        <v>11</v>
      </c>
    </row>
    <row r="5221" spans="1:6" ht="15.75" thickBot="1" x14ac:dyDescent="0.3">
      <c r="A5221" s="140" t="s">
        <v>28</v>
      </c>
      <c r="B5221" s="145">
        <v>44110</v>
      </c>
      <c r="C5221" s="4">
        <v>110</v>
      </c>
      <c r="D5221" s="29">
        <f t="shared" si="458"/>
        <v>5311</v>
      </c>
      <c r="F5221" s="129">
        <f t="shared" si="459"/>
        <v>105</v>
      </c>
    </row>
    <row r="5222" spans="1:6" ht="15.75" thickBot="1" x14ac:dyDescent="0.3">
      <c r="A5222" s="140" t="s">
        <v>24</v>
      </c>
      <c r="B5222" s="145">
        <v>44110</v>
      </c>
      <c r="C5222" s="4">
        <v>680</v>
      </c>
      <c r="D5222" s="29">
        <f t="shared" si="458"/>
        <v>28565</v>
      </c>
      <c r="E5222" s="4">
        <v>44</v>
      </c>
      <c r="F5222" s="129">
        <f t="shared" si="459"/>
        <v>362</v>
      </c>
    </row>
    <row r="5223" spans="1:6" ht="15.75" thickBot="1" x14ac:dyDescent="0.3">
      <c r="A5223" s="140" t="s">
        <v>30</v>
      </c>
      <c r="B5223" s="145">
        <v>44110</v>
      </c>
      <c r="C5223" s="4">
        <v>11</v>
      </c>
      <c r="D5223" s="29">
        <f t="shared" si="458"/>
        <v>118</v>
      </c>
      <c r="F5223" s="129">
        <f t="shared" si="459"/>
        <v>4</v>
      </c>
    </row>
    <row r="5224" spans="1:6" ht="15.75" thickBot="1" x14ac:dyDescent="0.3">
      <c r="A5224" s="140" t="s">
        <v>26</v>
      </c>
      <c r="B5224" s="145">
        <v>44110</v>
      </c>
      <c r="C5224" s="4">
        <v>356</v>
      </c>
      <c r="D5224" s="29">
        <f>C5224+D5200</f>
        <v>9486</v>
      </c>
      <c r="E5224" s="4">
        <v>1</v>
      </c>
      <c r="F5224" s="129">
        <f t="shared" si="459"/>
        <v>123</v>
      </c>
    </row>
    <row r="5225" spans="1:6" ht="15.75" thickBot="1" x14ac:dyDescent="0.3">
      <c r="A5225" s="140" t="s">
        <v>25</v>
      </c>
      <c r="B5225" s="145">
        <v>44110</v>
      </c>
      <c r="C5225" s="4">
        <v>338</v>
      </c>
      <c r="D5225" s="29">
        <f>C5225+D5201</f>
        <v>14652</v>
      </c>
      <c r="E5225" s="4">
        <v>11</v>
      </c>
      <c r="F5225" s="129">
        <f t="shared" si="459"/>
        <v>331</v>
      </c>
    </row>
    <row r="5226" spans="1:6" ht="15.75" thickBot="1" x14ac:dyDescent="0.3">
      <c r="A5226" s="140" t="s">
        <v>41</v>
      </c>
      <c r="B5226" s="145">
        <v>44110</v>
      </c>
      <c r="C5226" s="4">
        <v>222</v>
      </c>
      <c r="D5226" s="29">
        <f>C5226+D5202</f>
        <v>13962</v>
      </c>
      <c r="E5226" s="4">
        <v>11</v>
      </c>
      <c r="F5226" s="129">
        <f>E5226+F5202</f>
        <v>435</v>
      </c>
    </row>
    <row r="5227" spans="1:6" ht="15.75" thickBot="1" x14ac:dyDescent="0.3">
      <c r="A5227" s="140" t="s">
        <v>42</v>
      </c>
      <c r="B5227" s="145">
        <v>44110</v>
      </c>
      <c r="C5227" s="4">
        <v>64</v>
      </c>
      <c r="D5227" s="29">
        <f t="shared" ref="D5227:D5233" si="460">C5227+D5203</f>
        <v>987</v>
      </c>
      <c r="F5227" s="129">
        <f>E5227+F5203</f>
        <v>42</v>
      </c>
    </row>
    <row r="5228" spans="1:6" ht="15.75" thickBot="1" x14ac:dyDescent="0.3">
      <c r="A5228" s="140" t="s">
        <v>43</v>
      </c>
      <c r="B5228" s="145">
        <v>44110</v>
      </c>
      <c r="C5228" s="4">
        <v>61</v>
      </c>
      <c r="D5228" s="29">
        <f t="shared" si="460"/>
        <v>1865</v>
      </c>
      <c r="E5228" s="4">
        <v>3</v>
      </c>
      <c r="F5228" s="129">
        <f t="shared" si="459"/>
        <v>31</v>
      </c>
    </row>
    <row r="5229" spans="1:6" ht="15.75" thickBot="1" x14ac:dyDescent="0.3">
      <c r="A5229" s="140" t="s">
        <v>44</v>
      </c>
      <c r="B5229" s="145">
        <v>44110</v>
      </c>
      <c r="C5229" s="4">
        <v>55</v>
      </c>
      <c r="D5229" s="29">
        <f t="shared" si="460"/>
        <v>5618</v>
      </c>
      <c r="E5229" s="4">
        <v>1</v>
      </c>
      <c r="F5229" s="129">
        <f>E5229+F5205</f>
        <v>72</v>
      </c>
    </row>
    <row r="5230" spans="1:6" ht="15.75" thickBot="1" x14ac:dyDescent="0.3">
      <c r="A5230" s="140" t="s">
        <v>29</v>
      </c>
      <c r="B5230" s="145">
        <v>44110</v>
      </c>
      <c r="C5230" s="4">
        <v>2209</v>
      </c>
      <c r="D5230" s="29">
        <f t="shared" si="460"/>
        <v>52895</v>
      </c>
      <c r="E5230" s="4">
        <v>16</v>
      </c>
      <c r="F5230" s="129">
        <f>E5230+F5206</f>
        <v>572</v>
      </c>
    </row>
    <row r="5231" spans="1:6" ht="15.75" thickBot="1" x14ac:dyDescent="0.3">
      <c r="A5231" s="140" t="s">
        <v>45</v>
      </c>
      <c r="B5231" s="145">
        <v>44110</v>
      </c>
      <c r="C5231" s="4">
        <v>154</v>
      </c>
      <c r="D5231" s="29">
        <f t="shared" si="460"/>
        <v>4168</v>
      </c>
      <c r="E5231" s="4">
        <v>4</v>
      </c>
      <c r="F5231" s="129">
        <f t="shared" si="459"/>
        <v>73</v>
      </c>
    </row>
    <row r="5232" spans="1:6" ht="15.75" thickBot="1" x14ac:dyDescent="0.3">
      <c r="A5232" s="140" t="s">
        <v>46</v>
      </c>
      <c r="B5232" s="145">
        <v>44110</v>
      </c>
      <c r="C5232" s="4">
        <v>244</v>
      </c>
      <c r="D5232" s="29">
        <f t="shared" si="460"/>
        <v>5420</v>
      </c>
      <c r="E5232" s="4">
        <v>1</v>
      </c>
      <c r="F5232" s="129">
        <f t="shared" ref="F5232:F5243" si="461">E5232+F5208</f>
        <v>75</v>
      </c>
    </row>
    <row r="5233" spans="1:6" ht="15.75" thickBot="1" x14ac:dyDescent="0.3">
      <c r="A5233" s="141" t="s">
        <v>47</v>
      </c>
      <c r="B5233" s="145">
        <v>44110</v>
      </c>
      <c r="C5233" s="4">
        <v>1356</v>
      </c>
      <c r="D5233" s="132">
        <f t="shared" si="460"/>
        <v>19160</v>
      </c>
      <c r="E5233" s="4">
        <v>17</v>
      </c>
      <c r="F5233" s="130">
        <f t="shared" si="461"/>
        <v>168</v>
      </c>
    </row>
    <row r="5234" spans="1:6" ht="15.75" thickBot="1" x14ac:dyDescent="0.3">
      <c r="A5234" s="64" t="s">
        <v>22</v>
      </c>
      <c r="B5234" s="145">
        <v>44111</v>
      </c>
      <c r="C5234" s="4">
        <v>5222</v>
      </c>
      <c r="D5234" s="131">
        <f>C5234+D5210</f>
        <v>451286</v>
      </c>
      <c r="E5234" s="4">
        <v>187</v>
      </c>
      <c r="F5234" s="128">
        <f t="shared" si="461"/>
        <v>14066</v>
      </c>
    </row>
    <row r="5235" spans="1:6" ht="15.75" thickBot="1" x14ac:dyDescent="0.3">
      <c r="A5235" s="140" t="s">
        <v>20</v>
      </c>
      <c r="B5235" s="145">
        <v>44111</v>
      </c>
      <c r="C5235" s="4">
        <v>956</v>
      </c>
      <c r="D5235" s="29">
        <f t="shared" ref="D5235:D5247" si="462">C5235+D5211</f>
        <v>131797</v>
      </c>
      <c r="E5235" s="4">
        <v>63</v>
      </c>
      <c r="F5235" s="129">
        <f t="shared" si="461"/>
        <v>3703</v>
      </c>
    </row>
    <row r="5236" spans="1:6" ht="15.75" thickBot="1" x14ac:dyDescent="0.3">
      <c r="A5236" s="140" t="s">
        <v>35</v>
      </c>
      <c r="B5236" s="145">
        <v>44111</v>
      </c>
      <c r="C5236" s="4">
        <v>8</v>
      </c>
      <c r="D5236" s="29">
        <f t="shared" si="462"/>
        <v>335</v>
      </c>
      <c r="F5236" s="129">
        <f t="shared" si="461"/>
        <v>0</v>
      </c>
    </row>
    <row r="5237" spans="1:6" ht="15.75" thickBot="1" x14ac:dyDescent="0.3">
      <c r="A5237" s="140" t="s">
        <v>21</v>
      </c>
      <c r="B5237" s="145">
        <v>44111</v>
      </c>
      <c r="C5237" s="4">
        <v>207</v>
      </c>
      <c r="D5237" s="29">
        <f t="shared" si="462"/>
        <v>9693</v>
      </c>
      <c r="E5237" s="4">
        <v>5</v>
      </c>
      <c r="F5237" s="129">
        <f t="shared" si="461"/>
        <v>313</v>
      </c>
    </row>
    <row r="5238" spans="1:6" ht="15.75" thickBot="1" x14ac:dyDescent="0.3">
      <c r="A5238" s="140" t="s">
        <v>36</v>
      </c>
      <c r="B5238" s="145">
        <v>44111</v>
      </c>
      <c r="C5238" s="4">
        <v>381</v>
      </c>
      <c r="D5238" s="29">
        <f t="shared" si="462"/>
        <v>5624</v>
      </c>
      <c r="E5238" s="4">
        <v>5</v>
      </c>
      <c r="F5238" s="129">
        <f t="shared" si="461"/>
        <v>74</v>
      </c>
    </row>
    <row r="5239" spans="1:6" ht="15.75" thickBot="1" x14ac:dyDescent="0.3">
      <c r="A5239" s="140" t="s">
        <v>27</v>
      </c>
      <c r="B5239" s="145">
        <v>44111</v>
      </c>
      <c r="C5239" s="4">
        <v>1749</v>
      </c>
      <c r="D5239" s="29">
        <f t="shared" si="462"/>
        <v>44942</v>
      </c>
      <c r="E5239" s="4">
        <v>10</v>
      </c>
      <c r="F5239" s="129">
        <f t="shared" si="461"/>
        <v>524</v>
      </c>
    </row>
    <row r="5240" spans="1:6" ht="15.75" thickBot="1" x14ac:dyDescent="0.3">
      <c r="A5240" s="140" t="s">
        <v>37</v>
      </c>
      <c r="B5240" s="145">
        <v>44111</v>
      </c>
      <c r="C5240" s="4">
        <v>5</v>
      </c>
      <c r="D5240" s="29">
        <f t="shared" si="462"/>
        <v>1361</v>
      </c>
      <c r="F5240" s="129">
        <f t="shared" si="461"/>
        <v>31</v>
      </c>
    </row>
    <row r="5241" spans="1:6" ht="15.75" thickBot="1" x14ac:dyDescent="0.3">
      <c r="A5241" s="140" t="s">
        <v>38</v>
      </c>
      <c r="B5241" s="145">
        <v>44111</v>
      </c>
      <c r="C5241" s="4">
        <v>170</v>
      </c>
      <c r="D5241" s="29">
        <f t="shared" si="462"/>
        <v>8619</v>
      </c>
      <c r="E5241" s="4">
        <v>7</v>
      </c>
      <c r="F5241" s="129">
        <f t="shared" si="461"/>
        <v>160</v>
      </c>
    </row>
    <row r="5242" spans="1:6" ht="15.75" thickBot="1" x14ac:dyDescent="0.3">
      <c r="A5242" s="140" t="s">
        <v>48</v>
      </c>
      <c r="B5242" s="145">
        <v>44111</v>
      </c>
      <c r="C5242" s="4">
        <v>-1</v>
      </c>
      <c r="D5242" s="29">
        <f t="shared" si="462"/>
        <v>105</v>
      </c>
      <c r="F5242" s="129">
        <f t="shared" si="461"/>
        <v>1</v>
      </c>
    </row>
    <row r="5243" spans="1:6" ht="15.75" thickBot="1" x14ac:dyDescent="0.3">
      <c r="A5243" s="140" t="s">
        <v>39</v>
      </c>
      <c r="B5243" s="145">
        <v>44111</v>
      </c>
      <c r="C5243" s="4">
        <v>65</v>
      </c>
      <c r="D5243" s="29">
        <f t="shared" si="462"/>
        <v>16355</v>
      </c>
      <c r="F5243" s="129">
        <f t="shared" si="461"/>
        <v>608</v>
      </c>
    </row>
    <row r="5244" spans="1:6" ht="15.75" thickBot="1" x14ac:dyDescent="0.3">
      <c r="A5244" s="140" t="s">
        <v>40</v>
      </c>
      <c r="B5244" s="145">
        <v>44111</v>
      </c>
      <c r="C5244" s="4">
        <v>33</v>
      </c>
      <c r="D5244" s="29">
        <f t="shared" si="462"/>
        <v>930</v>
      </c>
      <c r="F5244" s="129">
        <f t="shared" ref="F5244:F5255" si="463">E5244+F5220</f>
        <v>11</v>
      </c>
    </row>
    <row r="5245" spans="1:6" ht="15.75" thickBot="1" x14ac:dyDescent="0.3">
      <c r="A5245" s="140" t="s">
        <v>28</v>
      </c>
      <c r="B5245" s="145">
        <v>44111</v>
      </c>
      <c r="C5245" s="4">
        <v>119</v>
      </c>
      <c r="D5245" s="29">
        <f t="shared" si="462"/>
        <v>5430</v>
      </c>
      <c r="E5245" s="4">
        <v>25</v>
      </c>
      <c r="F5245" s="129">
        <f t="shared" si="463"/>
        <v>130</v>
      </c>
    </row>
    <row r="5246" spans="1:6" ht="15.75" thickBot="1" x14ac:dyDescent="0.3">
      <c r="A5246" s="140" t="s">
        <v>24</v>
      </c>
      <c r="B5246" s="145">
        <v>44111</v>
      </c>
      <c r="C5246" s="4">
        <v>771</v>
      </c>
      <c r="D5246" s="29">
        <f t="shared" si="462"/>
        <v>29336</v>
      </c>
      <c r="E5246" s="4">
        <v>36</v>
      </c>
      <c r="F5246" s="129">
        <f t="shared" si="463"/>
        <v>398</v>
      </c>
    </row>
    <row r="5247" spans="1:6" ht="15.75" thickBot="1" x14ac:dyDescent="0.3">
      <c r="A5247" s="140" t="s">
        <v>30</v>
      </c>
      <c r="B5247" s="145">
        <v>44111</v>
      </c>
      <c r="C5247" s="4">
        <v>7</v>
      </c>
      <c r="D5247" s="29">
        <f t="shared" si="462"/>
        <v>125</v>
      </c>
      <c r="F5247" s="129">
        <f t="shared" si="463"/>
        <v>4</v>
      </c>
    </row>
    <row r="5248" spans="1:6" ht="15.75" thickBot="1" x14ac:dyDescent="0.3">
      <c r="A5248" s="140" t="s">
        <v>26</v>
      </c>
      <c r="B5248" s="145">
        <v>44111</v>
      </c>
      <c r="C5248" s="4">
        <v>1204</v>
      </c>
      <c r="D5248" s="29">
        <f>C5248+D5224</f>
        <v>10690</v>
      </c>
      <c r="E5248" s="4">
        <v>1</v>
      </c>
      <c r="F5248" s="129">
        <f t="shared" si="463"/>
        <v>124</v>
      </c>
    </row>
    <row r="5249" spans="1:6" ht="15.75" thickBot="1" x14ac:dyDescent="0.3">
      <c r="A5249" s="140" t="s">
        <v>25</v>
      </c>
      <c r="B5249" s="145">
        <v>44111</v>
      </c>
      <c r="C5249" s="4">
        <v>339</v>
      </c>
      <c r="D5249" s="29">
        <f>C5249+D5225</f>
        <v>14991</v>
      </c>
      <c r="E5249" s="4">
        <v>6</v>
      </c>
      <c r="F5249" s="129">
        <f t="shared" si="463"/>
        <v>337</v>
      </c>
    </row>
    <row r="5250" spans="1:6" ht="15.75" thickBot="1" x14ac:dyDescent="0.3">
      <c r="A5250" s="140" t="s">
        <v>41</v>
      </c>
      <c r="B5250" s="145">
        <v>44111</v>
      </c>
      <c r="C5250" s="4">
        <v>289</v>
      </c>
      <c r="D5250" s="29">
        <f>C5250+D5226</f>
        <v>14251</v>
      </c>
      <c r="E5250" s="4">
        <v>18</v>
      </c>
      <c r="F5250" s="129">
        <f>E5250+F5226</f>
        <v>453</v>
      </c>
    </row>
    <row r="5251" spans="1:6" ht="15.75" thickBot="1" x14ac:dyDescent="0.3">
      <c r="A5251" s="140" t="s">
        <v>42</v>
      </c>
      <c r="B5251" s="145">
        <v>44111</v>
      </c>
      <c r="C5251" s="4">
        <v>6</v>
      </c>
      <c r="D5251" s="29">
        <f t="shared" ref="D5251:D5257" si="464">C5251+D5227</f>
        <v>993</v>
      </c>
      <c r="F5251" s="129">
        <f>E5251+F5227</f>
        <v>42</v>
      </c>
    </row>
    <row r="5252" spans="1:6" ht="15.75" thickBot="1" x14ac:dyDescent="0.3">
      <c r="A5252" s="140" t="s">
        <v>43</v>
      </c>
      <c r="B5252" s="145">
        <v>44111</v>
      </c>
      <c r="C5252" s="4">
        <v>125</v>
      </c>
      <c r="D5252" s="29">
        <f t="shared" si="464"/>
        <v>1990</v>
      </c>
      <c r="F5252" s="129">
        <f t="shared" si="463"/>
        <v>31</v>
      </c>
    </row>
    <row r="5253" spans="1:6" ht="15.75" thickBot="1" x14ac:dyDescent="0.3">
      <c r="A5253" s="140" t="s">
        <v>44</v>
      </c>
      <c r="B5253" s="145">
        <v>44111</v>
      </c>
      <c r="C5253" s="4">
        <v>162</v>
      </c>
      <c r="D5253" s="29">
        <f t="shared" si="464"/>
        <v>5780</v>
      </c>
      <c r="E5253" s="4">
        <v>2</v>
      </c>
      <c r="F5253" s="129">
        <f>E5253+F5229</f>
        <v>74</v>
      </c>
    </row>
    <row r="5254" spans="1:6" ht="15.75" thickBot="1" x14ac:dyDescent="0.3">
      <c r="A5254" s="140" t="s">
        <v>29</v>
      </c>
      <c r="B5254" s="145">
        <v>44111</v>
      </c>
      <c r="C5254" s="4">
        <v>2137</v>
      </c>
      <c r="D5254" s="29">
        <f t="shared" si="464"/>
        <v>55032</v>
      </c>
      <c r="E5254" s="4">
        <v>17</v>
      </c>
      <c r="F5254" s="129">
        <f>E5254+F5230</f>
        <v>589</v>
      </c>
    </row>
    <row r="5255" spans="1:6" ht="15.75" thickBot="1" x14ac:dyDescent="0.3">
      <c r="A5255" s="140" t="s">
        <v>45</v>
      </c>
      <c r="B5255" s="145">
        <v>44111</v>
      </c>
      <c r="C5255" s="4">
        <v>60</v>
      </c>
      <c r="D5255" s="29">
        <f t="shared" si="464"/>
        <v>4228</v>
      </c>
      <c r="E5255" s="4">
        <v>5</v>
      </c>
      <c r="F5255" s="129">
        <f t="shared" si="463"/>
        <v>78</v>
      </c>
    </row>
    <row r="5256" spans="1:6" ht="15.75" thickBot="1" x14ac:dyDescent="0.3">
      <c r="A5256" s="140" t="s">
        <v>46</v>
      </c>
      <c r="B5256" s="145">
        <v>44111</v>
      </c>
      <c r="C5256" s="4">
        <v>216</v>
      </c>
      <c r="D5256" s="29">
        <f t="shared" si="464"/>
        <v>5636</v>
      </c>
      <c r="E5256" s="4">
        <v>6</v>
      </c>
      <c r="F5256" s="129">
        <f t="shared" ref="F5256:F5267" si="465">E5256+F5232</f>
        <v>81</v>
      </c>
    </row>
    <row r="5257" spans="1:6" ht="15.75" thickBot="1" x14ac:dyDescent="0.3">
      <c r="A5257" s="141" t="s">
        <v>47</v>
      </c>
      <c r="B5257" s="145">
        <v>44111</v>
      </c>
      <c r="C5257" s="4">
        <v>2217</v>
      </c>
      <c r="D5257" s="132">
        <f t="shared" si="464"/>
        <v>21377</v>
      </c>
      <c r="E5257" s="4">
        <v>8</v>
      </c>
      <c r="F5257" s="130">
        <f t="shared" si="465"/>
        <v>176</v>
      </c>
    </row>
    <row r="5258" spans="1:6" ht="15.75" thickBot="1" x14ac:dyDescent="0.3">
      <c r="A5258" s="64" t="s">
        <v>22</v>
      </c>
      <c r="B5258" s="145">
        <v>44112</v>
      </c>
      <c r="C5258" s="4">
        <v>5184</v>
      </c>
      <c r="D5258" s="131">
        <f>C5258+D5234</f>
        <v>456470</v>
      </c>
      <c r="E5258" s="4">
        <v>186</v>
      </c>
      <c r="F5258" s="128">
        <f t="shared" si="465"/>
        <v>14252</v>
      </c>
    </row>
    <row r="5259" spans="1:6" ht="15.75" thickBot="1" x14ac:dyDescent="0.3">
      <c r="A5259" s="140" t="s">
        <v>20</v>
      </c>
      <c r="B5259" s="145">
        <v>44112</v>
      </c>
      <c r="C5259" s="4">
        <v>937</v>
      </c>
      <c r="D5259" s="29">
        <f t="shared" ref="D5259:D5271" si="466">C5259+D5235</f>
        <v>132734</v>
      </c>
      <c r="E5259" s="4">
        <v>68</v>
      </c>
      <c r="F5259" s="129">
        <f t="shared" si="465"/>
        <v>3771</v>
      </c>
    </row>
    <row r="5260" spans="1:6" ht="15.75" thickBot="1" x14ac:dyDescent="0.3">
      <c r="A5260" s="140" t="s">
        <v>35</v>
      </c>
      <c r="B5260" s="145">
        <v>44112</v>
      </c>
      <c r="C5260" s="4">
        <v>18</v>
      </c>
      <c r="D5260" s="29">
        <f t="shared" si="466"/>
        <v>353</v>
      </c>
      <c r="F5260" s="129">
        <f t="shared" si="465"/>
        <v>0</v>
      </c>
    </row>
    <row r="5261" spans="1:6" ht="15.75" thickBot="1" x14ac:dyDescent="0.3">
      <c r="A5261" s="140" t="s">
        <v>21</v>
      </c>
      <c r="B5261" s="145">
        <v>44112</v>
      </c>
      <c r="C5261" s="4">
        <v>156</v>
      </c>
      <c r="D5261" s="29">
        <f t="shared" si="466"/>
        <v>9849</v>
      </c>
      <c r="E5261" s="4">
        <v>4</v>
      </c>
      <c r="F5261" s="129">
        <f t="shared" si="465"/>
        <v>317</v>
      </c>
    </row>
    <row r="5262" spans="1:6" ht="15.75" thickBot="1" x14ac:dyDescent="0.3">
      <c r="A5262" s="140" t="s">
        <v>36</v>
      </c>
      <c r="B5262" s="145">
        <v>44112</v>
      </c>
      <c r="C5262" s="4">
        <v>312</v>
      </c>
      <c r="D5262" s="29">
        <f t="shared" si="466"/>
        <v>5936</v>
      </c>
      <c r="E5262" s="4">
        <v>3</v>
      </c>
      <c r="F5262" s="129">
        <f t="shared" si="465"/>
        <v>77</v>
      </c>
    </row>
    <row r="5263" spans="1:6" ht="15.75" thickBot="1" x14ac:dyDescent="0.3">
      <c r="A5263" s="140" t="s">
        <v>27</v>
      </c>
      <c r="B5263" s="145">
        <v>44112</v>
      </c>
      <c r="C5263" s="4">
        <v>2090</v>
      </c>
      <c r="D5263" s="29">
        <f t="shared" si="466"/>
        <v>47032</v>
      </c>
      <c r="E5263" s="4">
        <v>18</v>
      </c>
      <c r="F5263" s="129">
        <f t="shared" si="465"/>
        <v>542</v>
      </c>
    </row>
    <row r="5264" spans="1:6" ht="15.75" thickBot="1" x14ac:dyDescent="0.3">
      <c r="A5264" s="140" t="s">
        <v>37</v>
      </c>
      <c r="B5264" s="145">
        <v>44112</v>
      </c>
      <c r="C5264" s="4">
        <v>51</v>
      </c>
      <c r="D5264" s="29">
        <f t="shared" si="466"/>
        <v>1412</v>
      </c>
      <c r="F5264" s="129">
        <f t="shared" si="465"/>
        <v>31</v>
      </c>
    </row>
    <row r="5265" spans="1:6" ht="15.75" thickBot="1" x14ac:dyDescent="0.3">
      <c r="A5265" s="140" t="s">
        <v>38</v>
      </c>
      <c r="B5265" s="145">
        <v>44112</v>
      </c>
      <c r="C5265" s="4">
        <v>220</v>
      </c>
      <c r="D5265" s="29">
        <f t="shared" si="466"/>
        <v>8839</v>
      </c>
      <c r="E5265" s="4">
        <v>6</v>
      </c>
      <c r="F5265" s="129">
        <f t="shared" si="465"/>
        <v>166</v>
      </c>
    </row>
    <row r="5266" spans="1:6" ht="15.75" thickBot="1" x14ac:dyDescent="0.3">
      <c r="A5266" s="140" t="s">
        <v>48</v>
      </c>
      <c r="B5266" s="145">
        <v>44112</v>
      </c>
      <c r="C5266" s="4">
        <v>5</v>
      </c>
      <c r="D5266" s="29">
        <f t="shared" si="466"/>
        <v>110</v>
      </c>
      <c r="F5266" s="129">
        <f t="shared" si="465"/>
        <v>1</v>
      </c>
    </row>
    <row r="5267" spans="1:6" ht="15.75" thickBot="1" x14ac:dyDescent="0.3">
      <c r="A5267" s="140" t="s">
        <v>39</v>
      </c>
      <c r="B5267" s="145">
        <v>44112</v>
      </c>
      <c r="C5267" s="4">
        <v>119</v>
      </c>
      <c r="D5267" s="29">
        <f t="shared" si="466"/>
        <v>16474</v>
      </c>
      <c r="E5267" s="4">
        <v>19</v>
      </c>
      <c r="F5267" s="129">
        <f t="shared" si="465"/>
        <v>627</v>
      </c>
    </row>
    <row r="5268" spans="1:6" ht="15.75" thickBot="1" x14ac:dyDescent="0.3">
      <c r="A5268" s="140" t="s">
        <v>40</v>
      </c>
      <c r="B5268" s="145">
        <v>44112</v>
      </c>
      <c r="C5268" s="4">
        <v>24</v>
      </c>
      <c r="D5268" s="29">
        <f t="shared" si="466"/>
        <v>954</v>
      </c>
      <c r="E5268" s="4">
        <v>1</v>
      </c>
      <c r="F5268" s="129">
        <f t="shared" ref="F5268:F5279" si="467">E5268+F5244</f>
        <v>12</v>
      </c>
    </row>
    <row r="5269" spans="1:6" ht="15.75" thickBot="1" x14ac:dyDescent="0.3">
      <c r="A5269" s="140" t="s">
        <v>28</v>
      </c>
      <c r="B5269" s="145">
        <v>44112</v>
      </c>
      <c r="C5269" s="4">
        <v>117</v>
      </c>
      <c r="D5269" s="29">
        <f t="shared" si="466"/>
        <v>5547</v>
      </c>
      <c r="E5269" s="4">
        <v>30</v>
      </c>
      <c r="F5269" s="129">
        <f t="shared" si="467"/>
        <v>160</v>
      </c>
    </row>
    <row r="5270" spans="1:6" ht="15.75" thickBot="1" x14ac:dyDescent="0.3">
      <c r="A5270" s="140" t="s">
        <v>24</v>
      </c>
      <c r="B5270" s="145">
        <v>44112</v>
      </c>
      <c r="C5270" s="4">
        <v>697</v>
      </c>
      <c r="D5270" s="29">
        <f t="shared" si="466"/>
        <v>30033</v>
      </c>
      <c r="E5270" s="4">
        <v>10</v>
      </c>
      <c r="F5270" s="129">
        <f t="shared" si="467"/>
        <v>408</v>
      </c>
    </row>
    <row r="5271" spans="1:6" ht="15.75" thickBot="1" x14ac:dyDescent="0.3">
      <c r="A5271" s="140" t="s">
        <v>30</v>
      </c>
      <c r="B5271" s="145">
        <v>44112</v>
      </c>
      <c r="C5271" s="4">
        <v>15</v>
      </c>
      <c r="D5271" s="29">
        <f t="shared" si="466"/>
        <v>140</v>
      </c>
      <c r="E5271" s="4">
        <v>0</v>
      </c>
      <c r="F5271" s="129">
        <f t="shared" si="467"/>
        <v>4</v>
      </c>
    </row>
    <row r="5272" spans="1:6" ht="15.75" thickBot="1" x14ac:dyDescent="0.3">
      <c r="A5272" s="140" t="s">
        <v>26</v>
      </c>
      <c r="B5272" s="145">
        <v>44112</v>
      </c>
      <c r="C5272" s="4">
        <v>409</v>
      </c>
      <c r="D5272" s="29">
        <f>C5272+D5248</f>
        <v>11099</v>
      </c>
      <c r="E5272" s="4">
        <v>1</v>
      </c>
      <c r="F5272" s="129">
        <f t="shared" si="467"/>
        <v>125</v>
      </c>
    </row>
    <row r="5273" spans="1:6" ht="15.75" thickBot="1" x14ac:dyDescent="0.3">
      <c r="A5273" s="140" t="s">
        <v>25</v>
      </c>
      <c r="B5273" s="145">
        <v>44112</v>
      </c>
      <c r="C5273" s="4">
        <v>356</v>
      </c>
      <c r="D5273" s="29">
        <f>C5273+D5249</f>
        <v>15347</v>
      </c>
      <c r="E5273" s="4">
        <v>7</v>
      </c>
      <c r="F5273" s="129">
        <f t="shared" si="467"/>
        <v>344</v>
      </c>
    </row>
    <row r="5274" spans="1:6" ht="15.75" thickBot="1" x14ac:dyDescent="0.3">
      <c r="A5274" s="140" t="s">
        <v>41</v>
      </c>
      <c r="B5274" s="145">
        <v>44112</v>
      </c>
      <c r="C5274" s="4">
        <v>265</v>
      </c>
      <c r="D5274" s="29">
        <f>C5274+D5250</f>
        <v>14516</v>
      </c>
      <c r="E5274" s="4">
        <v>11</v>
      </c>
      <c r="F5274" s="129">
        <f>E5274+F5250</f>
        <v>464</v>
      </c>
    </row>
    <row r="5275" spans="1:6" ht="15.75" thickBot="1" x14ac:dyDescent="0.3">
      <c r="A5275" s="140" t="s">
        <v>42</v>
      </c>
      <c r="B5275" s="145">
        <v>44112</v>
      </c>
      <c r="C5275" s="4">
        <v>112</v>
      </c>
      <c r="D5275" s="29">
        <f t="shared" ref="D5275:D5281" si="468">C5275+D5251</f>
        <v>1105</v>
      </c>
      <c r="F5275" s="129">
        <f>E5275+F5251</f>
        <v>42</v>
      </c>
    </row>
    <row r="5276" spans="1:6" ht="15.75" thickBot="1" x14ac:dyDescent="0.3">
      <c r="A5276" s="140" t="s">
        <v>43</v>
      </c>
      <c r="B5276" s="145">
        <v>44112</v>
      </c>
      <c r="C5276" s="4">
        <v>112</v>
      </c>
      <c r="D5276" s="29">
        <f t="shared" si="468"/>
        <v>2102</v>
      </c>
      <c r="E5276" s="4">
        <v>2</v>
      </c>
      <c r="F5276" s="129">
        <f t="shared" si="467"/>
        <v>33</v>
      </c>
    </row>
    <row r="5277" spans="1:6" ht="15.75" thickBot="1" x14ac:dyDescent="0.3">
      <c r="A5277" s="140" t="s">
        <v>44</v>
      </c>
      <c r="B5277" s="145">
        <v>44112</v>
      </c>
      <c r="C5277" s="4">
        <v>89</v>
      </c>
      <c r="D5277" s="29">
        <f t="shared" si="468"/>
        <v>5869</v>
      </c>
      <c r="E5277" s="4">
        <v>2</v>
      </c>
      <c r="F5277" s="129">
        <f>E5277+F5253</f>
        <v>76</v>
      </c>
    </row>
    <row r="5278" spans="1:6" ht="15.75" thickBot="1" x14ac:dyDescent="0.3">
      <c r="A5278" s="140" t="s">
        <v>29</v>
      </c>
      <c r="B5278" s="145">
        <v>44112</v>
      </c>
      <c r="C5278" s="4">
        <v>2099</v>
      </c>
      <c r="D5278" s="29">
        <f t="shared" si="468"/>
        <v>57131</v>
      </c>
      <c r="E5278" s="4">
        <v>31</v>
      </c>
      <c r="F5278" s="129">
        <f>E5278+F5254</f>
        <v>620</v>
      </c>
    </row>
    <row r="5279" spans="1:6" ht="15.75" thickBot="1" x14ac:dyDescent="0.3">
      <c r="A5279" s="140" t="s">
        <v>45</v>
      </c>
      <c r="B5279" s="145">
        <v>44112</v>
      </c>
      <c r="C5279" s="4">
        <v>40</v>
      </c>
      <c r="D5279" s="29">
        <f t="shared" si="468"/>
        <v>4268</v>
      </c>
      <c r="E5279" s="4">
        <v>1</v>
      </c>
      <c r="F5279" s="129">
        <f t="shared" si="467"/>
        <v>79</v>
      </c>
    </row>
    <row r="5280" spans="1:6" ht="15.75" thickBot="1" x14ac:dyDescent="0.3">
      <c r="A5280" s="140" t="s">
        <v>46</v>
      </c>
      <c r="B5280" s="145">
        <v>44112</v>
      </c>
      <c r="C5280" s="4">
        <v>168</v>
      </c>
      <c r="D5280" s="29">
        <f t="shared" si="468"/>
        <v>5804</v>
      </c>
      <c r="E5280" s="4">
        <v>1</v>
      </c>
      <c r="F5280" s="129">
        <f t="shared" ref="F5280:F5291" si="469">E5280+F5256</f>
        <v>82</v>
      </c>
    </row>
    <row r="5281" spans="1:6" ht="15.75" thickBot="1" x14ac:dyDescent="0.3">
      <c r="A5281" s="141" t="s">
        <v>47</v>
      </c>
      <c r="B5281" s="145">
        <v>44112</v>
      </c>
      <c r="C5281" s="4">
        <v>1859</v>
      </c>
      <c r="D5281" s="132">
        <f t="shared" si="468"/>
        <v>23236</v>
      </c>
      <c r="E5281" s="4">
        <v>84</v>
      </c>
      <c r="F5281" s="130">
        <f t="shared" si="469"/>
        <v>260</v>
      </c>
    </row>
    <row r="5282" spans="1:6" ht="15.75" thickBot="1" x14ac:dyDescent="0.3">
      <c r="A5282" s="64" t="s">
        <v>22</v>
      </c>
      <c r="B5282" s="145">
        <v>44113</v>
      </c>
      <c r="C5282" s="4">
        <v>5346</v>
      </c>
      <c r="D5282" s="131">
        <f>C5282+D5258</f>
        <v>461816</v>
      </c>
      <c r="E5282" s="4">
        <f>134+105</f>
        <v>239</v>
      </c>
      <c r="F5282" s="128">
        <f t="shared" si="469"/>
        <v>14491</v>
      </c>
    </row>
    <row r="5283" spans="1:6" ht="15.75" thickBot="1" x14ac:dyDescent="0.3">
      <c r="A5283" s="140" t="s">
        <v>20</v>
      </c>
      <c r="B5283" s="145">
        <v>44113</v>
      </c>
      <c r="C5283" s="4">
        <v>874</v>
      </c>
      <c r="D5283" s="29">
        <f t="shared" ref="D5283:D5295" si="470">C5283+D5259</f>
        <v>133608</v>
      </c>
      <c r="E5283" s="4">
        <f>22+16</f>
        <v>38</v>
      </c>
      <c r="F5283" s="129">
        <f t="shared" si="469"/>
        <v>3809</v>
      </c>
    </row>
    <row r="5284" spans="1:6" ht="15.75" thickBot="1" x14ac:dyDescent="0.3">
      <c r="A5284" s="140" t="s">
        <v>35</v>
      </c>
      <c r="B5284" s="145">
        <v>44113</v>
      </c>
      <c r="C5284" s="4">
        <v>7</v>
      </c>
      <c r="D5284" s="29">
        <f t="shared" si="470"/>
        <v>360</v>
      </c>
      <c r="F5284" s="129">
        <f t="shared" si="469"/>
        <v>0</v>
      </c>
    </row>
    <row r="5285" spans="1:6" ht="15.75" thickBot="1" x14ac:dyDescent="0.3">
      <c r="A5285" s="140" t="s">
        <v>21</v>
      </c>
      <c r="B5285" s="145">
        <v>44113</v>
      </c>
      <c r="C5285" s="4">
        <v>177</v>
      </c>
      <c r="D5285" s="29">
        <f t="shared" si="470"/>
        <v>10026</v>
      </c>
      <c r="E5285" s="4">
        <f>8+4</f>
        <v>12</v>
      </c>
      <c r="F5285" s="129">
        <f t="shared" si="469"/>
        <v>329</v>
      </c>
    </row>
    <row r="5286" spans="1:6" ht="15.75" thickBot="1" x14ac:dyDescent="0.3">
      <c r="A5286" s="140" t="s">
        <v>36</v>
      </c>
      <c r="B5286" s="145">
        <v>44113</v>
      </c>
      <c r="C5286" s="4">
        <v>205</v>
      </c>
      <c r="D5286" s="29">
        <f t="shared" si="470"/>
        <v>6141</v>
      </c>
      <c r="E5286" s="4">
        <f>6</f>
        <v>6</v>
      </c>
      <c r="F5286" s="129">
        <f t="shared" si="469"/>
        <v>83</v>
      </c>
    </row>
    <row r="5287" spans="1:6" ht="15.75" thickBot="1" x14ac:dyDescent="0.3">
      <c r="A5287" s="140" t="s">
        <v>27</v>
      </c>
      <c r="B5287" s="145">
        <v>44113</v>
      </c>
      <c r="C5287" s="4">
        <v>1643</v>
      </c>
      <c r="D5287" s="29">
        <f t="shared" si="470"/>
        <v>48675</v>
      </c>
      <c r="E5287" s="4">
        <v>27</v>
      </c>
      <c r="F5287" s="129">
        <f t="shared" si="469"/>
        <v>569</v>
      </c>
    </row>
    <row r="5288" spans="1:6" ht="15.75" thickBot="1" x14ac:dyDescent="0.3">
      <c r="A5288" s="140" t="s">
        <v>37</v>
      </c>
      <c r="B5288" s="145">
        <v>44113</v>
      </c>
      <c r="C5288" s="4">
        <v>93</v>
      </c>
      <c r="D5288" s="29">
        <f t="shared" si="470"/>
        <v>1505</v>
      </c>
      <c r="F5288" s="129">
        <f t="shared" si="469"/>
        <v>31</v>
      </c>
    </row>
    <row r="5289" spans="1:6" ht="15.75" thickBot="1" x14ac:dyDescent="0.3">
      <c r="A5289" s="140" t="s">
        <v>38</v>
      </c>
      <c r="B5289" s="145">
        <v>44113</v>
      </c>
      <c r="C5289" s="4">
        <v>206</v>
      </c>
      <c r="D5289" s="29">
        <f t="shared" si="470"/>
        <v>9045</v>
      </c>
      <c r="E5289" s="4">
        <f>4</f>
        <v>4</v>
      </c>
      <c r="F5289" s="129">
        <f t="shared" si="469"/>
        <v>170</v>
      </c>
    </row>
    <row r="5290" spans="1:6" ht="15.75" thickBot="1" x14ac:dyDescent="0.3">
      <c r="A5290" s="140" t="s">
        <v>48</v>
      </c>
      <c r="B5290" s="145">
        <v>44113</v>
      </c>
      <c r="C5290" s="4">
        <v>10</v>
      </c>
      <c r="D5290" s="29">
        <f t="shared" si="470"/>
        <v>120</v>
      </c>
      <c r="F5290" s="129">
        <f t="shared" si="469"/>
        <v>1</v>
      </c>
    </row>
    <row r="5291" spans="1:6" ht="15.75" thickBot="1" x14ac:dyDescent="0.3">
      <c r="A5291" s="140" t="s">
        <v>39</v>
      </c>
      <c r="B5291" s="145">
        <v>44113</v>
      </c>
      <c r="C5291" s="4">
        <v>70</v>
      </c>
      <c r="D5291" s="29">
        <f t="shared" si="470"/>
        <v>16544</v>
      </c>
      <c r="F5291" s="129">
        <f t="shared" si="469"/>
        <v>627</v>
      </c>
    </row>
    <row r="5292" spans="1:6" ht="15.75" thickBot="1" x14ac:dyDescent="0.3">
      <c r="A5292" s="140" t="s">
        <v>40</v>
      </c>
      <c r="B5292" s="145">
        <v>44113</v>
      </c>
      <c r="C5292" s="4">
        <v>42</v>
      </c>
      <c r="D5292" s="29">
        <f t="shared" si="470"/>
        <v>996</v>
      </c>
      <c r="F5292" s="129">
        <f t="shared" ref="F5292:F5303" si="471">E5292+F5268</f>
        <v>12</v>
      </c>
    </row>
    <row r="5293" spans="1:6" ht="15.75" thickBot="1" x14ac:dyDescent="0.3">
      <c r="A5293" s="140" t="s">
        <v>28</v>
      </c>
      <c r="B5293" s="145">
        <v>44113</v>
      </c>
      <c r="C5293" s="4">
        <v>83</v>
      </c>
      <c r="D5293" s="29">
        <f t="shared" si="470"/>
        <v>5630</v>
      </c>
      <c r="E5293" s="4">
        <f>7+4</f>
        <v>11</v>
      </c>
      <c r="F5293" s="129">
        <f t="shared" si="471"/>
        <v>171</v>
      </c>
    </row>
    <row r="5294" spans="1:6" ht="15.75" thickBot="1" x14ac:dyDescent="0.3">
      <c r="A5294" s="140" t="s">
        <v>24</v>
      </c>
      <c r="B5294" s="145">
        <v>44113</v>
      </c>
      <c r="C5294" s="4">
        <v>858</v>
      </c>
      <c r="D5294" s="29">
        <f t="shared" si="470"/>
        <v>30891</v>
      </c>
      <c r="E5294" s="4">
        <f>10+8</f>
        <v>18</v>
      </c>
      <c r="F5294" s="129">
        <f t="shared" si="471"/>
        <v>426</v>
      </c>
    </row>
    <row r="5295" spans="1:6" ht="15.75" thickBot="1" x14ac:dyDescent="0.3">
      <c r="A5295" s="140" t="s">
        <v>30</v>
      </c>
      <c r="B5295" s="145">
        <v>44113</v>
      </c>
      <c r="C5295" s="4">
        <v>4</v>
      </c>
      <c r="D5295" s="29">
        <f t="shared" si="470"/>
        <v>144</v>
      </c>
      <c r="F5295" s="129">
        <f t="shared" si="471"/>
        <v>4</v>
      </c>
    </row>
    <row r="5296" spans="1:6" ht="15.75" thickBot="1" x14ac:dyDescent="0.3">
      <c r="A5296" s="140" t="s">
        <v>26</v>
      </c>
      <c r="B5296" s="145">
        <v>44113</v>
      </c>
      <c r="C5296" s="4">
        <v>287</v>
      </c>
      <c r="D5296" s="29">
        <f>C5296+D5272</f>
        <v>11386</v>
      </c>
      <c r="E5296" s="4">
        <f>25+17</f>
        <v>42</v>
      </c>
      <c r="F5296" s="129">
        <f t="shared" si="471"/>
        <v>167</v>
      </c>
    </row>
    <row r="5297" spans="1:6" ht="15.75" thickBot="1" x14ac:dyDescent="0.3">
      <c r="A5297" s="140" t="s">
        <v>25</v>
      </c>
      <c r="B5297" s="145">
        <v>44113</v>
      </c>
      <c r="C5297" s="4">
        <v>462</v>
      </c>
      <c r="D5297" s="29">
        <f>C5297+D5273</f>
        <v>15809</v>
      </c>
      <c r="E5297" s="4">
        <f>5+3</f>
        <v>8</v>
      </c>
      <c r="F5297" s="129">
        <f t="shared" si="471"/>
        <v>352</v>
      </c>
    </row>
    <row r="5298" spans="1:6" ht="15.75" thickBot="1" x14ac:dyDescent="0.3">
      <c r="A5298" s="140" t="s">
        <v>41</v>
      </c>
      <c r="B5298" s="145">
        <v>44113</v>
      </c>
      <c r="C5298" s="4">
        <v>267</v>
      </c>
      <c r="D5298" s="29">
        <f>C5298+D5274</f>
        <v>14783</v>
      </c>
      <c r="E5298" s="4">
        <f>8+6</f>
        <v>14</v>
      </c>
      <c r="F5298" s="129">
        <f>E5298+F5274</f>
        <v>478</v>
      </c>
    </row>
    <row r="5299" spans="1:6" ht="15.75" thickBot="1" x14ac:dyDescent="0.3">
      <c r="A5299" s="140" t="s">
        <v>42</v>
      </c>
      <c r="B5299" s="145">
        <v>44113</v>
      </c>
      <c r="C5299" s="4">
        <v>40</v>
      </c>
      <c r="D5299" s="29">
        <f t="shared" ref="D5299:D5305" si="472">C5299+D5275</f>
        <v>1145</v>
      </c>
      <c r="F5299" s="129">
        <f>E5299+F5275</f>
        <v>42</v>
      </c>
    </row>
    <row r="5300" spans="1:6" ht="15.75" thickBot="1" x14ac:dyDescent="0.3">
      <c r="A5300" s="140" t="s">
        <v>43</v>
      </c>
      <c r="B5300" s="145">
        <v>44113</v>
      </c>
      <c r="C5300" s="4">
        <v>86</v>
      </c>
      <c r="D5300" s="29">
        <f t="shared" si="472"/>
        <v>2188</v>
      </c>
      <c r="F5300" s="129">
        <f t="shared" si="471"/>
        <v>33</v>
      </c>
    </row>
    <row r="5301" spans="1:6" ht="15.75" thickBot="1" x14ac:dyDescent="0.3">
      <c r="A5301" s="140" t="s">
        <v>44</v>
      </c>
      <c r="B5301" s="145">
        <v>44113</v>
      </c>
      <c r="C5301" s="4">
        <v>172</v>
      </c>
      <c r="D5301" s="29">
        <f t="shared" si="472"/>
        <v>6041</v>
      </c>
      <c r="E5301" s="4">
        <f>1+3</f>
        <v>4</v>
      </c>
      <c r="F5301" s="129">
        <f>E5301+F5277</f>
        <v>80</v>
      </c>
    </row>
    <row r="5302" spans="1:6" ht="15.75" thickBot="1" x14ac:dyDescent="0.3">
      <c r="A5302" s="140" t="s">
        <v>29</v>
      </c>
      <c r="B5302" s="145">
        <v>44113</v>
      </c>
      <c r="C5302" s="4">
        <v>2179</v>
      </c>
      <c r="D5302" s="29">
        <f t="shared" si="472"/>
        <v>59310</v>
      </c>
      <c r="E5302" s="4">
        <f>10+11</f>
        <v>21</v>
      </c>
      <c r="F5302" s="129">
        <f>E5302+F5278</f>
        <v>641</v>
      </c>
    </row>
    <row r="5303" spans="1:6" ht="15.75" thickBot="1" x14ac:dyDescent="0.3">
      <c r="A5303" s="140" t="s">
        <v>45</v>
      </c>
      <c r="B5303" s="145">
        <v>44113</v>
      </c>
      <c r="C5303" s="4">
        <v>15</v>
      </c>
      <c r="D5303" s="29">
        <f t="shared" si="472"/>
        <v>4283</v>
      </c>
      <c r="E5303" s="4">
        <f>2+1</f>
        <v>3</v>
      </c>
      <c r="F5303" s="129">
        <f t="shared" si="471"/>
        <v>82</v>
      </c>
    </row>
    <row r="5304" spans="1:6" ht="15.75" thickBot="1" x14ac:dyDescent="0.3">
      <c r="A5304" s="140" t="s">
        <v>46</v>
      </c>
      <c r="B5304" s="145">
        <v>44113</v>
      </c>
      <c r="C5304" s="4">
        <v>249</v>
      </c>
      <c r="D5304" s="29">
        <f t="shared" si="472"/>
        <v>6053</v>
      </c>
      <c r="E5304" s="4">
        <f>2</f>
        <v>2</v>
      </c>
      <c r="F5304" s="129">
        <f t="shared" ref="F5304:F5315" si="473">E5304+F5280</f>
        <v>84</v>
      </c>
    </row>
    <row r="5305" spans="1:6" ht="15.75" thickBot="1" x14ac:dyDescent="0.3">
      <c r="A5305" s="141" t="s">
        <v>47</v>
      </c>
      <c r="B5305" s="145">
        <v>44113</v>
      </c>
      <c r="C5305" s="4">
        <v>1724</v>
      </c>
      <c r="D5305" s="132">
        <f t="shared" si="472"/>
        <v>24960</v>
      </c>
      <c r="E5305" s="4">
        <f>44+21</f>
        <v>65</v>
      </c>
      <c r="F5305" s="130">
        <f t="shared" si="473"/>
        <v>325</v>
      </c>
    </row>
    <row r="5306" spans="1:6" ht="15.75" thickBot="1" x14ac:dyDescent="0.3">
      <c r="A5306" s="64" t="s">
        <v>22</v>
      </c>
      <c r="B5306" s="145">
        <v>44114</v>
      </c>
      <c r="C5306" s="4">
        <v>4047</v>
      </c>
      <c r="D5306" s="131">
        <f>C5306+D5282</f>
        <v>465863</v>
      </c>
      <c r="E5306" s="4">
        <f>3+99+87</f>
        <v>189</v>
      </c>
      <c r="F5306" s="128">
        <f t="shared" si="473"/>
        <v>14680</v>
      </c>
    </row>
    <row r="5307" spans="1:6" ht="15.75" thickBot="1" x14ac:dyDescent="0.3">
      <c r="A5307" s="140" t="s">
        <v>20</v>
      </c>
      <c r="B5307" s="145">
        <v>44114</v>
      </c>
      <c r="C5307" s="4">
        <v>742</v>
      </c>
      <c r="D5307" s="29">
        <f t="shared" ref="D5307:D5319" si="474">C5307+D5283</f>
        <v>134350</v>
      </c>
      <c r="E5307" s="4">
        <f>2+43+28</f>
        <v>73</v>
      </c>
      <c r="F5307" s="129">
        <f t="shared" si="473"/>
        <v>3882</v>
      </c>
    </row>
    <row r="5308" spans="1:6" ht="15.75" thickBot="1" x14ac:dyDescent="0.3">
      <c r="A5308" s="140" t="s">
        <v>35</v>
      </c>
      <c r="B5308" s="145">
        <v>44114</v>
      </c>
      <c r="C5308" s="4">
        <v>10</v>
      </c>
      <c r="D5308" s="29">
        <f t="shared" si="474"/>
        <v>370</v>
      </c>
      <c r="F5308" s="129">
        <f t="shared" si="473"/>
        <v>0</v>
      </c>
    </row>
    <row r="5309" spans="1:6" ht="15.75" thickBot="1" x14ac:dyDescent="0.3">
      <c r="A5309" s="140" t="s">
        <v>21</v>
      </c>
      <c r="B5309" s="145">
        <v>44114</v>
      </c>
      <c r="C5309" s="4">
        <v>148</v>
      </c>
      <c r="D5309" s="29">
        <f t="shared" si="474"/>
        <v>10174</v>
      </c>
      <c r="E5309" s="4">
        <f>1</f>
        <v>1</v>
      </c>
      <c r="F5309" s="129">
        <f t="shared" si="473"/>
        <v>330</v>
      </c>
    </row>
    <row r="5310" spans="1:6" ht="15.75" thickBot="1" x14ac:dyDescent="0.3">
      <c r="A5310" s="140" t="s">
        <v>36</v>
      </c>
      <c r="B5310" s="145">
        <v>44114</v>
      </c>
      <c r="C5310" s="4">
        <v>482</v>
      </c>
      <c r="D5310" s="29">
        <f t="shared" si="474"/>
        <v>6623</v>
      </c>
      <c r="E5310" s="4">
        <v>0</v>
      </c>
      <c r="F5310" s="129">
        <f t="shared" si="473"/>
        <v>83</v>
      </c>
    </row>
    <row r="5311" spans="1:6" ht="15.75" thickBot="1" x14ac:dyDescent="0.3">
      <c r="A5311" s="140" t="s">
        <v>27</v>
      </c>
      <c r="B5311" s="145">
        <v>44114</v>
      </c>
      <c r="C5311" s="4">
        <v>1606</v>
      </c>
      <c r="D5311" s="29">
        <f t="shared" si="474"/>
        <v>50281</v>
      </c>
      <c r="E5311" s="4">
        <v>27</v>
      </c>
      <c r="F5311" s="129">
        <f t="shared" si="473"/>
        <v>596</v>
      </c>
    </row>
    <row r="5312" spans="1:6" ht="15.75" thickBot="1" x14ac:dyDescent="0.3">
      <c r="A5312" s="140" t="s">
        <v>37</v>
      </c>
      <c r="B5312" s="145">
        <v>44114</v>
      </c>
      <c r="C5312" s="4">
        <v>2</v>
      </c>
      <c r="D5312" s="29">
        <f t="shared" si="474"/>
        <v>1507</v>
      </c>
      <c r="F5312" s="129">
        <f t="shared" si="473"/>
        <v>31</v>
      </c>
    </row>
    <row r="5313" spans="1:6" ht="15.75" thickBot="1" x14ac:dyDescent="0.3">
      <c r="A5313" s="140" t="s">
        <v>38</v>
      </c>
      <c r="B5313" s="145">
        <v>44114</v>
      </c>
      <c r="C5313" s="4">
        <v>188</v>
      </c>
      <c r="D5313" s="29">
        <f t="shared" si="474"/>
        <v>9233</v>
      </c>
      <c r="E5313" s="4">
        <f>1+1</f>
        <v>2</v>
      </c>
      <c r="F5313" s="129">
        <f t="shared" si="473"/>
        <v>172</v>
      </c>
    </row>
    <row r="5314" spans="1:6" ht="15.75" thickBot="1" x14ac:dyDescent="0.3">
      <c r="A5314" s="140" t="s">
        <v>48</v>
      </c>
      <c r="B5314" s="145">
        <v>44114</v>
      </c>
      <c r="C5314" s="4">
        <v>8</v>
      </c>
      <c r="D5314" s="29">
        <f t="shared" si="474"/>
        <v>128</v>
      </c>
      <c r="F5314" s="129">
        <f t="shared" si="473"/>
        <v>1</v>
      </c>
    </row>
    <row r="5315" spans="1:6" ht="15.75" thickBot="1" x14ac:dyDescent="0.3">
      <c r="A5315" s="140" t="s">
        <v>39</v>
      </c>
      <c r="B5315" s="145">
        <v>44114</v>
      </c>
      <c r="C5315" s="4">
        <v>128</v>
      </c>
      <c r="D5315" s="29">
        <f t="shared" si="474"/>
        <v>16672</v>
      </c>
      <c r="F5315" s="129">
        <f t="shared" si="473"/>
        <v>627</v>
      </c>
    </row>
    <row r="5316" spans="1:6" ht="15.75" thickBot="1" x14ac:dyDescent="0.3">
      <c r="A5316" s="140" t="s">
        <v>40</v>
      </c>
      <c r="B5316" s="145">
        <v>44114</v>
      </c>
      <c r="C5316" s="4">
        <v>44</v>
      </c>
      <c r="D5316" s="29">
        <f t="shared" si="474"/>
        <v>1040</v>
      </c>
      <c r="F5316" s="129">
        <f t="shared" ref="F5316:F5327" si="475">E5316+F5292</f>
        <v>12</v>
      </c>
    </row>
    <row r="5317" spans="1:6" ht="15.75" thickBot="1" x14ac:dyDescent="0.3">
      <c r="A5317" s="140" t="s">
        <v>28</v>
      </c>
      <c r="B5317" s="145">
        <v>44114</v>
      </c>
      <c r="C5317" s="4">
        <v>46</v>
      </c>
      <c r="D5317" s="29">
        <f t="shared" si="474"/>
        <v>5676</v>
      </c>
      <c r="E5317" s="4">
        <f>1</f>
        <v>1</v>
      </c>
      <c r="F5317" s="129">
        <f t="shared" si="475"/>
        <v>172</v>
      </c>
    </row>
    <row r="5318" spans="1:6" ht="15.75" thickBot="1" x14ac:dyDescent="0.3">
      <c r="A5318" s="140" t="s">
        <v>24</v>
      </c>
      <c r="B5318" s="145">
        <v>44114</v>
      </c>
      <c r="C5318" s="4">
        <v>573</v>
      </c>
      <c r="D5318" s="29">
        <f t="shared" si="474"/>
        <v>31464</v>
      </c>
      <c r="E5318" s="4">
        <f>3</f>
        <v>3</v>
      </c>
      <c r="F5318" s="129">
        <f t="shared" si="475"/>
        <v>429</v>
      </c>
    </row>
    <row r="5319" spans="1:6" ht="15.75" thickBot="1" x14ac:dyDescent="0.3">
      <c r="A5319" s="140" t="s">
        <v>30</v>
      </c>
      <c r="B5319" s="145">
        <v>44114</v>
      </c>
      <c r="C5319" s="4">
        <v>5</v>
      </c>
      <c r="D5319" s="29">
        <f t="shared" si="474"/>
        <v>149</v>
      </c>
      <c r="F5319" s="129">
        <f t="shared" si="475"/>
        <v>4</v>
      </c>
    </row>
    <row r="5320" spans="1:6" ht="15.75" thickBot="1" x14ac:dyDescent="0.3">
      <c r="A5320" s="140" t="s">
        <v>26</v>
      </c>
      <c r="B5320" s="145">
        <v>44114</v>
      </c>
      <c r="C5320" s="4">
        <v>433</v>
      </c>
      <c r="D5320" s="29">
        <f>C5320+D5296</f>
        <v>11819</v>
      </c>
      <c r="E5320" s="4">
        <f>13+4</f>
        <v>17</v>
      </c>
      <c r="F5320" s="129">
        <f t="shared" si="475"/>
        <v>184</v>
      </c>
    </row>
    <row r="5321" spans="1:6" ht="15.75" thickBot="1" x14ac:dyDescent="0.3">
      <c r="A5321" s="140" t="s">
        <v>25</v>
      </c>
      <c r="B5321" s="145">
        <v>44114</v>
      </c>
      <c r="C5321" s="4">
        <v>433</v>
      </c>
      <c r="D5321" s="29">
        <f>C5321+D5297</f>
        <v>16242</v>
      </c>
      <c r="E5321" s="4">
        <v>4</v>
      </c>
      <c r="F5321" s="129">
        <f t="shared" si="475"/>
        <v>356</v>
      </c>
    </row>
    <row r="5322" spans="1:6" ht="15.75" thickBot="1" x14ac:dyDescent="0.3">
      <c r="A5322" s="140" t="s">
        <v>41</v>
      </c>
      <c r="B5322" s="145">
        <v>44114</v>
      </c>
      <c r="C5322" s="4">
        <v>453</v>
      </c>
      <c r="D5322" s="29">
        <f>C5322+D5298</f>
        <v>15236</v>
      </c>
      <c r="E5322" s="4">
        <f>16+5</f>
        <v>21</v>
      </c>
      <c r="F5322" s="129">
        <f>E5322+F5298</f>
        <v>499</v>
      </c>
    </row>
    <row r="5323" spans="1:6" ht="15.75" thickBot="1" x14ac:dyDescent="0.3">
      <c r="A5323" s="140" t="s">
        <v>42</v>
      </c>
      <c r="B5323" s="145">
        <v>44114</v>
      </c>
      <c r="C5323" s="4">
        <v>1</v>
      </c>
      <c r="D5323" s="29">
        <f t="shared" ref="D5323:D5329" si="476">C5323+D5299</f>
        <v>1146</v>
      </c>
      <c r="F5323" s="129">
        <f>E5323+F5299</f>
        <v>42</v>
      </c>
    </row>
    <row r="5324" spans="1:6" ht="15.75" thickBot="1" x14ac:dyDescent="0.3">
      <c r="A5324" s="140" t="s">
        <v>43</v>
      </c>
      <c r="B5324" s="145">
        <v>44114</v>
      </c>
      <c r="C5324" s="4">
        <v>14</v>
      </c>
      <c r="D5324" s="29">
        <f t="shared" si="476"/>
        <v>2202</v>
      </c>
      <c r="F5324" s="129">
        <f t="shared" si="475"/>
        <v>33</v>
      </c>
    </row>
    <row r="5325" spans="1:6" ht="15.75" thickBot="1" x14ac:dyDescent="0.3">
      <c r="A5325" s="140" t="s">
        <v>44</v>
      </c>
      <c r="B5325" s="145">
        <v>44114</v>
      </c>
      <c r="C5325" s="4">
        <v>170</v>
      </c>
      <c r="D5325" s="29">
        <f t="shared" si="476"/>
        <v>6211</v>
      </c>
      <c r="E5325" s="4">
        <f>3</f>
        <v>3</v>
      </c>
      <c r="F5325" s="129">
        <f>E5325+F5301</f>
        <v>83</v>
      </c>
    </row>
    <row r="5326" spans="1:6" ht="15.75" thickBot="1" x14ac:dyDescent="0.3">
      <c r="A5326" s="140" t="s">
        <v>29</v>
      </c>
      <c r="B5326" s="145">
        <v>44114</v>
      </c>
      <c r="C5326" s="4">
        <v>2043</v>
      </c>
      <c r="D5326" s="29">
        <f t="shared" si="476"/>
        <v>61353</v>
      </c>
      <c r="E5326" s="4">
        <v>16</v>
      </c>
      <c r="F5326" s="129">
        <f>E5326+F5302</f>
        <v>657</v>
      </c>
    </row>
    <row r="5327" spans="1:6" ht="15.75" thickBot="1" x14ac:dyDescent="0.3">
      <c r="A5327" s="140" t="s">
        <v>45</v>
      </c>
      <c r="B5327" s="145">
        <v>44114</v>
      </c>
      <c r="C5327" s="4">
        <v>93</v>
      </c>
      <c r="D5327" s="29">
        <f t="shared" si="476"/>
        <v>4376</v>
      </c>
      <c r="F5327" s="129">
        <f t="shared" si="475"/>
        <v>82</v>
      </c>
    </row>
    <row r="5328" spans="1:6" ht="15.75" thickBot="1" x14ac:dyDescent="0.3">
      <c r="A5328" s="140" t="s">
        <v>46</v>
      </c>
      <c r="B5328" s="145">
        <v>44114</v>
      </c>
      <c r="C5328" s="4">
        <v>144</v>
      </c>
      <c r="D5328" s="29">
        <f t="shared" si="476"/>
        <v>6197</v>
      </c>
      <c r="F5328" s="129">
        <f t="shared" ref="F5328:F5339" si="477">E5328+F5304</f>
        <v>84</v>
      </c>
    </row>
    <row r="5329" spans="1:6" ht="15.75" thickBot="1" x14ac:dyDescent="0.3">
      <c r="A5329" s="141" t="s">
        <v>47</v>
      </c>
      <c r="B5329" s="145">
        <v>44114</v>
      </c>
      <c r="C5329" s="4">
        <v>802</v>
      </c>
      <c r="D5329" s="132">
        <f t="shared" si="476"/>
        <v>25762</v>
      </c>
      <c r="F5329" s="130">
        <f t="shared" si="477"/>
        <v>325</v>
      </c>
    </row>
    <row r="5330" spans="1:6" ht="15.75" thickBot="1" x14ac:dyDescent="0.3">
      <c r="A5330" s="64" t="s">
        <v>22</v>
      </c>
      <c r="B5330" s="145">
        <v>44115</v>
      </c>
      <c r="C5330" s="4">
        <v>2542</v>
      </c>
      <c r="D5330" s="131">
        <f>C5330+D5306</f>
        <v>468405</v>
      </c>
      <c r="E5330" s="4">
        <f>81+63+3</f>
        <v>147</v>
      </c>
      <c r="F5330" s="128">
        <f t="shared" si="477"/>
        <v>14827</v>
      </c>
    </row>
    <row r="5331" spans="1:6" ht="15.75" thickBot="1" x14ac:dyDescent="0.3">
      <c r="A5331" s="140" t="s">
        <v>20</v>
      </c>
      <c r="B5331" s="145">
        <v>44115</v>
      </c>
      <c r="C5331" s="4">
        <v>642</v>
      </c>
      <c r="D5331" s="29">
        <f t="shared" ref="D5331:D5343" si="478">C5331+D5307</f>
        <v>134992</v>
      </c>
      <c r="E5331" s="4">
        <f>8+12</f>
        <v>20</v>
      </c>
      <c r="F5331" s="129">
        <f t="shared" si="477"/>
        <v>3902</v>
      </c>
    </row>
    <row r="5332" spans="1:6" ht="15.75" thickBot="1" x14ac:dyDescent="0.3">
      <c r="A5332" s="140" t="s">
        <v>35</v>
      </c>
      <c r="B5332" s="145">
        <v>44115</v>
      </c>
      <c r="C5332" s="4">
        <v>6</v>
      </c>
      <c r="D5332" s="29">
        <f t="shared" si="478"/>
        <v>376</v>
      </c>
      <c r="F5332" s="129">
        <f t="shared" si="477"/>
        <v>0</v>
      </c>
    </row>
    <row r="5333" spans="1:6" ht="15.75" thickBot="1" x14ac:dyDescent="0.3">
      <c r="A5333" s="140" t="s">
        <v>21</v>
      </c>
      <c r="B5333" s="145">
        <v>44115</v>
      </c>
      <c r="C5333" s="4">
        <v>199</v>
      </c>
      <c r="D5333" s="29">
        <f t="shared" si="478"/>
        <v>10373</v>
      </c>
      <c r="E5333" s="4">
        <v>3</v>
      </c>
      <c r="F5333" s="129">
        <f t="shared" si="477"/>
        <v>333</v>
      </c>
    </row>
    <row r="5334" spans="1:6" ht="15.75" thickBot="1" x14ac:dyDescent="0.3">
      <c r="A5334" s="140" t="s">
        <v>36</v>
      </c>
      <c r="B5334" s="145">
        <v>44115</v>
      </c>
      <c r="C5334" s="4">
        <v>379</v>
      </c>
      <c r="D5334" s="29">
        <f t="shared" si="478"/>
        <v>7002</v>
      </c>
      <c r="F5334" s="129">
        <f t="shared" si="477"/>
        <v>83</v>
      </c>
    </row>
    <row r="5335" spans="1:6" ht="15.75" thickBot="1" x14ac:dyDescent="0.3">
      <c r="A5335" s="140" t="s">
        <v>27</v>
      </c>
      <c r="B5335" s="145">
        <v>44115</v>
      </c>
      <c r="C5335" s="4">
        <v>1536</v>
      </c>
      <c r="D5335" s="29">
        <f t="shared" si="478"/>
        <v>51817</v>
      </c>
      <c r="E5335" s="4">
        <f>13+18</f>
        <v>31</v>
      </c>
      <c r="F5335" s="129">
        <f t="shared" si="477"/>
        <v>627</v>
      </c>
    </row>
    <row r="5336" spans="1:6" ht="15.75" thickBot="1" x14ac:dyDescent="0.3">
      <c r="A5336" s="140" t="s">
        <v>37</v>
      </c>
      <c r="B5336" s="145">
        <v>44115</v>
      </c>
      <c r="C5336" s="4">
        <v>50</v>
      </c>
      <c r="D5336" s="29">
        <f t="shared" si="478"/>
        <v>1557</v>
      </c>
      <c r="F5336" s="129">
        <f t="shared" si="477"/>
        <v>31</v>
      </c>
    </row>
    <row r="5337" spans="1:6" ht="15.75" thickBot="1" x14ac:dyDescent="0.3">
      <c r="A5337" s="140" t="s">
        <v>38</v>
      </c>
      <c r="B5337" s="145">
        <v>44115</v>
      </c>
      <c r="C5337" s="4">
        <v>157</v>
      </c>
      <c r="D5337" s="29">
        <f t="shared" si="478"/>
        <v>9390</v>
      </c>
      <c r="E5337" s="4">
        <f>2+1</f>
        <v>3</v>
      </c>
      <c r="F5337" s="129">
        <f t="shared" si="477"/>
        <v>175</v>
      </c>
    </row>
    <row r="5338" spans="1:6" ht="15.75" thickBot="1" x14ac:dyDescent="0.3">
      <c r="A5338" s="140" t="s">
        <v>48</v>
      </c>
      <c r="B5338" s="145">
        <v>44115</v>
      </c>
      <c r="C5338" s="4">
        <v>0</v>
      </c>
      <c r="D5338" s="29">
        <f t="shared" si="478"/>
        <v>128</v>
      </c>
      <c r="F5338" s="129">
        <f t="shared" si="477"/>
        <v>1</v>
      </c>
    </row>
    <row r="5339" spans="1:6" ht="15.75" thickBot="1" x14ac:dyDescent="0.3">
      <c r="A5339" s="140" t="s">
        <v>39</v>
      </c>
      <c r="B5339" s="145">
        <v>44115</v>
      </c>
      <c r="C5339" s="4">
        <v>58</v>
      </c>
      <c r="D5339" s="29">
        <f t="shared" si="478"/>
        <v>16730</v>
      </c>
      <c r="E5339" s="4">
        <f>1</f>
        <v>1</v>
      </c>
      <c r="F5339" s="129">
        <f t="shared" si="477"/>
        <v>628</v>
      </c>
    </row>
    <row r="5340" spans="1:6" ht="15.75" thickBot="1" x14ac:dyDescent="0.3">
      <c r="A5340" s="140" t="s">
        <v>40</v>
      </c>
      <c r="B5340" s="145">
        <v>44115</v>
      </c>
      <c r="C5340" s="4">
        <v>30</v>
      </c>
      <c r="D5340" s="29">
        <f t="shared" si="478"/>
        <v>1070</v>
      </c>
      <c r="F5340" s="129">
        <f t="shared" ref="F5340:F5351" si="479">E5340+F5316</f>
        <v>12</v>
      </c>
    </row>
    <row r="5341" spans="1:6" ht="15.75" thickBot="1" x14ac:dyDescent="0.3">
      <c r="A5341" s="140" t="s">
        <v>28</v>
      </c>
      <c r="B5341" s="145">
        <v>44115</v>
      </c>
      <c r="C5341" s="4">
        <v>152</v>
      </c>
      <c r="D5341" s="29">
        <f t="shared" si="478"/>
        <v>5828</v>
      </c>
      <c r="E5341" s="4">
        <f>2+1</f>
        <v>3</v>
      </c>
      <c r="F5341" s="129">
        <f t="shared" si="479"/>
        <v>175</v>
      </c>
    </row>
    <row r="5342" spans="1:6" ht="15.75" thickBot="1" x14ac:dyDescent="0.3">
      <c r="A5342" s="140" t="s">
        <v>24</v>
      </c>
      <c r="B5342" s="145">
        <v>44115</v>
      </c>
      <c r="C5342" s="4">
        <v>571</v>
      </c>
      <c r="D5342" s="29">
        <f t="shared" si="478"/>
        <v>32035</v>
      </c>
      <c r="E5342" s="4">
        <f>4+2</f>
        <v>6</v>
      </c>
      <c r="F5342" s="129">
        <f t="shared" si="479"/>
        <v>435</v>
      </c>
    </row>
    <row r="5343" spans="1:6" ht="15.75" thickBot="1" x14ac:dyDescent="0.3">
      <c r="A5343" s="140" t="s">
        <v>30</v>
      </c>
      <c r="B5343" s="145">
        <v>44115</v>
      </c>
      <c r="C5343" s="4">
        <v>5</v>
      </c>
      <c r="D5343" s="29">
        <f t="shared" si="478"/>
        <v>154</v>
      </c>
      <c r="F5343" s="129">
        <f t="shared" si="479"/>
        <v>4</v>
      </c>
    </row>
    <row r="5344" spans="1:6" ht="15.75" thickBot="1" x14ac:dyDescent="0.3">
      <c r="A5344" s="140" t="s">
        <v>26</v>
      </c>
      <c r="B5344" s="145">
        <v>44115</v>
      </c>
      <c r="C5344" s="4">
        <v>306</v>
      </c>
      <c r="D5344" s="29">
        <f>C5344+D5320</f>
        <v>12125</v>
      </c>
      <c r="F5344" s="129">
        <f t="shared" si="479"/>
        <v>184</v>
      </c>
    </row>
    <row r="5345" spans="1:6" ht="15.75" thickBot="1" x14ac:dyDescent="0.3">
      <c r="A5345" s="140" t="s">
        <v>25</v>
      </c>
      <c r="B5345" s="145">
        <v>44115</v>
      </c>
      <c r="C5345" s="4">
        <v>252</v>
      </c>
      <c r="D5345" s="29">
        <f>C5345+D5321</f>
        <v>16494</v>
      </c>
      <c r="E5345" s="4">
        <f>4+4</f>
        <v>8</v>
      </c>
      <c r="F5345" s="129">
        <f t="shared" si="479"/>
        <v>364</v>
      </c>
    </row>
    <row r="5346" spans="1:6" ht="15.75" thickBot="1" x14ac:dyDescent="0.3">
      <c r="A5346" s="140" t="s">
        <v>41</v>
      </c>
      <c r="B5346" s="145">
        <v>44115</v>
      </c>
      <c r="C5346" s="4">
        <v>148</v>
      </c>
      <c r="D5346" s="29">
        <f>C5346+D5322</f>
        <v>15384</v>
      </c>
      <c r="E5346" s="4">
        <f>19+10</f>
        <v>29</v>
      </c>
      <c r="F5346" s="129">
        <f>E5346+F5322</f>
        <v>528</v>
      </c>
    </row>
    <row r="5347" spans="1:6" ht="15.75" thickBot="1" x14ac:dyDescent="0.3">
      <c r="A5347" s="140" t="s">
        <v>42</v>
      </c>
      <c r="B5347" s="145">
        <v>44115</v>
      </c>
      <c r="C5347" s="4">
        <v>58</v>
      </c>
      <c r="D5347" s="29">
        <f t="shared" ref="D5347:D5353" si="480">C5347+D5323</f>
        <v>1204</v>
      </c>
      <c r="F5347" s="129">
        <f>E5347+F5323</f>
        <v>42</v>
      </c>
    </row>
    <row r="5348" spans="1:6" ht="15.75" thickBot="1" x14ac:dyDescent="0.3">
      <c r="A5348" s="140" t="s">
        <v>43</v>
      </c>
      <c r="B5348" s="145">
        <v>44115</v>
      </c>
      <c r="C5348" s="4">
        <v>20</v>
      </c>
      <c r="D5348" s="29">
        <f t="shared" si="480"/>
        <v>2222</v>
      </c>
      <c r="F5348" s="129">
        <f t="shared" si="479"/>
        <v>33</v>
      </c>
    </row>
    <row r="5349" spans="1:6" ht="15.75" thickBot="1" x14ac:dyDescent="0.3">
      <c r="A5349" s="140" t="s">
        <v>44</v>
      </c>
      <c r="B5349" s="145">
        <v>44115</v>
      </c>
      <c r="C5349" s="4">
        <v>134</v>
      </c>
      <c r="D5349" s="29">
        <f t="shared" si="480"/>
        <v>6345</v>
      </c>
      <c r="E5349" s="4">
        <f>3</f>
        <v>3</v>
      </c>
      <c r="F5349" s="129">
        <f>E5349+F5325</f>
        <v>86</v>
      </c>
    </row>
    <row r="5350" spans="1:6" ht="15.75" thickBot="1" x14ac:dyDescent="0.3">
      <c r="A5350" s="140" t="s">
        <v>29</v>
      </c>
      <c r="B5350" s="145">
        <v>44115</v>
      </c>
      <c r="C5350" s="4">
        <v>1547</v>
      </c>
      <c r="D5350" s="29">
        <f t="shared" si="480"/>
        <v>62900</v>
      </c>
      <c r="E5350" s="4">
        <f>7+7</f>
        <v>14</v>
      </c>
      <c r="F5350" s="129">
        <f>E5350+F5326</f>
        <v>671</v>
      </c>
    </row>
    <row r="5351" spans="1:6" ht="15.75" thickBot="1" x14ac:dyDescent="0.3">
      <c r="A5351" s="140" t="s">
        <v>45</v>
      </c>
      <c r="B5351" s="145">
        <v>44115</v>
      </c>
      <c r="C5351" s="4">
        <v>450</v>
      </c>
      <c r="D5351" s="29">
        <f t="shared" si="480"/>
        <v>4826</v>
      </c>
      <c r="E5351" s="4">
        <f>1+1</f>
        <v>2</v>
      </c>
      <c r="F5351" s="129">
        <f t="shared" si="479"/>
        <v>84</v>
      </c>
    </row>
    <row r="5352" spans="1:6" ht="15.75" thickBot="1" x14ac:dyDescent="0.3">
      <c r="A5352" s="140" t="s">
        <v>46</v>
      </c>
      <c r="B5352" s="145">
        <v>44115</v>
      </c>
      <c r="C5352" s="4">
        <v>227</v>
      </c>
      <c r="D5352" s="29">
        <f t="shared" si="480"/>
        <v>6424</v>
      </c>
      <c r="F5352" s="129">
        <f t="shared" ref="F5352:F5363" si="481">E5352+F5328</f>
        <v>84</v>
      </c>
    </row>
    <row r="5353" spans="1:6" ht="15.75" thickBot="1" x14ac:dyDescent="0.3">
      <c r="A5353" s="141" t="s">
        <v>47</v>
      </c>
      <c r="B5353" s="145">
        <v>44115</v>
      </c>
      <c r="C5353" s="4">
        <v>855</v>
      </c>
      <c r="D5353" s="132">
        <f t="shared" si="480"/>
        <v>26617</v>
      </c>
      <c r="E5353" s="4">
        <f>10+7</f>
        <v>17</v>
      </c>
      <c r="F5353" s="130">
        <f t="shared" si="481"/>
        <v>342</v>
      </c>
    </row>
    <row r="5354" spans="1:6" ht="15.75" thickBot="1" x14ac:dyDescent="0.3">
      <c r="A5354" s="64" t="s">
        <v>22</v>
      </c>
      <c r="B5354" s="145">
        <v>44116</v>
      </c>
      <c r="C5354" s="4">
        <v>2221</v>
      </c>
      <c r="D5354" s="131">
        <f>C5354+D5330</f>
        <v>470626</v>
      </c>
      <c r="E5354" s="4">
        <f>1+69+61</f>
        <v>131</v>
      </c>
      <c r="F5354" s="128">
        <f t="shared" si="481"/>
        <v>14958</v>
      </c>
    </row>
    <row r="5355" spans="1:6" ht="15.75" thickBot="1" x14ac:dyDescent="0.3">
      <c r="A5355" s="140" t="s">
        <v>20</v>
      </c>
      <c r="B5355" s="145">
        <v>44116</v>
      </c>
      <c r="C5355" s="4">
        <v>499</v>
      </c>
      <c r="D5355" s="29">
        <f t="shared" ref="D5355:D5367" si="482">C5355+D5331</f>
        <v>135491</v>
      </c>
      <c r="E5355" s="4">
        <f>30+25</f>
        <v>55</v>
      </c>
      <c r="F5355" s="129">
        <f t="shared" si="481"/>
        <v>3957</v>
      </c>
    </row>
    <row r="5356" spans="1:6" ht="15.75" thickBot="1" x14ac:dyDescent="0.3">
      <c r="A5356" s="140" t="s">
        <v>35</v>
      </c>
      <c r="B5356" s="145">
        <v>44116</v>
      </c>
      <c r="C5356" s="4">
        <v>14</v>
      </c>
      <c r="D5356" s="29">
        <f t="shared" si="482"/>
        <v>390</v>
      </c>
      <c r="F5356" s="129">
        <f t="shared" si="481"/>
        <v>0</v>
      </c>
    </row>
    <row r="5357" spans="1:6" ht="15.75" thickBot="1" x14ac:dyDescent="0.3">
      <c r="A5357" s="140" t="s">
        <v>21</v>
      </c>
      <c r="B5357" s="145">
        <v>44116</v>
      </c>
      <c r="C5357" s="4">
        <v>133</v>
      </c>
      <c r="D5357" s="29">
        <f t="shared" si="482"/>
        <v>10506</v>
      </c>
      <c r="F5357" s="129">
        <f t="shared" si="481"/>
        <v>333</v>
      </c>
    </row>
    <row r="5358" spans="1:6" ht="15.75" thickBot="1" x14ac:dyDescent="0.3">
      <c r="A5358" s="140" t="s">
        <v>36</v>
      </c>
      <c r="B5358" s="145">
        <v>44116</v>
      </c>
      <c r="C5358" s="4">
        <v>348</v>
      </c>
      <c r="D5358" s="29">
        <f t="shared" si="482"/>
        <v>7350</v>
      </c>
      <c r="E5358" s="4">
        <f>9+6</f>
        <v>15</v>
      </c>
      <c r="F5358" s="129">
        <f t="shared" si="481"/>
        <v>98</v>
      </c>
    </row>
    <row r="5359" spans="1:6" ht="15.75" thickBot="1" x14ac:dyDescent="0.3">
      <c r="A5359" s="140" t="s">
        <v>27</v>
      </c>
      <c r="B5359" s="145">
        <v>44116</v>
      </c>
      <c r="C5359" s="4">
        <v>1120</v>
      </c>
      <c r="D5359" s="29">
        <f t="shared" si="482"/>
        <v>52937</v>
      </c>
      <c r="E5359" s="4">
        <f>16+12</f>
        <v>28</v>
      </c>
      <c r="F5359" s="129">
        <f t="shared" si="481"/>
        <v>655</v>
      </c>
    </row>
    <row r="5360" spans="1:6" ht="15.75" thickBot="1" x14ac:dyDescent="0.3">
      <c r="A5360" s="140" t="s">
        <v>37</v>
      </c>
      <c r="B5360" s="145">
        <v>44116</v>
      </c>
      <c r="C5360" s="4">
        <v>77</v>
      </c>
      <c r="D5360" s="29">
        <f t="shared" si="482"/>
        <v>1634</v>
      </c>
      <c r="E5360" s="4">
        <v>0</v>
      </c>
      <c r="F5360" s="129">
        <f t="shared" si="481"/>
        <v>31</v>
      </c>
    </row>
    <row r="5361" spans="1:6" ht="15.75" thickBot="1" x14ac:dyDescent="0.3">
      <c r="A5361" s="140" t="s">
        <v>38</v>
      </c>
      <c r="B5361" s="145">
        <v>44116</v>
      </c>
      <c r="C5361" s="4">
        <v>176</v>
      </c>
      <c r="D5361" s="29">
        <f t="shared" si="482"/>
        <v>9566</v>
      </c>
      <c r="E5361" s="4">
        <f>6+7</f>
        <v>13</v>
      </c>
      <c r="F5361" s="129">
        <f t="shared" si="481"/>
        <v>188</v>
      </c>
    </row>
    <row r="5362" spans="1:6" ht="15.75" thickBot="1" x14ac:dyDescent="0.3">
      <c r="A5362" s="140" t="s">
        <v>48</v>
      </c>
      <c r="B5362" s="145">
        <v>44116</v>
      </c>
      <c r="C5362" s="4">
        <v>8</v>
      </c>
      <c r="D5362" s="29">
        <f t="shared" si="482"/>
        <v>136</v>
      </c>
      <c r="F5362" s="129">
        <f t="shared" si="481"/>
        <v>1</v>
      </c>
    </row>
    <row r="5363" spans="1:6" ht="15.75" thickBot="1" x14ac:dyDescent="0.3">
      <c r="A5363" s="140" t="s">
        <v>39</v>
      </c>
      <c r="B5363" s="145">
        <v>44116</v>
      </c>
      <c r="C5363" s="4">
        <v>76</v>
      </c>
      <c r="D5363" s="29">
        <f t="shared" si="482"/>
        <v>16806</v>
      </c>
      <c r="F5363" s="129">
        <f t="shared" si="481"/>
        <v>628</v>
      </c>
    </row>
    <row r="5364" spans="1:6" ht="15.75" thickBot="1" x14ac:dyDescent="0.3">
      <c r="A5364" s="140" t="s">
        <v>40</v>
      </c>
      <c r="B5364" s="145">
        <v>44116</v>
      </c>
      <c r="C5364" s="4">
        <v>57</v>
      </c>
      <c r="D5364" s="29">
        <f t="shared" si="482"/>
        <v>1127</v>
      </c>
      <c r="F5364" s="129">
        <f t="shared" ref="F5364:F5375" si="483">E5364+F5340</f>
        <v>12</v>
      </c>
    </row>
    <row r="5365" spans="1:6" ht="15.75" thickBot="1" x14ac:dyDescent="0.3">
      <c r="A5365" s="140" t="s">
        <v>28</v>
      </c>
      <c r="B5365" s="145">
        <v>44116</v>
      </c>
      <c r="C5365" s="4">
        <v>160</v>
      </c>
      <c r="D5365" s="29">
        <f t="shared" si="482"/>
        <v>5988</v>
      </c>
      <c r="E5365" s="4">
        <f>1</f>
        <v>1</v>
      </c>
      <c r="F5365" s="129">
        <f t="shared" si="483"/>
        <v>176</v>
      </c>
    </row>
    <row r="5366" spans="1:6" ht="15.75" thickBot="1" x14ac:dyDescent="0.3">
      <c r="A5366" s="140" t="s">
        <v>24</v>
      </c>
      <c r="B5366" s="145">
        <v>44116</v>
      </c>
      <c r="C5366" s="4">
        <v>364</v>
      </c>
      <c r="D5366" s="29">
        <f t="shared" si="482"/>
        <v>32399</v>
      </c>
      <c r="E5366" s="4">
        <f>1+1</f>
        <v>2</v>
      </c>
      <c r="F5366" s="129">
        <f t="shared" si="483"/>
        <v>437</v>
      </c>
    </row>
    <row r="5367" spans="1:6" ht="15.75" thickBot="1" x14ac:dyDescent="0.3">
      <c r="A5367" s="140" t="s">
        <v>30</v>
      </c>
      <c r="B5367" s="145">
        <v>44116</v>
      </c>
      <c r="C5367" s="4">
        <v>8</v>
      </c>
      <c r="D5367" s="29">
        <f t="shared" si="482"/>
        <v>162</v>
      </c>
      <c r="F5367" s="129">
        <f t="shared" si="483"/>
        <v>4</v>
      </c>
    </row>
    <row r="5368" spans="1:6" ht="15.75" thickBot="1" x14ac:dyDescent="0.3">
      <c r="A5368" s="140" t="s">
        <v>26</v>
      </c>
      <c r="B5368" s="145">
        <v>44116</v>
      </c>
      <c r="C5368" s="4">
        <v>264</v>
      </c>
      <c r="D5368" s="29">
        <f>C5368+D5344</f>
        <v>12389</v>
      </c>
      <c r="E5368" s="4">
        <f>1</f>
        <v>1</v>
      </c>
      <c r="F5368" s="129">
        <f t="shared" si="483"/>
        <v>185</v>
      </c>
    </row>
    <row r="5369" spans="1:6" ht="15.75" thickBot="1" x14ac:dyDescent="0.3">
      <c r="A5369" s="140" t="s">
        <v>25</v>
      </c>
      <c r="B5369" s="145">
        <v>44116</v>
      </c>
      <c r="C5369" s="4">
        <v>233</v>
      </c>
      <c r="D5369" s="29">
        <f>C5369+D5345</f>
        <v>16727</v>
      </c>
      <c r="E5369" s="4">
        <f>2+2</f>
        <v>4</v>
      </c>
      <c r="F5369" s="129">
        <f t="shared" si="483"/>
        <v>368</v>
      </c>
    </row>
    <row r="5370" spans="1:6" ht="15.75" thickBot="1" x14ac:dyDescent="0.3">
      <c r="A5370" s="140" t="s">
        <v>41</v>
      </c>
      <c r="B5370" s="145">
        <v>44116</v>
      </c>
      <c r="C5370" s="4">
        <v>84</v>
      </c>
      <c r="D5370" s="29">
        <f>C5370+D5346</f>
        <v>15468</v>
      </c>
      <c r="E5370" s="4">
        <f>7+1+4</f>
        <v>12</v>
      </c>
      <c r="F5370" s="129">
        <f>E5370+F5346</f>
        <v>540</v>
      </c>
    </row>
    <row r="5371" spans="1:6" ht="15.75" thickBot="1" x14ac:dyDescent="0.3">
      <c r="A5371" s="140" t="s">
        <v>42</v>
      </c>
      <c r="B5371" s="145">
        <v>44116</v>
      </c>
      <c r="C5371" s="4">
        <v>37</v>
      </c>
      <c r="D5371" s="29">
        <f t="shared" ref="D5371:D5377" si="484">C5371+D5347</f>
        <v>1241</v>
      </c>
      <c r="F5371" s="129">
        <f>E5371+F5347</f>
        <v>42</v>
      </c>
    </row>
    <row r="5372" spans="1:6" ht="15.75" thickBot="1" x14ac:dyDescent="0.3">
      <c r="A5372" s="140" t="s">
        <v>43</v>
      </c>
      <c r="B5372" s="145">
        <v>44116</v>
      </c>
      <c r="C5372" s="4">
        <v>68</v>
      </c>
      <c r="D5372" s="29">
        <f t="shared" si="484"/>
        <v>2290</v>
      </c>
      <c r="F5372" s="129">
        <f t="shared" si="483"/>
        <v>33</v>
      </c>
    </row>
    <row r="5373" spans="1:6" ht="15.75" thickBot="1" x14ac:dyDescent="0.3">
      <c r="A5373" s="140" t="s">
        <v>44</v>
      </c>
      <c r="B5373" s="145">
        <v>44116</v>
      </c>
      <c r="C5373" s="4">
        <v>103</v>
      </c>
      <c r="D5373" s="29">
        <f t="shared" si="484"/>
        <v>6448</v>
      </c>
      <c r="E5373" s="4">
        <f>1+1</f>
        <v>2</v>
      </c>
      <c r="F5373" s="129">
        <f>E5373+F5349</f>
        <v>88</v>
      </c>
    </row>
    <row r="5374" spans="1:6" ht="15.75" thickBot="1" x14ac:dyDescent="0.3">
      <c r="A5374" s="140" t="s">
        <v>29</v>
      </c>
      <c r="B5374" s="145">
        <v>44116</v>
      </c>
      <c r="C5374" s="4">
        <v>1711</v>
      </c>
      <c r="D5374" s="29">
        <f t="shared" si="484"/>
        <v>64611</v>
      </c>
      <c r="E5374" s="4">
        <f>7+4</f>
        <v>11</v>
      </c>
      <c r="F5374" s="129">
        <f>E5374+F5350</f>
        <v>682</v>
      </c>
    </row>
    <row r="5375" spans="1:6" ht="15.75" thickBot="1" x14ac:dyDescent="0.3">
      <c r="A5375" s="140" t="s">
        <v>45</v>
      </c>
      <c r="B5375" s="145">
        <v>44116</v>
      </c>
      <c r="C5375" s="4">
        <v>573</v>
      </c>
      <c r="D5375" s="29">
        <f t="shared" si="484"/>
        <v>5399</v>
      </c>
      <c r="E5375" s="4">
        <f>2</f>
        <v>2</v>
      </c>
      <c r="F5375" s="129">
        <f t="shared" si="483"/>
        <v>86</v>
      </c>
    </row>
    <row r="5376" spans="1:6" ht="15.75" thickBot="1" x14ac:dyDescent="0.3">
      <c r="A5376" s="140" t="s">
        <v>46</v>
      </c>
      <c r="B5376" s="145">
        <v>44116</v>
      </c>
      <c r="C5376" s="4">
        <v>268</v>
      </c>
      <c r="D5376" s="29">
        <f t="shared" si="484"/>
        <v>6692</v>
      </c>
      <c r="E5376" s="4">
        <f>1</f>
        <v>1</v>
      </c>
      <c r="F5376" s="129">
        <f t="shared" ref="F5376:F5387" si="485">E5376+F5352</f>
        <v>85</v>
      </c>
    </row>
    <row r="5377" spans="1:6" ht="15.75" thickBot="1" x14ac:dyDescent="0.3">
      <c r="A5377" s="142" t="s">
        <v>47</v>
      </c>
      <c r="B5377" s="138">
        <v>44116</v>
      </c>
      <c r="C5377" s="47">
        <v>922</v>
      </c>
      <c r="D5377" s="85">
        <f t="shared" si="484"/>
        <v>27539</v>
      </c>
      <c r="E5377" s="47">
        <f>21+19</f>
        <v>40</v>
      </c>
      <c r="F5377" s="139">
        <f t="shared" si="485"/>
        <v>382</v>
      </c>
    </row>
    <row r="5378" spans="1:6" x14ac:dyDescent="0.25">
      <c r="A5378" s="64" t="s">
        <v>22</v>
      </c>
      <c r="B5378" s="49">
        <v>44117</v>
      </c>
      <c r="C5378" s="50">
        <v>4666</v>
      </c>
      <c r="D5378" s="131">
        <f>C5378+D5354</f>
        <v>475292</v>
      </c>
      <c r="E5378" s="50">
        <v>170</v>
      </c>
      <c r="F5378" s="128">
        <f t="shared" si="485"/>
        <v>15128</v>
      </c>
    </row>
    <row r="5379" spans="1:6" x14ac:dyDescent="0.25">
      <c r="A5379" s="140" t="s">
        <v>20</v>
      </c>
      <c r="B5379" s="26">
        <v>44117</v>
      </c>
      <c r="C5379" s="4">
        <v>745</v>
      </c>
      <c r="D5379" s="29">
        <f t="shared" ref="D5379:D5391" si="486">C5379+D5355</f>
        <v>136236</v>
      </c>
      <c r="E5379" s="4">
        <v>49</v>
      </c>
      <c r="F5379" s="129">
        <f t="shared" si="485"/>
        <v>4006</v>
      </c>
    </row>
    <row r="5380" spans="1:6" x14ac:dyDescent="0.25">
      <c r="A5380" s="140" t="s">
        <v>35</v>
      </c>
      <c r="B5380" s="26">
        <v>44117</v>
      </c>
      <c r="C5380" s="4">
        <v>3</v>
      </c>
      <c r="D5380" s="29">
        <f t="shared" si="486"/>
        <v>393</v>
      </c>
      <c r="F5380" s="129">
        <f t="shared" si="485"/>
        <v>0</v>
      </c>
    </row>
    <row r="5381" spans="1:6" x14ac:dyDescent="0.25">
      <c r="A5381" s="140" t="s">
        <v>21</v>
      </c>
      <c r="B5381" s="26">
        <v>44117</v>
      </c>
      <c r="C5381" s="4">
        <v>172</v>
      </c>
      <c r="D5381" s="29">
        <f t="shared" si="486"/>
        <v>10678</v>
      </c>
      <c r="E5381" s="4">
        <v>10</v>
      </c>
      <c r="F5381" s="129">
        <f t="shared" si="485"/>
        <v>343</v>
      </c>
    </row>
    <row r="5382" spans="1:6" x14ac:dyDescent="0.25">
      <c r="A5382" s="140" t="s">
        <v>36</v>
      </c>
      <c r="B5382" s="26">
        <v>44117</v>
      </c>
      <c r="C5382" s="4">
        <v>438</v>
      </c>
      <c r="D5382" s="29">
        <f t="shared" si="486"/>
        <v>7788</v>
      </c>
      <c r="E5382" s="4">
        <v>4</v>
      </c>
      <c r="F5382" s="129">
        <f t="shared" si="485"/>
        <v>102</v>
      </c>
    </row>
    <row r="5383" spans="1:6" x14ac:dyDescent="0.25">
      <c r="A5383" s="140" t="s">
        <v>27</v>
      </c>
      <c r="B5383" s="26">
        <v>44117</v>
      </c>
      <c r="C5383" s="4">
        <v>1158</v>
      </c>
      <c r="D5383" s="29">
        <f t="shared" si="486"/>
        <v>54095</v>
      </c>
      <c r="E5383" s="4">
        <v>35</v>
      </c>
      <c r="F5383" s="129">
        <f t="shared" si="485"/>
        <v>690</v>
      </c>
    </row>
    <row r="5384" spans="1:6" x14ac:dyDescent="0.25">
      <c r="A5384" s="140" t="s">
        <v>37</v>
      </c>
      <c r="B5384" s="26">
        <v>44117</v>
      </c>
      <c r="C5384" s="4">
        <v>114</v>
      </c>
      <c r="D5384" s="29">
        <f t="shared" si="486"/>
        <v>1748</v>
      </c>
      <c r="E5384" s="4">
        <v>1</v>
      </c>
      <c r="F5384" s="129">
        <f t="shared" si="485"/>
        <v>32</v>
      </c>
    </row>
    <row r="5385" spans="1:6" x14ac:dyDescent="0.25">
      <c r="A5385" s="140" t="s">
        <v>38</v>
      </c>
      <c r="B5385" s="26">
        <v>44117</v>
      </c>
      <c r="C5385" s="4">
        <v>257</v>
      </c>
      <c r="D5385" s="29">
        <f t="shared" si="486"/>
        <v>9823</v>
      </c>
      <c r="E5385" s="4">
        <v>5</v>
      </c>
      <c r="F5385" s="129">
        <f t="shared" si="485"/>
        <v>193</v>
      </c>
    </row>
    <row r="5386" spans="1:6" x14ac:dyDescent="0.25">
      <c r="A5386" s="140" t="s">
        <v>48</v>
      </c>
      <c r="B5386" s="26">
        <v>44117</v>
      </c>
      <c r="C5386" s="4">
        <v>3</v>
      </c>
      <c r="D5386" s="29">
        <f t="shared" si="486"/>
        <v>139</v>
      </c>
      <c r="F5386" s="129">
        <f t="shared" si="485"/>
        <v>1</v>
      </c>
    </row>
    <row r="5387" spans="1:6" x14ac:dyDescent="0.25">
      <c r="A5387" s="140" t="s">
        <v>39</v>
      </c>
      <c r="B5387" s="26">
        <v>44117</v>
      </c>
      <c r="C5387" s="4">
        <v>36</v>
      </c>
      <c r="D5387" s="29">
        <f t="shared" si="486"/>
        <v>16842</v>
      </c>
      <c r="E5387" s="4">
        <v>2</v>
      </c>
      <c r="F5387" s="129">
        <f t="shared" si="485"/>
        <v>630</v>
      </c>
    </row>
    <row r="5388" spans="1:6" x14ac:dyDescent="0.25">
      <c r="A5388" s="140" t="s">
        <v>40</v>
      </c>
      <c r="B5388" s="26">
        <v>44117</v>
      </c>
      <c r="C5388" s="4">
        <v>44</v>
      </c>
      <c r="D5388" s="29">
        <f t="shared" si="486"/>
        <v>1171</v>
      </c>
      <c r="E5388" s="4">
        <v>1</v>
      </c>
      <c r="F5388" s="129">
        <f t="shared" ref="F5388:F5399" si="487">E5388+F5364</f>
        <v>13</v>
      </c>
    </row>
    <row r="5389" spans="1:6" x14ac:dyDescent="0.25">
      <c r="A5389" s="140" t="s">
        <v>28</v>
      </c>
      <c r="B5389" s="26">
        <v>44117</v>
      </c>
      <c r="C5389" s="4">
        <v>43</v>
      </c>
      <c r="D5389" s="29">
        <f t="shared" si="486"/>
        <v>6031</v>
      </c>
      <c r="E5389" s="4">
        <v>6</v>
      </c>
      <c r="F5389" s="129">
        <f t="shared" si="487"/>
        <v>182</v>
      </c>
    </row>
    <row r="5390" spans="1:6" x14ac:dyDescent="0.25">
      <c r="A5390" s="140" t="s">
        <v>24</v>
      </c>
      <c r="B5390" s="26">
        <v>44117</v>
      </c>
      <c r="C5390" s="4">
        <v>653</v>
      </c>
      <c r="D5390" s="29">
        <f t="shared" si="486"/>
        <v>33052</v>
      </c>
      <c r="E5390" s="4">
        <v>7</v>
      </c>
      <c r="F5390" s="129">
        <f t="shared" si="487"/>
        <v>444</v>
      </c>
    </row>
    <row r="5391" spans="1:6" x14ac:dyDescent="0.25">
      <c r="A5391" s="140" t="s">
        <v>30</v>
      </c>
      <c r="B5391" s="26">
        <v>44117</v>
      </c>
      <c r="C5391" s="4">
        <v>24</v>
      </c>
      <c r="D5391" s="29">
        <f t="shared" si="486"/>
        <v>186</v>
      </c>
      <c r="F5391" s="129">
        <f t="shared" si="487"/>
        <v>4</v>
      </c>
    </row>
    <row r="5392" spans="1:6" x14ac:dyDescent="0.25">
      <c r="A5392" s="140" t="s">
        <v>26</v>
      </c>
      <c r="B5392" s="26">
        <v>44117</v>
      </c>
      <c r="C5392" s="4">
        <v>299</v>
      </c>
      <c r="D5392" s="29">
        <f>C5392+D5368</f>
        <v>12688</v>
      </c>
      <c r="E5392" s="4">
        <v>12</v>
      </c>
      <c r="F5392" s="129">
        <f t="shared" si="487"/>
        <v>197</v>
      </c>
    </row>
    <row r="5393" spans="1:6" x14ac:dyDescent="0.25">
      <c r="A5393" s="140" t="s">
        <v>25</v>
      </c>
      <c r="B5393" s="26">
        <v>44117</v>
      </c>
      <c r="C5393" s="4">
        <v>405</v>
      </c>
      <c r="D5393" s="29">
        <f>C5393+D5369</f>
        <v>17132</v>
      </c>
      <c r="E5393" s="4">
        <v>6</v>
      </c>
      <c r="F5393" s="129">
        <f t="shared" si="487"/>
        <v>374</v>
      </c>
    </row>
    <row r="5394" spans="1:6" x14ac:dyDescent="0.25">
      <c r="A5394" s="140" t="s">
        <v>41</v>
      </c>
      <c r="B5394" s="26">
        <v>44117</v>
      </c>
      <c r="C5394" s="4">
        <v>136</v>
      </c>
      <c r="D5394" s="29">
        <f>C5394+D5370</f>
        <v>15604</v>
      </c>
      <c r="E5394" s="4">
        <v>9</v>
      </c>
      <c r="F5394" s="129">
        <f>E5394+F5370</f>
        <v>549</v>
      </c>
    </row>
    <row r="5395" spans="1:6" x14ac:dyDescent="0.25">
      <c r="A5395" s="140" t="s">
        <v>42</v>
      </c>
      <c r="B5395" s="26">
        <v>44117</v>
      </c>
      <c r="C5395" s="4">
        <v>27</v>
      </c>
      <c r="D5395" s="29">
        <f t="shared" ref="D5395:D5401" si="488">C5395+D5371</f>
        <v>1268</v>
      </c>
      <c r="E5395" s="4">
        <v>9</v>
      </c>
      <c r="F5395" s="129">
        <f>E5395+F5371</f>
        <v>51</v>
      </c>
    </row>
    <row r="5396" spans="1:6" x14ac:dyDescent="0.25">
      <c r="A5396" s="140" t="s">
        <v>43</v>
      </c>
      <c r="B5396" s="26">
        <v>44117</v>
      </c>
      <c r="C5396" s="4">
        <v>126</v>
      </c>
      <c r="D5396" s="29">
        <f t="shared" si="488"/>
        <v>2416</v>
      </c>
      <c r="F5396" s="129">
        <f t="shared" si="487"/>
        <v>33</v>
      </c>
    </row>
    <row r="5397" spans="1:6" x14ac:dyDescent="0.25">
      <c r="A5397" s="140" t="s">
        <v>44</v>
      </c>
      <c r="B5397" s="26">
        <v>44117</v>
      </c>
      <c r="C5397" s="4">
        <v>66</v>
      </c>
      <c r="D5397" s="29">
        <f t="shared" si="488"/>
        <v>6514</v>
      </c>
      <c r="E5397" s="4">
        <v>3</v>
      </c>
      <c r="F5397" s="129">
        <f>E5397+F5373</f>
        <v>91</v>
      </c>
    </row>
    <row r="5398" spans="1:6" x14ac:dyDescent="0.25">
      <c r="A5398" s="140" t="s">
        <v>29</v>
      </c>
      <c r="B5398" s="26">
        <v>44117</v>
      </c>
      <c r="C5398" s="4">
        <v>2288</v>
      </c>
      <c r="D5398" s="29">
        <f t="shared" si="488"/>
        <v>66899</v>
      </c>
      <c r="E5398" s="4">
        <v>25</v>
      </c>
      <c r="F5398" s="129">
        <f>E5398+F5374</f>
        <v>707</v>
      </c>
    </row>
    <row r="5399" spans="1:6" x14ac:dyDescent="0.25">
      <c r="A5399" s="140" t="s">
        <v>45</v>
      </c>
      <c r="B5399" s="26">
        <v>44117</v>
      </c>
      <c r="C5399" s="4">
        <v>146</v>
      </c>
      <c r="D5399" s="29">
        <f t="shared" si="488"/>
        <v>5545</v>
      </c>
      <c r="E5399" s="4">
        <v>2</v>
      </c>
      <c r="F5399" s="129">
        <f t="shared" si="487"/>
        <v>88</v>
      </c>
    </row>
    <row r="5400" spans="1:6" x14ac:dyDescent="0.25">
      <c r="A5400" s="140" t="s">
        <v>46</v>
      </c>
      <c r="B5400" s="26">
        <v>44117</v>
      </c>
      <c r="C5400" s="4">
        <v>202</v>
      </c>
      <c r="D5400" s="29">
        <f t="shared" si="488"/>
        <v>6894</v>
      </c>
      <c r="E5400" s="4">
        <v>2</v>
      </c>
      <c r="F5400" s="129">
        <f t="shared" ref="F5400:F5411" si="489">E5400+F5376</f>
        <v>87</v>
      </c>
    </row>
    <row r="5401" spans="1:6" ht="15.75" thickBot="1" x14ac:dyDescent="0.3">
      <c r="A5401" s="141" t="s">
        <v>47</v>
      </c>
      <c r="B5401" s="53">
        <v>44117</v>
      </c>
      <c r="C5401" s="54">
        <v>1254</v>
      </c>
      <c r="D5401" s="132">
        <f t="shared" si="488"/>
        <v>28793</v>
      </c>
      <c r="E5401" s="54">
        <v>28</v>
      </c>
      <c r="F5401" s="130">
        <f t="shared" si="489"/>
        <v>410</v>
      </c>
    </row>
    <row r="5402" spans="1:6" ht="15.75" thickBot="1" x14ac:dyDescent="0.3">
      <c r="A5402" s="64" t="s">
        <v>22</v>
      </c>
      <c r="B5402" s="53">
        <v>44118</v>
      </c>
      <c r="C5402" s="48">
        <v>5175</v>
      </c>
      <c r="D5402" s="131">
        <f>C5402+D5378</f>
        <v>480467</v>
      </c>
      <c r="E5402" s="48">
        <f>1+87+76</f>
        <v>164</v>
      </c>
      <c r="F5402" s="128">
        <f t="shared" si="489"/>
        <v>15292</v>
      </c>
    </row>
    <row r="5403" spans="1:6" ht="15.75" thickBot="1" x14ac:dyDescent="0.3">
      <c r="A5403" s="140" t="s">
        <v>20</v>
      </c>
      <c r="B5403" s="53">
        <v>44118</v>
      </c>
      <c r="C5403" s="4">
        <v>825</v>
      </c>
      <c r="D5403" s="29">
        <f t="shared" ref="D5403:D5415" si="490">C5403+D5379</f>
        <v>137061</v>
      </c>
      <c r="E5403" s="4">
        <f>1+24+26</f>
        <v>51</v>
      </c>
      <c r="F5403" s="129">
        <f t="shared" si="489"/>
        <v>4057</v>
      </c>
    </row>
    <row r="5404" spans="1:6" ht="15.75" thickBot="1" x14ac:dyDescent="0.3">
      <c r="A5404" s="140" t="s">
        <v>35</v>
      </c>
      <c r="B5404" s="53">
        <v>44118</v>
      </c>
      <c r="C5404" s="4">
        <v>8</v>
      </c>
      <c r="D5404" s="29">
        <f t="shared" si="490"/>
        <v>401</v>
      </c>
      <c r="F5404" s="129">
        <f t="shared" si="489"/>
        <v>0</v>
      </c>
    </row>
    <row r="5405" spans="1:6" ht="15.75" thickBot="1" x14ac:dyDescent="0.3">
      <c r="A5405" s="140" t="s">
        <v>21</v>
      </c>
      <c r="B5405" s="53">
        <v>44118</v>
      </c>
      <c r="C5405" s="4">
        <v>192</v>
      </c>
      <c r="D5405" s="29">
        <f t="shared" si="490"/>
        <v>10870</v>
      </c>
      <c r="E5405" s="4">
        <f>1+1</f>
        <v>2</v>
      </c>
      <c r="F5405" s="129">
        <f t="shared" si="489"/>
        <v>345</v>
      </c>
    </row>
    <row r="5406" spans="1:6" ht="15.75" thickBot="1" x14ac:dyDescent="0.3">
      <c r="A5406" s="140" t="s">
        <v>36</v>
      </c>
      <c r="B5406" s="53">
        <v>44118</v>
      </c>
      <c r="C5406" s="4">
        <v>236</v>
      </c>
      <c r="D5406" s="29">
        <f t="shared" si="490"/>
        <v>8024</v>
      </c>
      <c r="F5406" s="129">
        <f t="shared" si="489"/>
        <v>102</v>
      </c>
    </row>
    <row r="5407" spans="1:6" ht="15.75" thickBot="1" x14ac:dyDescent="0.3">
      <c r="A5407" s="140" t="s">
        <v>27</v>
      </c>
      <c r="B5407" s="53">
        <v>44118</v>
      </c>
      <c r="C5407" s="4">
        <v>1606</v>
      </c>
      <c r="D5407" s="29">
        <f t="shared" si="490"/>
        <v>55701</v>
      </c>
      <c r="E5407" s="4">
        <f>15+13</f>
        <v>28</v>
      </c>
      <c r="F5407" s="129">
        <f t="shared" si="489"/>
        <v>718</v>
      </c>
    </row>
    <row r="5408" spans="1:6" ht="15.75" thickBot="1" x14ac:dyDescent="0.3">
      <c r="A5408" s="140" t="s">
        <v>37</v>
      </c>
      <c r="B5408" s="53">
        <v>44118</v>
      </c>
      <c r="C5408" s="4">
        <v>54</v>
      </c>
      <c r="D5408" s="29">
        <f t="shared" si="490"/>
        <v>1802</v>
      </c>
      <c r="F5408" s="129">
        <f t="shared" si="489"/>
        <v>32</v>
      </c>
    </row>
    <row r="5409" spans="1:6" ht="15.75" thickBot="1" x14ac:dyDescent="0.3">
      <c r="A5409" s="140" t="s">
        <v>38</v>
      </c>
      <c r="B5409" s="53">
        <v>44118</v>
      </c>
      <c r="C5409" s="4">
        <v>299</v>
      </c>
      <c r="D5409" s="29">
        <f t="shared" si="490"/>
        <v>10122</v>
      </c>
      <c r="E5409" s="4">
        <f>2+1</f>
        <v>3</v>
      </c>
      <c r="F5409" s="129">
        <f t="shared" si="489"/>
        <v>196</v>
      </c>
    </row>
    <row r="5410" spans="1:6" ht="15.75" thickBot="1" x14ac:dyDescent="0.3">
      <c r="A5410" s="140" t="s">
        <v>48</v>
      </c>
      <c r="B5410" s="53">
        <v>44118</v>
      </c>
      <c r="C5410" s="4">
        <v>1</v>
      </c>
      <c r="D5410" s="29">
        <f t="shared" si="490"/>
        <v>140</v>
      </c>
      <c r="F5410" s="129">
        <f t="shared" si="489"/>
        <v>1</v>
      </c>
    </row>
    <row r="5411" spans="1:6" ht="15.75" thickBot="1" x14ac:dyDescent="0.3">
      <c r="A5411" s="140" t="s">
        <v>39</v>
      </c>
      <c r="B5411" s="53">
        <v>44118</v>
      </c>
      <c r="C5411" s="4">
        <v>103</v>
      </c>
      <c r="D5411" s="29">
        <f t="shared" si="490"/>
        <v>16945</v>
      </c>
      <c r="F5411" s="129">
        <f t="shared" si="489"/>
        <v>630</v>
      </c>
    </row>
    <row r="5412" spans="1:6" ht="15.75" thickBot="1" x14ac:dyDescent="0.3">
      <c r="A5412" s="140" t="s">
        <v>40</v>
      </c>
      <c r="B5412" s="53">
        <v>44118</v>
      </c>
      <c r="C5412" s="4">
        <v>101</v>
      </c>
      <c r="D5412" s="29">
        <f t="shared" si="490"/>
        <v>1272</v>
      </c>
      <c r="E5412" s="4">
        <f>2+1</f>
        <v>3</v>
      </c>
      <c r="F5412" s="129">
        <f t="shared" ref="F5412:F5423" si="491">E5412+F5388</f>
        <v>16</v>
      </c>
    </row>
    <row r="5413" spans="1:6" ht="15.75" thickBot="1" x14ac:dyDescent="0.3">
      <c r="A5413" s="140" t="s">
        <v>28</v>
      </c>
      <c r="B5413" s="53">
        <v>44118</v>
      </c>
      <c r="C5413" s="4">
        <v>87</v>
      </c>
      <c r="D5413" s="29">
        <f t="shared" si="490"/>
        <v>6118</v>
      </c>
      <c r="E5413" s="4">
        <f>4</f>
        <v>4</v>
      </c>
      <c r="F5413" s="129">
        <f t="shared" si="491"/>
        <v>186</v>
      </c>
    </row>
    <row r="5414" spans="1:6" ht="15.75" thickBot="1" x14ac:dyDescent="0.3">
      <c r="A5414" s="140" t="s">
        <v>24</v>
      </c>
      <c r="B5414" s="53">
        <v>44118</v>
      </c>
      <c r="C5414" s="4">
        <v>925</v>
      </c>
      <c r="D5414" s="29">
        <f t="shared" si="490"/>
        <v>33977</v>
      </c>
      <c r="E5414" s="4">
        <f>6+3</f>
        <v>9</v>
      </c>
      <c r="F5414" s="129">
        <f t="shared" si="491"/>
        <v>453</v>
      </c>
    </row>
    <row r="5415" spans="1:6" ht="15.75" thickBot="1" x14ac:dyDescent="0.3">
      <c r="A5415" s="140" t="s">
        <v>30</v>
      </c>
      <c r="B5415" s="53">
        <v>44118</v>
      </c>
      <c r="C5415" s="4">
        <v>3</v>
      </c>
      <c r="D5415" s="29">
        <f t="shared" si="490"/>
        <v>189</v>
      </c>
      <c r="F5415" s="129">
        <f t="shared" si="491"/>
        <v>4</v>
      </c>
    </row>
    <row r="5416" spans="1:6" ht="15.75" thickBot="1" x14ac:dyDescent="0.3">
      <c r="A5416" s="140" t="s">
        <v>26</v>
      </c>
      <c r="B5416" s="53">
        <v>44118</v>
      </c>
      <c r="C5416" s="4">
        <v>296</v>
      </c>
      <c r="D5416" s="29">
        <f>C5416+D5392</f>
        <v>12984</v>
      </c>
      <c r="E5416" s="4">
        <f>5+3</f>
        <v>8</v>
      </c>
      <c r="F5416" s="129">
        <f t="shared" si="491"/>
        <v>205</v>
      </c>
    </row>
    <row r="5417" spans="1:6" ht="15.75" thickBot="1" x14ac:dyDescent="0.3">
      <c r="A5417" s="140" t="s">
        <v>25</v>
      </c>
      <c r="B5417" s="53">
        <v>44118</v>
      </c>
      <c r="C5417" s="4">
        <v>361</v>
      </c>
      <c r="D5417" s="29">
        <f>C5417+D5393</f>
        <v>17493</v>
      </c>
      <c r="E5417" s="4">
        <f>10+4</f>
        <v>14</v>
      </c>
      <c r="F5417" s="129">
        <f t="shared" si="491"/>
        <v>388</v>
      </c>
    </row>
    <row r="5418" spans="1:6" ht="15.75" thickBot="1" x14ac:dyDescent="0.3">
      <c r="A5418" s="140" t="s">
        <v>41</v>
      </c>
      <c r="B5418" s="53">
        <v>44118</v>
      </c>
      <c r="C5418" s="4">
        <v>150</v>
      </c>
      <c r="D5418" s="29">
        <f>C5418+D5394</f>
        <v>15754</v>
      </c>
      <c r="E5418" s="4">
        <f>6+3</f>
        <v>9</v>
      </c>
      <c r="F5418" s="129">
        <f>E5418+F5394</f>
        <v>558</v>
      </c>
    </row>
    <row r="5419" spans="1:6" ht="15.75" thickBot="1" x14ac:dyDescent="0.3">
      <c r="A5419" s="140" t="s">
        <v>42</v>
      </c>
      <c r="B5419" s="53">
        <v>44118</v>
      </c>
      <c r="C5419" s="4">
        <v>5</v>
      </c>
      <c r="D5419" s="29">
        <f t="shared" ref="D5419:D5425" si="492">C5419+D5395</f>
        <v>1273</v>
      </c>
      <c r="F5419" s="129">
        <f>E5419+F5395</f>
        <v>51</v>
      </c>
    </row>
    <row r="5420" spans="1:6" ht="15.75" thickBot="1" x14ac:dyDescent="0.3">
      <c r="A5420" s="140" t="s">
        <v>43</v>
      </c>
      <c r="B5420" s="53">
        <v>44118</v>
      </c>
      <c r="C5420" s="4">
        <v>151</v>
      </c>
      <c r="D5420" s="29">
        <f t="shared" si="492"/>
        <v>2567</v>
      </c>
      <c r="E5420" s="4">
        <f>1</f>
        <v>1</v>
      </c>
      <c r="F5420" s="129">
        <f t="shared" si="491"/>
        <v>34</v>
      </c>
    </row>
    <row r="5421" spans="1:6" ht="15.75" thickBot="1" x14ac:dyDescent="0.3">
      <c r="A5421" s="140" t="s">
        <v>44</v>
      </c>
      <c r="B5421" s="53">
        <v>44118</v>
      </c>
      <c r="C5421" s="4">
        <v>195</v>
      </c>
      <c r="D5421" s="29">
        <f t="shared" si="492"/>
        <v>6709</v>
      </c>
      <c r="E5421" s="4">
        <f>1</f>
        <v>1</v>
      </c>
      <c r="F5421" s="129">
        <f>E5421+F5397</f>
        <v>92</v>
      </c>
    </row>
    <row r="5422" spans="1:6" ht="15.75" thickBot="1" x14ac:dyDescent="0.3">
      <c r="A5422" s="140" t="s">
        <v>29</v>
      </c>
      <c r="B5422" s="53">
        <v>44118</v>
      </c>
      <c r="C5422" s="4">
        <v>2470</v>
      </c>
      <c r="D5422" s="29">
        <f t="shared" si="492"/>
        <v>69369</v>
      </c>
      <c r="E5422" s="4">
        <f>24+17</f>
        <v>41</v>
      </c>
      <c r="F5422" s="129">
        <f>E5422+F5398</f>
        <v>748</v>
      </c>
    </row>
    <row r="5423" spans="1:6" ht="15.75" thickBot="1" x14ac:dyDescent="0.3">
      <c r="A5423" s="140" t="s">
        <v>45</v>
      </c>
      <c r="B5423" s="53">
        <v>44118</v>
      </c>
      <c r="C5423" s="4">
        <v>153</v>
      </c>
      <c r="D5423" s="29">
        <f t="shared" si="492"/>
        <v>5698</v>
      </c>
      <c r="E5423" s="4">
        <f>2+2</f>
        <v>4</v>
      </c>
      <c r="F5423" s="129">
        <f t="shared" si="491"/>
        <v>92</v>
      </c>
    </row>
    <row r="5424" spans="1:6" ht="15.75" thickBot="1" x14ac:dyDescent="0.3">
      <c r="A5424" s="140" t="s">
        <v>46</v>
      </c>
      <c r="B5424" s="53">
        <v>44118</v>
      </c>
      <c r="C5424" s="4">
        <v>295</v>
      </c>
      <c r="D5424" s="29">
        <f t="shared" si="492"/>
        <v>7189</v>
      </c>
      <c r="E5424" s="4">
        <f>1+3</f>
        <v>4</v>
      </c>
      <c r="F5424" s="129">
        <f t="shared" ref="F5424:F5435" si="493">E5424+F5400</f>
        <v>91</v>
      </c>
    </row>
    <row r="5425" spans="1:6" ht="15.75" thickBot="1" x14ac:dyDescent="0.3">
      <c r="A5425" s="142" t="s">
        <v>47</v>
      </c>
      <c r="B5425" s="46">
        <v>44118</v>
      </c>
      <c r="C5425" s="47">
        <v>1241</v>
      </c>
      <c r="D5425" s="85">
        <f t="shared" si="492"/>
        <v>30034</v>
      </c>
      <c r="E5425" s="47">
        <f>4</f>
        <v>4</v>
      </c>
      <c r="F5425" s="139">
        <f t="shared" si="493"/>
        <v>414</v>
      </c>
    </row>
    <row r="5426" spans="1:6" x14ac:dyDescent="0.25">
      <c r="A5426" s="64" t="s">
        <v>22</v>
      </c>
      <c r="B5426" s="49">
        <v>44119</v>
      </c>
      <c r="C5426" s="50">
        <v>5756</v>
      </c>
      <c r="D5426" s="131">
        <f>C5426+D5402</f>
        <v>486223</v>
      </c>
      <c r="E5426" s="50">
        <v>192</v>
      </c>
      <c r="F5426" s="128">
        <f t="shared" si="493"/>
        <v>15484</v>
      </c>
    </row>
    <row r="5427" spans="1:6" x14ac:dyDescent="0.25">
      <c r="A5427" s="140" t="s">
        <v>20</v>
      </c>
      <c r="B5427" s="26">
        <v>44119</v>
      </c>
      <c r="C5427" s="4">
        <v>830</v>
      </c>
      <c r="D5427" s="29">
        <f t="shared" ref="D5427:D5439" si="494">C5427+D5403</f>
        <v>137891</v>
      </c>
      <c r="E5427" s="4">
        <v>59</v>
      </c>
      <c r="F5427" s="129">
        <f t="shared" si="493"/>
        <v>4116</v>
      </c>
    </row>
    <row r="5428" spans="1:6" x14ac:dyDescent="0.25">
      <c r="A5428" s="140" t="s">
        <v>35</v>
      </c>
      <c r="B5428" s="26">
        <v>44119</v>
      </c>
      <c r="C5428" s="4">
        <v>6</v>
      </c>
      <c r="D5428" s="29">
        <f t="shared" si="494"/>
        <v>407</v>
      </c>
      <c r="F5428" s="129">
        <f t="shared" si="493"/>
        <v>0</v>
      </c>
    </row>
    <row r="5429" spans="1:6" x14ac:dyDescent="0.25">
      <c r="A5429" s="140" t="s">
        <v>21</v>
      </c>
      <c r="B5429" s="26">
        <v>44119</v>
      </c>
      <c r="C5429" s="4">
        <v>197</v>
      </c>
      <c r="D5429" s="29">
        <f t="shared" si="494"/>
        <v>11067</v>
      </c>
      <c r="E5429" s="4">
        <v>5</v>
      </c>
      <c r="F5429" s="129">
        <f t="shared" si="493"/>
        <v>350</v>
      </c>
    </row>
    <row r="5430" spans="1:6" x14ac:dyDescent="0.25">
      <c r="A5430" s="140" t="s">
        <v>36</v>
      </c>
      <c r="B5430" s="26">
        <v>44119</v>
      </c>
      <c r="C5430" s="4">
        <v>245</v>
      </c>
      <c r="D5430" s="29">
        <f t="shared" si="494"/>
        <v>8269</v>
      </c>
      <c r="E5430" s="4">
        <v>9</v>
      </c>
      <c r="F5430" s="129">
        <f t="shared" si="493"/>
        <v>111</v>
      </c>
    </row>
    <row r="5431" spans="1:6" x14ac:dyDescent="0.25">
      <c r="A5431" s="140" t="s">
        <v>27</v>
      </c>
      <c r="B5431" s="26">
        <v>44119</v>
      </c>
      <c r="C5431" s="4">
        <v>2082</v>
      </c>
      <c r="D5431" s="29">
        <f t="shared" si="494"/>
        <v>57783</v>
      </c>
      <c r="E5431" s="4">
        <v>44</v>
      </c>
      <c r="F5431" s="129">
        <f t="shared" si="493"/>
        <v>762</v>
      </c>
    </row>
    <row r="5432" spans="1:6" x14ac:dyDescent="0.25">
      <c r="A5432" s="140" t="s">
        <v>37</v>
      </c>
      <c r="B5432" s="26">
        <v>44119</v>
      </c>
      <c r="C5432" s="4">
        <v>72</v>
      </c>
      <c r="D5432" s="29">
        <f t="shared" si="494"/>
        <v>1874</v>
      </c>
      <c r="F5432" s="129">
        <f t="shared" si="493"/>
        <v>32</v>
      </c>
    </row>
    <row r="5433" spans="1:6" x14ac:dyDescent="0.25">
      <c r="A5433" s="140" t="s">
        <v>38</v>
      </c>
      <c r="B5433" s="26">
        <v>44119</v>
      </c>
      <c r="C5433" s="4">
        <v>334</v>
      </c>
      <c r="D5433" s="29">
        <f t="shared" si="494"/>
        <v>10456</v>
      </c>
      <c r="E5433" s="4">
        <v>7</v>
      </c>
      <c r="F5433" s="129">
        <f t="shared" si="493"/>
        <v>203</v>
      </c>
    </row>
    <row r="5434" spans="1:6" x14ac:dyDescent="0.25">
      <c r="A5434" s="140" t="s">
        <v>48</v>
      </c>
      <c r="B5434" s="26">
        <v>44119</v>
      </c>
      <c r="C5434" s="4">
        <v>-2</v>
      </c>
      <c r="D5434" s="29">
        <f t="shared" si="494"/>
        <v>138</v>
      </c>
      <c r="F5434" s="129">
        <f t="shared" si="493"/>
        <v>1</v>
      </c>
    </row>
    <row r="5435" spans="1:6" x14ac:dyDescent="0.25">
      <c r="A5435" s="140" t="s">
        <v>39</v>
      </c>
      <c r="B5435" s="26">
        <v>44119</v>
      </c>
      <c r="C5435" s="4">
        <v>120</v>
      </c>
      <c r="D5435" s="29">
        <f t="shared" si="494"/>
        <v>17065</v>
      </c>
      <c r="E5435" s="4">
        <v>13</v>
      </c>
      <c r="F5435" s="129">
        <f t="shared" si="493"/>
        <v>643</v>
      </c>
    </row>
    <row r="5436" spans="1:6" x14ac:dyDescent="0.25">
      <c r="A5436" s="140" t="s">
        <v>40</v>
      </c>
      <c r="B5436" s="26">
        <v>44119</v>
      </c>
      <c r="C5436" s="4">
        <v>82</v>
      </c>
      <c r="D5436" s="29">
        <f t="shared" si="494"/>
        <v>1354</v>
      </c>
      <c r="F5436" s="129">
        <f t="shared" ref="F5436:F5447" si="495">E5436+F5412</f>
        <v>16</v>
      </c>
    </row>
    <row r="5437" spans="1:6" x14ac:dyDescent="0.25">
      <c r="A5437" s="140" t="s">
        <v>28</v>
      </c>
      <c r="B5437" s="26">
        <v>44119</v>
      </c>
      <c r="C5437" s="4">
        <v>107</v>
      </c>
      <c r="D5437" s="29">
        <f t="shared" si="494"/>
        <v>6225</v>
      </c>
      <c r="E5437" s="4">
        <v>5</v>
      </c>
      <c r="F5437" s="129">
        <f t="shared" si="495"/>
        <v>191</v>
      </c>
    </row>
    <row r="5438" spans="1:6" x14ac:dyDescent="0.25">
      <c r="A5438" s="140" t="s">
        <v>24</v>
      </c>
      <c r="B5438" s="26">
        <v>44119</v>
      </c>
      <c r="C5438" s="4">
        <v>1056</v>
      </c>
      <c r="D5438" s="29">
        <f t="shared" si="494"/>
        <v>35033</v>
      </c>
      <c r="E5438" s="4">
        <v>15</v>
      </c>
      <c r="F5438" s="129">
        <f t="shared" si="495"/>
        <v>468</v>
      </c>
    </row>
    <row r="5439" spans="1:6" x14ac:dyDescent="0.25">
      <c r="A5439" s="140" t="s">
        <v>30</v>
      </c>
      <c r="B5439" s="26">
        <v>44119</v>
      </c>
      <c r="C5439" s="4">
        <v>12</v>
      </c>
      <c r="D5439" s="29">
        <f t="shared" si="494"/>
        <v>201</v>
      </c>
      <c r="F5439" s="129">
        <f t="shared" si="495"/>
        <v>4</v>
      </c>
    </row>
    <row r="5440" spans="1:6" x14ac:dyDescent="0.25">
      <c r="A5440" s="140" t="s">
        <v>26</v>
      </c>
      <c r="B5440" s="26">
        <v>44119</v>
      </c>
      <c r="C5440" s="4">
        <v>424</v>
      </c>
      <c r="D5440" s="29">
        <f>C5440+D5416</f>
        <v>13408</v>
      </c>
      <c r="F5440" s="129">
        <f t="shared" si="495"/>
        <v>205</v>
      </c>
    </row>
    <row r="5441" spans="1:6" x14ac:dyDescent="0.25">
      <c r="A5441" s="140" t="s">
        <v>25</v>
      </c>
      <c r="B5441" s="26">
        <v>44119</v>
      </c>
      <c r="C5441" s="4">
        <v>532</v>
      </c>
      <c r="D5441" s="29">
        <f>C5441+D5417</f>
        <v>18025</v>
      </c>
      <c r="E5441" s="4">
        <v>11</v>
      </c>
      <c r="F5441" s="129">
        <f t="shared" si="495"/>
        <v>399</v>
      </c>
    </row>
    <row r="5442" spans="1:6" x14ac:dyDescent="0.25">
      <c r="A5442" s="140" t="s">
        <v>41</v>
      </c>
      <c r="B5442" s="26">
        <v>44119</v>
      </c>
      <c r="C5442" s="4">
        <v>257</v>
      </c>
      <c r="D5442" s="29">
        <f>C5442+D5418</f>
        <v>16011</v>
      </c>
      <c r="E5442" s="4">
        <v>12</v>
      </c>
      <c r="F5442" s="129">
        <f>E5442+F5418</f>
        <v>570</v>
      </c>
    </row>
    <row r="5443" spans="1:6" x14ac:dyDescent="0.25">
      <c r="A5443" s="140" t="s">
        <v>42</v>
      </c>
      <c r="B5443" s="26">
        <v>44119</v>
      </c>
      <c r="C5443" s="4">
        <v>3</v>
      </c>
      <c r="D5443" s="29">
        <f t="shared" ref="D5443:D5449" si="496">C5443+D5419</f>
        <v>1276</v>
      </c>
      <c r="F5443" s="129">
        <f>E5443+F5419</f>
        <v>51</v>
      </c>
    </row>
    <row r="5444" spans="1:6" x14ac:dyDescent="0.25">
      <c r="A5444" s="140" t="s">
        <v>43</v>
      </c>
      <c r="B5444" s="26">
        <v>44119</v>
      </c>
      <c r="C5444" s="4">
        <v>119</v>
      </c>
      <c r="D5444" s="29">
        <f t="shared" si="496"/>
        <v>2686</v>
      </c>
      <c r="F5444" s="129">
        <f t="shared" si="495"/>
        <v>34</v>
      </c>
    </row>
    <row r="5445" spans="1:6" x14ac:dyDescent="0.25">
      <c r="A5445" s="140" t="s">
        <v>44</v>
      </c>
      <c r="B5445" s="26">
        <v>44119</v>
      </c>
      <c r="C5445" s="4">
        <v>123</v>
      </c>
      <c r="D5445" s="29">
        <f t="shared" si="496"/>
        <v>6832</v>
      </c>
      <c r="E5445" s="4">
        <v>3</v>
      </c>
      <c r="F5445" s="129">
        <f>E5445+F5421</f>
        <v>95</v>
      </c>
    </row>
    <row r="5446" spans="1:6" x14ac:dyDescent="0.25">
      <c r="A5446" s="140" t="s">
        <v>29</v>
      </c>
      <c r="B5446" s="26">
        <v>44119</v>
      </c>
      <c r="C5446" s="4">
        <v>2659</v>
      </c>
      <c r="D5446" s="29">
        <f t="shared" si="496"/>
        <v>72028</v>
      </c>
      <c r="E5446" s="4">
        <v>44</v>
      </c>
      <c r="F5446" s="129">
        <f>E5446+F5422</f>
        <v>792</v>
      </c>
    </row>
    <row r="5447" spans="1:6" x14ac:dyDescent="0.25">
      <c r="A5447" s="140" t="s">
        <v>45</v>
      </c>
      <c r="B5447" s="26">
        <v>44119</v>
      </c>
      <c r="C5447" s="4">
        <v>275</v>
      </c>
      <c r="D5447" s="29">
        <f t="shared" si="496"/>
        <v>5973</v>
      </c>
      <c r="E5447" s="4">
        <v>-1</v>
      </c>
      <c r="F5447" s="129">
        <f t="shared" si="495"/>
        <v>91</v>
      </c>
    </row>
    <row r="5448" spans="1:6" x14ac:dyDescent="0.25">
      <c r="A5448" s="140" t="s">
        <v>46</v>
      </c>
      <c r="B5448" s="26">
        <v>44119</v>
      </c>
      <c r="C5448" s="4">
        <v>313</v>
      </c>
      <c r="D5448" s="29">
        <f t="shared" si="496"/>
        <v>7502</v>
      </c>
      <c r="F5448" s="129">
        <f>E5448+F5424</f>
        <v>91</v>
      </c>
    </row>
    <row r="5449" spans="1:6" ht="15.75" thickBot="1" x14ac:dyDescent="0.3">
      <c r="A5449" s="141" t="s">
        <v>47</v>
      </c>
      <c r="B5449" s="53">
        <v>44119</v>
      </c>
      <c r="C5449" s="54">
        <v>1494</v>
      </c>
      <c r="D5449" s="132">
        <f t="shared" si="496"/>
        <v>31528</v>
      </c>
      <c r="E5449" s="54">
        <v>2</v>
      </c>
      <c r="F5449" s="130">
        <f>E5449+F5425</f>
        <v>416</v>
      </c>
    </row>
    <row r="5450" spans="1:6" x14ac:dyDescent="0.25">
      <c r="A5450" s="64" t="s">
        <v>22</v>
      </c>
      <c r="B5450" s="136">
        <v>44120</v>
      </c>
      <c r="C5450" s="48">
        <v>5199</v>
      </c>
      <c r="D5450" s="131">
        <f>C5450+D5426</f>
        <v>491422</v>
      </c>
      <c r="E5450" s="48">
        <v>136</v>
      </c>
      <c r="F5450" s="128">
        <f t="shared" ref="F5450:F5471" si="497">E5450+F5426</f>
        <v>15620</v>
      </c>
    </row>
    <row r="5451" spans="1:6" x14ac:dyDescent="0.25">
      <c r="A5451" s="140" t="s">
        <v>20</v>
      </c>
      <c r="B5451" s="136">
        <v>44120</v>
      </c>
      <c r="C5451" s="4">
        <v>952</v>
      </c>
      <c r="D5451" s="29">
        <f t="shared" ref="D5451:D5463" si="498">C5451+D5427</f>
        <v>138843</v>
      </c>
      <c r="E5451" s="4">
        <v>46</v>
      </c>
      <c r="F5451" s="129">
        <f t="shared" si="497"/>
        <v>4162</v>
      </c>
    </row>
    <row r="5452" spans="1:6" x14ac:dyDescent="0.25">
      <c r="A5452" s="140" t="s">
        <v>35</v>
      </c>
      <c r="B5452" s="136">
        <v>44120</v>
      </c>
      <c r="C5452" s="4">
        <v>22</v>
      </c>
      <c r="D5452" s="29">
        <f t="shared" si="498"/>
        <v>429</v>
      </c>
      <c r="F5452" s="129">
        <f t="shared" si="497"/>
        <v>0</v>
      </c>
    </row>
    <row r="5453" spans="1:6" x14ac:dyDescent="0.25">
      <c r="A5453" s="140" t="s">
        <v>21</v>
      </c>
      <c r="B5453" s="136">
        <v>44120</v>
      </c>
      <c r="C5453" s="4">
        <v>197</v>
      </c>
      <c r="D5453" s="29">
        <f t="shared" si="498"/>
        <v>11264</v>
      </c>
      <c r="E5453" s="4">
        <v>3</v>
      </c>
      <c r="F5453" s="129">
        <f t="shared" si="497"/>
        <v>353</v>
      </c>
    </row>
    <row r="5454" spans="1:6" x14ac:dyDescent="0.25">
      <c r="A5454" s="140" t="s">
        <v>36</v>
      </c>
      <c r="B5454" s="136">
        <v>44120</v>
      </c>
      <c r="C5454" s="4">
        <v>288</v>
      </c>
      <c r="D5454" s="29">
        <f t="shared" si="498"/>
        <v>8557</v>
      </c>
      <c r="E5454" s="4">
        <v>2</v>
      </c>
      <c r="F5454" s="129">
        <f t="shared" si="497"/>
        <v>113</v>
      </c>
    </row>
    <row r="5455" spans="1:6" x14ac:dyDescent="0.25">
      <c r="A5455" s="140" t="s">
        <v>27</v>
      </c>
      <c r="B5455" s="136">
        <v>44120</v>
      </c>
      <c r="C5455" s="4">
        <v>2045</v>
      </c>
      <c r="D5455" s="29">
        <f t="shared" si="498"/>
        <v>59828</v>
      </c>
      <c r="E5455" s="4">
        <v>28</v>
      </c>
      <c r="F5455" s="129">
        <f t="shared" si="497"/>
        <v>790</v>
      </c>
    </row>
    <row r="5456" spans="1:6" x14ac:dyDescent="0.25">
      <c r="A5456" s="140" t="s">
        <v>37</v>
      </c>
      <c r="B5456" s="136">
        <v>44120</v>
      </c>
      <c r="C5456" s="4">
        <v>61</v>
      </c>
      <c r="D5456" s="29">
        <f t="shared" si="498"/>
        <v>1935</v>
      </c>
      <c r="F5456" s="129">
        <f t="shared" si="497"/>
        <v>32</v>
      </c>
    </row>
    <row r="5457" spans="1:6" x14ac:dyDescent="0.25">
      <c r="A5457" s="140" t="s">
        <v>38</v>
      </c>
      <c r="B5457" s="136">
        <v>44120</v>
      </c>
      <c r="C5457" s="4">
        <v>349</v>
      </c>
      <c r="D5457" s="29">
        <f t="shared" si="498"/>
        <v>10805</v>
      </c>
      <c r="E5457" s="4">
        <v>2</v>
      </c>
      <c r="F5457" s="129">
        <f t="shared" si="497"/>
        <v>205</v>
      </c>
    </row>
    <row r="5458" spans="1:6" x14ac:dyDescent="0.25">
      <c r="A5458" s="140" t="s">
        <v>48</v>
      </c>
      <c r="B5458" s="136">
        <v>44120</v>
      </c>
      <c r="C5458" s="4">
        <v>1</v>
      </c>
      <c r="D5458" s="29">
        <f t="shared" si="498"/>
        <v>139</v>
      </c>
      <c r="F5458" s="129">
        <f t="shared" si="497"/>
        <v>1</v>
      </c>
    </row>
    <row r="5459" spans="1:6" x14ac:dyDescent="0.25">
      <c r="A5459" s="140" t="s">
        <v>39</v>
      </c>
      <c r="B5459" s="136">
        <v>44120</v>
      </c>
      <c r="C5459" s="4">
        <v>55</v>
      </c>
      <c r="D5459" s="29">
        <f t="shared" si="498"/>
        <v>17120</v>
      </c>
      <c r="E5459" s="4">
        <v>12</v>
      </c>
      <c r="F5459" s="129">
        <f t="shared" si="497"/>
        <v>655</v>
      </c>
    </row>
    <row r="5460" spans="1:6" x14ac:dyDescent="0.25">
      <c r="A5460" s="140" t="s">
        <v>40</v>
      </c>
      <c r="B5460" s="136">
        <v>44120</v>
      </c>
      <c r="C5460" s="4">
        <v>82</v>
      </c>
      <c r="D5460" s="29">
        <f t="shared" si="498"/>
        <v>1436</v>
      </c>
      <c r="E5460" s="4">
        <v>1</v>
      </c>
      <c r="F5460" s="129">
        <f t="shared" si="497"/>
        <v>17</v>
      </c>
    </row>
    <row r="5461" spans="1:6" x14ac:dyDescent="0.25">
      <c r="A5461" s="140" t="s">
        <v>28</v>
      </c>
      <c r="B5461" s="136">
        <v>44120</v>
      </c>
      <c r="C5461" s="4">
        <v>98</v>
      </c>
      <c r="D5461" s="29">
        <f t="shared" si="498"/>
        <v>6323</v>
      </c>
      <c r="E5461" s="4">
        <v>11</v>
      </c>
      <c r="F5461" s="129">
        <f t="shared" si="497"/>
        <v>202</v>
      </c>
    </row>
    <row r="5462" spans="1:6" x14ac:dyDescent="0.25">
      <c r="A5462" s="140" t="s">
        <v>24</v>
      </c>
      <c r="B5462" s="136">
        <v>44120</v>
      </c>
      <c r="C5462" s="4">
        <v>897</v>
      </c>
      <c r="D5462" s="29">
        <f t="shared" si="498"/>
        <v>35930</v>
      </c>
      <c r="E5462" s="4">
        <v>30</v>
      </c>
      <c r="F5462" s="129">
        <f t="shared" si="497"/>
        <v>498</v>
      </c>
    </row>
    <row r="5463" spans="1:6" x14ac:dyDescent="0.25">
      <c r="A5463" s="140" t="s">
        <v>30</v>
      </c>
      <c r="B5463" s="136">
        <v>44120</v>
      </c>
      <c r="C5463" s="4">
        <v>-3</v>
      </c>
      <c r="D5463" s="29">
        <f t="shared" si="498"/>
        <v>198</v>
      </c>
      <c r="F5463" s="129">
        <f t="shared" si="497"/>
        <v>4</v>
      </c>
    </row>
    <row r="5464" spans="1:6" x14ac:dyDescent="0.25">
      <c r="A5464" s="140" t="s">
        <v>26</v>
      </c>
      <c r="B5464" s="136">
        <v>44120</v>
      </c>
      <c r="C5464" s="4">
        <v>382</v>
      </c>
      <c r="D5464" s="29">
        <f>C5464+D5440</f>
        <v>13790</v>
      </c>
      <c r="E5464" s="4">
        <v>13</v>
      </c>
      <c r="F5464" s="129">
        <f t="shared" si="497"/>
        <v>218</v>
      </c>
    </row>
    <row r="5465" spans="1:6" x14ac:dyDescent="0.25">
      <c r="A5465" s="140" t="s">
        <v>25</v>
      </c>
      <c r="B5465" s="136">
        <v>44120</v>
      </c>
      <c r="C5465" s="4">
        <v>536</v>
      </c>
      <c r="D5465" s="29">
        <f>C5465+D5441</f>
        <v>18561</v>
      </c>
      <c r="E5465" s="4">
        <v>2</v>
      </c>
      <c r="F5465" s="129">
        <f t="shared" si="497"/>
        <v>401</v>
      </c>
    </row>
    <row r="5466" spans="1:6" x14ac:dyDescent="0.25">
      <c r="A5466" s="140" t="s">
        <v>41</v>
      </c>
      <c r="B5466" s="136">
        <v>44120</v>
      </c>
      <c r="C5466" s="4">
        <v>215</v>
      </c>
      <c r="D5466" s="29">
        <f>C5466+D5442</f>
        <v>16226</v>
      </c>
      <c r="E5466" s="4">
        <v>13</v>
      </c>
      <c r="F5466" s="129">
        <f>E5466+F5442</f>
        <v>583</v>
      </c>
    </row>
    <row r="5467" spans="1:6" x14ac:dyDescent="0.25">
      <c r="A5467" s="140" t="s">
        <v>42</v>
      </c>
      <c r="B5467" s="136">
        <v>44120</v>
      </c>
      <c r="C5467" s="4">
        <v>9</v>
      </c>
      <c r="D5467" s="29">
        <f t="shared" ref="D5467:D5473" si="499">C5467+D5443</f>
        <v>1285</v>
      </c>
      <c r="F5467" s="129">
        <f>E5467+F5443</f>
        <v>51</v>
      </c>
    </row>
    <row r="5468" spans="1:6" x14ac:dyDescent="0.25">
      <c r="A5468" s="140" t="s">
        <v>43</v>
      </c>
      <c r="B5468" s="136">
        <v>44120</v>
      </c>
      <c r="C5468" s="4">
        <v>257</v>
      </c>
      <c r="D5468" s="29">
        <f t="shared" si="499"/>
        <v>2943</v>
      </c>
      <c r="E5468" s="4">
        <v>1</v>
      </c>
      <c r="F5468" s="129">
        <f t="shared" si="497"/>
        <v>35</v>
      </c>
    </row>
    <row r="5469" spans="1:6" x14ac:dyDescent="0.25">
      <c r="A5469" s="140" t="s">
        <v>44</v>
      </c>
      <c r="B5469" s="136">
        <v>44120</v>
      </c>
      <c r="C5469" s="4">
        <v>210</v>
      </c>
      <c r="D5469" s="29">
        <f t="shared" si="499"/>
        <v>7042</v>
      </c>
      <c r="E5469" s="4">
        <v>1</v>
      </c>
      <c r="F5469" s="129">
        <f>E5469+F5445</f>
        <v>96</v>
      </c>
    </row>
    <row r="5470" spans="1:6" x14ac:dyDescent="0.25">
      <c r="A5470" s="140" t="s">
        <v>29</v>
      </c>
      <c r="B5470" s="136">
        <v>44120</v>
      </c>
      <c r="C5470" s="4">
        <v>2582</v>
      </c>
      <c r="D5470" s="29">
        <f t="shared" si="499"/>
        <v>74610</v>
      </c>
      <c r="E5470" s="4">
        <v>29</v>
      </c>
      <c r="F5470" s="129">
        <f>E5470+F5446</f>
        <v>821</v>
      </c>
    </row>
    <row r="5471" spans="1:6" x14ac:dyDescent="0.25">
      <c r="A5471" s="140" t="s">
        <v>45</v>
      </c>
      <c r="B5471" s="136">
        <v>44120</v>
      </c>
      <c r="C5471" s="4">
        <v>342</v>
      </c>
      <c r="D5471" s="29">
        <f t="shared" si="499"/>
        <v>6315</v>
      </c>
      <c r="E5471" s="4">
        <v>6</v>
      </c>
      <c r="F5471" s="129">
        <f t="shared" si="497"/>
        <v>97</v>
      </c>
    </row>
    <row r="5472" spans="1:6" x14ac:dyDescent="0.25">
      <c r="A5472" s="140" t="s">
        <v>46</v>
      </c>
      <c r="B5472" s="136">
        <v>44120</v>
      </c>
      <c r="C5472" s="4">
        <v>256</v>
      </c>
      <c r="D5472" s="29">
        <f t="shared" si="499"/>
        <v>7758</v>
      </c>
      <c r="E5472" s="4">
        <v>5</v>
      </c>
      <c r="F5472" s="129">
        <f>E5472+F5448</f>
        <v>96</v>
      </c>
    </row>
    <row r="5473" spans="1:6" ht="15.75" thickBot="1" x14ac:dyDescent="0.3">
      <c r="A5473" s="141" t="s">
        <v>47</v>
      </c>
      <c r="B5473" s="136">
        <v>44120</v>
      </c>
      <c r="C5473" s="4">
        <v>1514</v>
      </c>
      <c r="D5473" s="132">
        <f t="shared" si="499"/>
        <v>33042</v>
      </c>
      <c r="E5473" s="4">
        <v>38</v>
      </c>
      <c r="F5473" s="130">
        <f>E5473+F5449</f>
        <v>454</v>
      </c>
    </row>
    <row r="5474" spans="1:6" x14ac:dyDescent="0.25">
      <c r="A5474" s="61" t="s">
        <v>22</v>
      </c>
      <c r="B5474" s="136">
        <v>44121</v>
      </c>
      <c r="C5474" s="4">
        <v>4419</v>
      </c>
      <c r="D5474" s="144">
        <f t="shared" ref="D5474:D5494" si="500">C5474+D5450</f>
        <v>495841</v>
      </c>
      <c r="E5474" s="4">
        <f>110+87</f>
        <v>197</v>
      </c>
      <c r="F5474" s="128">
        <f t="shared" ref="F5474:F5495" si="501">E5474+F5450</f>
        <v>15817</v>
      </c>
    </row>
    <row r="5475" spans="1:6" x14ac:dyDescent="0.25">
      <c r="A5475" s="61" t="s">
        <v>20</v>
      </c>
      <c r="B5475" s="136">
        <v>44121</v>
      </c>
      <c r="C5475" s="4">
        <v>610</v>
      </c>
      <c r="D5475" s="29">
        <f t="shared" si="500"/>
        <v>139453</v>
      </c>
      <c r="E5475" s="4">
        <f>18+32</f>
        <v>50</v>
      </c>
      <c r="F5475" s="129">
        <f t="shared" si="501"/>
        <v>4212</v>
      </c>
    </row>
    <row r="5476" spans="1:6" x14ac:dyDescent="0.25">
      <c r="A5476" s="61" t="s">
        <v>35</v>
      </c>
      <c r="B5476" s="136">
        <v>44121</v>
      </c>
      <c r="C5476" s="4">
        <v>24</v>
      </c>
      <c r="D5476" s="29">
        <f t="shared" si="500"/>
        <v>453</v>
      </c>
      <c r="F5476" s="129">
        <f t="shared" si="501"/>
        <v>0</v>
      </c>
    </row>
    <row r="5477" spans="1:6" x14ac:dyDescent="0.25">
      <c r="A5477" s="61" t="s">
        <v>21</v>
      </c>
      <c r="B5477" s="136">
        <v>44121</v>
      </c>
      <c r="C5477" s="4">
        <v>167</v>
      </c>
      <c r="D5477" s="29">
        <f t="shared" si="500"/>
        <v>11431</v>
      </c>
      <c r="E5477" s="4">
        <f>2+1</f>
        <v>3</v>
      </c>
      <c r="F5477" s="129">
        <f t="shared" si="501"/>
        <v>356</v>
      </c>
    </row>
    <row r="5478" spans="1:6" x14ac:dyDescent="0.25">
      <c r="A5478" s="61" t="s">
        <v>36</v>
      </c>
      <c r="B5478" s="136">
        <v>44121</v>
      </c>
      <c r="C5478" s="4">
        <v>335</v>
      </c>
      <c r="D5478" s="29">
        <f t="shared" si="500"/>
        <v>8892</v>
      </c>
      <c r="F5478" s="129">
        <f t="shared" si="501"/>
        <v>113</v>
      </c>
    </row>
    <row r="5479" spans="1:6" x14ac:dyDescent="0.25">
      <c r="A5479" s="61" t="s">
        <v>27</v>
      </c>
      <c r="B5479" s="136">
        <v>44121</v>
      </c>
      <c r="C5479" s="4">
        <v>1233</v>
      </c>
      <c r="D5479" s="29">
        <f t="shared" si="500"/>
        <v>61061</v>
      </c>
      <c r="E5479" s="4">
        <v>33</v>
      </c>
      <c r="F5479" s="129">
        <f t="shared" si="501"/>
        <v>823</v>
      </c>
    </row>
    <row r="5480" spans="1:6" x14ac:dyDescent="0.25">
      <c r="A5480" s="61" t="s">
        <v>37</v>
      </c>
      <c r="B5480" s="136">
        <v>44121</v>
      </c>
      <c r="C5480" s="4">
        <v>2</v>
      </c>
      <c r="D5480" s="29">
        <f t="shared" si="500"/>
        <v>1937</v>
      </c>
      <c r="F5480" s="129">
        <f t="shared" si="501"/>
        <v>32</v>
      </c>
    </row>
    <row r="5481" spans="1:6" x14ac:dyDescent="0.25">
      <c r="A5481" s="61" t="s">
        <v>38</v>
      </c>
      <c r="B5481" s="136">
        <v>44121</v>
      </c>
      <c r="C5481" s="4">
        <v>350</v>
      </c>
      <c r="D5481" s="29">
        <f t="shared" si="500"/>
        <v>11155</v>
      </c>
      <c r="E5481" s="4">
        <f>1</f>
        <v>1</v>
      </c>
      <c r="F5481" s="129">
        <f t="shared" si="501"/>
        <v>206</v>
      </c>
    </row>
    <row r="5482" spans="1:6" x14ac:dyDescent="0.25">
      <c r="A5482" s="61" t="s">
        <v>48</v>
      </c>
      <c r="B5482" s="136">
        <v>44121</v>
      </c>
      <c r="C5482" s="4">
        <v>1</v>
      </c>
      <c r="D5482" s="29">
        <f t="shared" si="500"/>
        <v>140</v>
      </c>
      <c r="F5482" s="129">
        <f t="shared" si="501"/>
        <v>1</v>
      </c>
    </row>
    <row r="5483" spans="1:6" x14ac:dyDescent="0.25">
      <c r="A5483" s="61" t="s">
        <v>39</v>
      </c>
      <c r="B5483" s="136">
        <v>44121</v>
      </c>
      <c r="C5483" s="4">
        <v>69</v>
      </c>
      <c r="D5483" s="29">
        <f t="shared" si="500"/>
        <v>17189</v>
      </c>
      <c r="E5483" s="4">
        <f>12+8</f>
        <v>20</v>
      </c>
      <c r="F5483" s="129">
        <f t="shared" si="501"/>
        <v>675</v>
      </c>
    </row>
    <row r="5484" spans="1:6" x14ac:dyDescent="0.25">
      <c r="A5484" s="61" t="s">
        <v>40</v>
      </c>
      <c r="B5484" s="136">
        <v>44121</v>
      </c>
      <c r="C5484" s="4">
        <v>95</v>
      </c>
      <c r="D5484" s="29">
        <f t="shared" si="500"/>
        <v>1531</v>
      </c>
      <c r="F5484" s="129">
        <f t="shared" si="501"/>
        <v>17</v>
      </c>
    </row>
    <row r="5485" spans="1:6" x14ac:dyDescent="0.25">
      <c r="A5485" s="61" t="s">
        <v>28</v>
      </c>
      <c r="B5485" s="136">
        <v>44121</v>
      </c>
      <c r="C5485" s="4">
        <v>55</v>
      </c>
      <c r="D5485" s="29">
        <f t="shared" si="500"/>
        <v>6378</v>
      </c>
      <c r="F5485" s="129">
        <f t="shared" si="501"/>
        <v>202</v>
      </c>
    </row>
    <row r="5486" spans="1:6" x14ac:dyDescent="0.25">
      <c r="A5486" s="61" t="s">
        <v>24</v>
      </c>
      <c r="B5486" s="136">
        <v>44121</v>
      </c>
      <c r="C5486" s="4">
        <v>659</v>
      </c>
      <c r="D5486" s="29">
        <f t="shared" si="500"/>
        <v>36589</v>
      </c>
      <c r="E5486" s="4">
        <f>23+17</f>
        <v>40</v>
      </c>
      <c r="F5486" s="129">
        <f t="shared" si="501"/>
        <v>538</v>
      </c>
    </row>
    <row r="5487" spans="1:6" x14ac:dyDescent="0.25">
      <c r="A5487" s="61" t="s">
        <v>30</v>
      </c>
      <c r="B5487" s="136">
        <v>44121</v>
      </c>
      <c r="C5487" s="4">
        <v>1</v>
      </c>
      <c r="D5487" s="29">
        <f t="shared" si="500"/>
        <v>199</v>
      </c>
      <c r="F5487" s="129">
        <f t="shared" si="501"/>
        <v>4</v>
      </c>
    </row>
    <row r="5488" spans="1:6" x14ac:dyDescent="0.25">
      <c r="A5488" s="61" t="s">
        <v>26</v>
      </c>
      <c r="B5488" s="136">
        <v>44121</v>
      </c>
      <c r="C5488" s="4">
        <v>1005</v>
      </c>
      <c r="D5488" s="29">
        <f t="shared" si="500"/>
        <v>14795</v>
      </c>
      <c r="F5488" s="129">
        <f t="shared" si="501"/>
        <v>218</v>
      </c>
    </row>
    <row r="5489" spans="1:6" x14ac:dyDescent="0.25">
      <c r="A5489" s="61" t="s">
        <v>25</v>
      </c>
      <c r="B5489" s="136">
        <v>44121</v>
      </c>
      <c r="C5489" s="4">
        <v>357</v>
      </c>
      <c r="D5489" s="29">
        <f t="shared" si="500"/>
        <v>18918</v>
      </c>
      <c r="E5489" s="4">
        <f>2</f>
        <v>2</v>
      </c>
      <c r="F5489" s="129">
        <f t="shared" si="501"/>
        <v>403</v>
      </c>
    </row>
    <row r="5490" spans="1:6" x14ac:dyDescent="0.25">
      <c r="A5490" s="61" t="s">
        <v>41</v>
      </c>
      <c r="B5490" s="136">
        <v>44121</v>
      </c>
      <c r="C5490" s="4">
        <v>238</v>
      </c>
      <c r="D5490" s="29">
        <f t="shared" si="500"/>
        <v>16464</v>
      </c>
      <c r="E5490" s="4">
        <f>5+1</f>
        <v>6</v>
      </c>
      <c r="F5490" s="129">
        <f>E5490+F5466</f>
        <v>589</v>
      </c>
    </row>
    <row r="5491" spans="1:6" x14ac:dyDescent="0.25">
      <c r="A5491" s="61" t="s">
        <v>42</v>
      </c>
      <c r="B5491" s="136">
        <v>44121</v>
      </c>
      <c r="C5491" s="4">
        <v>6</v>
      </c>
      <c r="D5491" s="29">
        <f t="shared" si="500"/>
        <v>1291</v>
      </c>
      <c r="F5491" s="129">
        <f>E5491+F5467</f>
        <v>51</v>
      </c>
    </row>
    <row r="5492" spans="1:6" x14ac:dyDescent="0.25">
      <c r="A5492" s="61" t="s">
        <v>43</v>
      </c>
      <c r="B5492" s="136">
        <v>44121</v>
      </c>
      <c r="C5492" s="4">
        <v>201</v>
      </c>
      <c r="D5492" s="29">
        <f t="shared" si="500"/>
        <v>3144</v>
      </c>
      <c r="F5492" s="129">
        <f t="shared" si="501"/>
        <v>35</v>
      </c>
    </row>
    <row r="5493" spans="1:6" x14ac:dyDescent="0.25">
      <c r="A5493" s="61" t="s">
        <v>44</v>
      </c>
      <c r="B5493" s="136">
        <v>44121</v>
      </c>
      <c r="C5493" s="4">
        <v>141</v>
      </c>
      <c r="D5493" s="29">
        <f t="shared" si="500"/>
        <v>7183</v>
      </c>
      <c r="E5493" s="4">
        <f>1</f>
        <v>1</v>
      </c>
      <c r="F5493" s="129">
        <f>E5493+F5469</f>
        <v>97</v>
      </c>
    </row>
    <row r="5494" spans="1:6" x14ac:dyDescent="0.25">
      <c r="A5494" s="61" t="s">
        <v>29</v>
      </c>
      <c r="B5494" s="136">
        <v>44121</v>
      </c>
      <c r="C5494" s="4">
        <v>2199</v>
      </c>
      <c r="D5494" s="29">
        <f t="shared" si="500"/>
        <v>76809</v>
      </c>
      <c r="E5494" s="4">
        <f>11+16</f>
        <v>27</v>
      </c>
      <c r="F5494" s="129">
        <f>E5494+F5470</f>
        <v>848</v>
      </c>
    </row>
    <row r="5495" spans="1:6" x14ac:dyDescent="0.25">
      <c r="A5495" s="61" t="s">
        <v>45</v>
      </c>
      <c r="B5495" s="136">
        <v>44121</v>
      </c>
      <c r="C5495" s="4">
        <v>238</v>
      </c>
      <c r="D5495" s="29">
        <f>C5495+D5471</f>
        <v>6553</v>
      </c>
      <c r="F5495" s="129">
        <f t="shared" si="501"/>
        <v>97</v>
      </c>
    </row>
    <row r="5496" spans="1:6" x14ac:dyDescent="0.25">
      <c r="A5496" s="61" t="s">
        <v>46</v>
      </c>
      <c r="B5496" s="136">
        <v>44121</v>
      </c>
      <c r="C5496" s="4">
        <v>182</v>
      </c>
      <c r="D5496" s="29">
        <f>C5496+D5472</f>
        <v>7940</v>
      </c>
      <c r="E5496" s="4">
        <f>3+1</f>
        <v>4</v>
      </c>
      <c r="F5496" s="129">
        <f>E5496+F5472</f>
        <v>100</v>
      </c>
    </row>
    <row r="5497" spans="1:6" ht="15.75" thickBot="1" x14ac:dyDescent="0.3">
      <c r="A5497" s="86" t="s">
        <v>47</v>
      </c>
      <c r="B5497" s="138">
        <v>44121</v>
      </c>
      <c r="C5497" s="47">
        <v>923</v>
      </c>
      <c r="D5497" s="29">
        <f t="shared" ref="D5497:D5518" si="502">C5497+D5473</f>
        <v>33965</v>
      </c>
      <c r="E5497" s="47"/>
      <c r="F5497" s="139">
        <f>E5497+F5473</f>
        <v>454</v>
      </c>
    </row>
    <row r="5498" spans="1:6" x14ac:dyDescent="0.25">
      <c r="A5498" s="170" t="s">
        <v>22</v>
      </c>
      <c r="B5498" s="171">
        <v>44122</v>
      </c>
      <c r="C5498" s="172">
        <v>2383</v>
      </c>
      <c r="D5498" s="144">
        <f t="shared" si="502"/>
        <v>498224</v>
      </c>
      <c r="E5498" s="172">
        <f>8+7</f>
        <v>15</v>
      </c>
      <c r="F5498" s="173">
        <f t="shared" ref="F5498:F5519" si="503">E5498+F5474</f>
        <v>15832</v>
      </c>
    </row>
    <row r="5499" spans="1:6" x14ac:dyDescent="0.25">
      <c r="A5499" s="174" t="s">
        <v>20</v>
      </c>
      <c r="B5499" s="136">
        <v>44122</v>
      </c>
      <c r="C5499" s="4">
        <v>517</v>
      </c>
      <c r="D5499" s="29">
        <f t="shared" si="502"/>
        <v>139970</v>
      </c>
      <c r="E5499" s="4">
        <f>18+20</f>
        <v>38</v>
      </c>
      <c r="F5499" s="175">
        <f t="shared" si="503"/>
        <v>4250</v>
      </c>
    </row>
    <row r="5500" spans="1:6" x14ac:dyDescent="0.25">
      <c r="A5500" s="174" t="s">
        <v>35</v>
      </c>
      <c r="B5500" s="136">
        <v>44122</v>
      </c>
      <c r="C5500" s="4">
        <v>27</v>
      </c>
      <c r="D5500" s="29">
        <f t="shared" si="502"/>
        <v>480</v>
      </c>
      <c r="F5500" s="175">
        <f t="shared" si="503"/>
        <v>0</v>
      </c>
    </row>
    <row r="5501" spans="1:6" x14ac:dyDescent="0.25">
      <c r="A5501" s="174" t="s">
        <v>21</v>
      </c>
      <c r="B5501" s="136">
        <v>44122</v>
      </c>
      <c r="C5501" s="4">
        <v>232</v>
      </c>
      <c r="D5501" s="29">
        <f t="shared" si="502"/>
        <v>11663</v>
      </c>
      <c r="E5501" s="4">
        <f>1+2</f>
        <v>3</v>
      </c>
      <c r="F5501" s="175">
        <f t="shared" si="503"/>
        <v>359</v>
      </c>
    </row>
    <row r="5502" spans="1:6" x14ac:dyDescent="0.25">
      <c r="A5502" s="174" t="s">
        <v>36</v>
      </c>
      <c r="B5502" s="136">
        <v>44122</v>
      </c>
      <c r="C5502" s="4">
        <v>150</v>
      </c>
      <c r="D5502" s="29">
        <f t="shared" si="502"/>
        <v>9042</v>
      </c>
      <c r="E5502" s="4">
        <f>5+4</f>
        <v>9</v>
      </c>
      <c r="F5502" s="175">
        <f t="shared" si="503"/>
        <v>122</v>
      </c>
    </row>
    <row r="5503" spans="1:6" x14ac:dyDescent="0.25">
      <c r="A5503" s="174" t="s">
        <v>27</v>
      </c>
      <c r="B5503" s="136">
        <v>44122</v>
      </c>
      <c r="C5503" s="4">
        <v>1850</v>
      </c>
      <c r="D5503" s="29">
        <f t="shared" si="502"/>
        <v>62911</v>
      </c>
      <c r="E5503" s="4">
        <f>15+12</f>
        <v>27</v>
      </c>
      <c r="F5503" s="175">
        <f t="shared" si="503"/>
        <v>850</v>
      </c>
    </row>
    <row r="5504" spans="1:6" x14ac:dyDescent="0.25">
      <c r="A5504" s="174" t="s">
        <v>37</v>
      </c>
      <c r="B5504" s="136">
        <v>44122</v>
      </c>
      <c r="C5504" s="4">
        <v>41</v>
      </c>
      <c r="D5504" s="29">
        <f t="shared" si="502"/>
        <v>1978</v>
      </c>
      <c r="F5504" s="175">
        <f t="shared" si="503"/>
        <v>32</v>
      </c>
    </row>
    <row r="5505" spans="1:6" x14ac:dyDescent="0.25">
      <c r="A5505" s="174" t="s">
        <v>38</v>
      </c>
      <c r="B5505" s="136">
        <v>44122</v>
      </c>
      <c r="C5505" s="4">
        <v>279</v>
      </c>
      <c r="D5505" s="29">
        <f t="shared" si="502"/>
        <v>11434</v>
      </c>
      <c r="E5505" s="4">
        <v>1</v>
      </c>
      <c r="F5505" s="175">
        <f t="shared" si="503"/>
        <v>207</v>
      </c>
    </row>
    <row r="5506" spans="1:6" x14ac:dyDescent="0.25">
      <c r="A5506" s="174" t="s">
        <v>48</v>
      </c>
      <c r="B5506" s="136">
        <v>44122</v>
      </c>
      <c r="C5506" s="4">
        <v>-2</v>
      </c>
      <c r="D5506" s="29">
        <f t="shared" si="502"/>
        <v>138</v>
      </c>
      <c r="F5506" s="175">
        <f t="shared" si="503"/>
        <v>1</v>
      </c>
    </row>
    <row r="5507" spans="1:6" x14ac:dyDescent="0.25">
      <c r="A5507" s="174" t="s">
        <v>39</v>
      </c>
      <c r="B5507" s="136">
        <v>44122</v>
      </c>
      <c r="C5507" s="4">
        <v>45</v>
      </c>
      <c r="D5507" s="29">
        <f t="shared" si="502"/>
        <v>17234</v>
      </c>
      <c r="F5507" s="175">
        <f t="shared" si="503"/>
        <v>675</v>
      </c>
    </row>
    <row r="5508" spans="1:6" x14ac:dyDescent="0.25">
      <c r="A5508" s="174" t="s">
        <v>40</v>
      </c>
      <c r="B5508" s="136">
        <v>44122</v>
      </c>
      <c r="C5508" s="4">
        <v>87</v>
      </c>
      <c r="D5508" s="29">
        <f t="shared" si="502"/>
        <v>1618</v>
      </c>
      <c r="F5508" s="175">
        <f t="shared" si="503"/>
        <v>17</v>
      </c>
    </row>
    <row r="5509" spans="1:6" x14ac:dyDescent="0.25">
      <c r="A5509" s="174" t="s">
        <v>28</v>
      </c>
      <c r="B5509" s="136">
        <v>44122</v>
      </c>
      <c r="C5509" s="4">
        <v>181</v>
      </c>
      <c r="D5509" s="29">
        <f t="shared" si="502"/>
        <v>6559</v>
      </c>
      <c r="F5509" s="175">
        <f t="shared" si="503"/>
        <v>202</v>
      </c>
    </row>
    <row r="5510" spans="1:6" x14ac:dyDescent="0.25">
      <c r="A5510" s="174" t="s">
        <v>24</v>
      </c>
      <c r="B5510" s="136">
        <v>44122</v>
      </c>
      <c r="C5510" s="4">
        <v>513</v>
      </c>
      <c r="D5510" s="29">
        <f t="shared" si="502"/>
        <v>37102</v>
      </c>
      <c r="E5510" s="4">
        <f>11+6</f>
        <v>17</v>
      </c>
      <c r="F5510" s="175">
        <f t="shared" si="503"/>
        <v>555</v>
      </c>
    </row>
    <row r="5511" spans="1:6" x14ac:dyDescent="0.25">
      <c r="A5511" s="174" t="s">
        <v>30</v>
      </c>
      <c r="B5511" s="136">
        <v>44122</v>
      </c>
      <c r="C5511" s="4">
        <v>4</v>
      </c>
      <c r="D5511" s="29">
        <f t="shared" si="502"/>
        <v>203</v>
      </c>
      <c r="F5511" s="175">
        <f t="shared" si="503"/>
        <v>4</v>
      </c>
    </row>
    <row r="5512" spans="1:6" x14ac:dyDescent="0.25">
      <c r="A5512" s="174" t="s">
        <v>26</v>
      </c>
      <c r="B5512" s="136">
        <v>44122</v>
      </c>
      <c r="C5512" s="4">
        <v>288</v>
      </c>
      <c r="D5512" s="29">
        <f t="shared" si="502"/>
        <v>15083</v>
      </c>
      <c r="E5512" s="4">
        <f>16+8</f>
        <v>24</v>
      </c>
      <c r="F5512" s="175">
        <f t="shared" si="503"/>
        <v>242</v>
      </c>
    </row>
    <row r="5513" spans="1:6" x14ac:dyDescent="0.25">
      <c r="A5513" s="174" t="s">
        <v>25</v>
      </c>
      <c r="B5513" s="136">
        <v>44122</v>
      </c>
      <c r="C5513" s="4">
        <v>273</v>
      </c>
      <c r="D5513" s="29">
        <f t="shared" si="502"/>
        <v>19191</v>
      </c>
      <c r="E5513" s="4">
        <f>1+4</f>
        <v>5</v>
      </c>
      <c r="F5513" s="175">
        <f t="shared" si="503"/>
        <v>408</v>
      </c>
    </row>
    <row r="5514" spans="1:6" x14ac:dyDescent="0.25">
      <c r="A5514" s="174" t="s">
        <v>41</v>
      </c>
      <c r="B5514" s="136">
        <v>44122</v>
      </c>
      <c r="C5514" s="4">
        <v>168</v>
      </c>
      <c r="D5514" s="29">
        <f t="shared" si="502"/>
        <v>16632</v>
      </c>
      <c r="E5514" s="4">
        <f>14+1</f>
        <v>15</v>
      </c>
      <c r="F5514" s="175">
        <f>E5514+F5490</f>
        <v>604</v>
      </c>
    </row>
    <row r="5515" spans="1:6" x14ac:dyDescent="0.25">
      <c r="A5515" s="174" t="s">
        <v>42</v>
      </c>
      <c r="B5515" s="136">
        <v>44122</v>
      </c>
      <c r="C5515" s="4">
        <v>1</v>
      </c>
      <c r="D5515" s="29">
        <f t="shared" si="502"/>
        <v>1292</v>
      </c>
      <c r="F5515" s="175">
        <f>E5515+F5491</f>
        <v>51</v>
      </c>
    </row>
    <row r="5516" spans="1:6" x14ac:dyDescent="0.25">
      <c r="A5516" s="174" t="s">
        <v>43</v>
      </c>
      <c r="B5516" s="136">
        <v>44122</v>
      </c>
      <c r="C5516" s="4">
        <v>183</v>
      </c>
      <c r="D5516" s="29">
        <f t="shared" si="502"/>
        <v>3327</v>
      </c>
      <c r="E5516" s="4">
        <f>1</f>
        <v>1</v>
      </c>
      <c r="F5516" s="175">
        <f t="shared" si="503"/>
        <v>36</v>
      </c>
    </row>
    <row r="5517" spans="1:6" x14ac:dyDescent="0.25">
      <c r="A5517" s="174" t="s">
        <v>44</v>
      </c>
      <c r="B5517" s="136">
        <v>44122</v>
      </c>
      <c r="C5517" s="4">
        <v>84</v>
      </c>
      <c r="D5517" s="29">
        <f t="shared" si="502"/>
        <v>7267</v>
      </c>
      <c r="E5517" s="4">
        <f>3</f>
        <v>3</v>
      </c>
      <c r="F5517" s="175">
        <f>E5517+F5493</f>
        <v>100</v>
      </c>
    </row>
    <row r="5518" spans="1:6" x14ac:dyDescent="0.25">
      <c r="A5518" s="174" t="s">
        <v>29</v>
      </c>
      <c r="B5518" s="136">
        <v>44122</v>
      </c>
      <c r="C5518" s="4">
        <v>2015</v>
      </c>
      <c r="D5518" s="29">
        <f t="shared" si="502"/>
        <v>78824</v>
      </c>
      <c r="E5518" s="4">
        <f>1</f>
        <v>1</v>
      </c>
      <c r="F5518" s="175">
        <f>E5518+F5494</f>
        <v>849</v>
      </c>
    </row>
    <row r="5519" spans="1:6" x14ac:dyDescent="0.25">
      <c r="A5519" s="174" t="s">
        <v>45</v>
      </c>
      <c r="B5519" s="136">
        <v>44122</v>
      </c>
      <c r="C5519" s="4">
        <v>262</v>
      </c>
      <c r="D5519" s="29">
        <f>C5519+D5495</f>
        <v>6815</v>
      </c>
      <c r="F5519" s="175">
        <f t="shared" si="503"/>
        <v>97</v>
      </c>
    </row>
    <row r="5520" spans="1:6" x14ac:dyDescent="0.25">
      <c r="A5520" s="174" t="s">
        <v>46</v>
      </c>
      <c r="B5520" s="136">
        <v>44122</v>
      </c>
      <c r="C5520" s="4">
        <v>208</v>
      </c>
      <c r="D5520" s="29">
        <f>C5520+D5496</f>
        <v>8148</v>
      </c>
      <c r="E5520" s="4">
        <f>2</f>
        <v>2</v>
      </c>
      <c r="F5520" s="175">
        <f>E5520+F5496</f>
        <v>102</v>
      </c>
    </row>
    <row r="5521" spans="1:6" ht="15.75" thickBot="1" x14ac:dyDescent="0.3">
      <c r="A5521" s="176" t="s">
        <v>47</v>
      </c>
      <c r="B5521" s="177">
        <v>44122</v>
      </c>
      <c r="C5521" s="178">
        <v>772</v>
      </c>
      <c r="D5521" s="29">
        <f t="shared" ref="D5521:D5542" si="504">C5521+D5497</f>
        <v>34737</v>
      </c>
      <c r="E5521" s="178"/>
      <c r="F5521" s="179">
        <f>E5521+F5497</f>
        <v>454</v>
      </c>
    </row>
    <row r="5522" spans="1:6" x14ac:dyDescent="0.25">
      <c r="A5522" s="170" t="s">
        <v>22</v>
      </c>
      <c r="B5522" s="171">
        <v>44123</v>
      </c>
      <c r="C5522" s="172">
        <v>4206</v>
      </c>
      <c r="D5522" s="144">
        <f t="shared" si="504"/>
        <v>502430</v>
      </c>
      <c r="E5522" s="172">
        <v>197</v>
      </c>
      <c r="F5522" s="180">
        <v>16032</v>
      </c>
    </row>
    <row r="5523" spans="1:6" x14ac:dyDescent="0.25">
      <c r="A5523" s="174" t="s">
        <v>20</v>
      </c>
      <c r="B5523" s="136">
        <v>44123</v>
      </c>
      <c r="C5523" s="4">
        <v>557</v>
      </c>
      <c r="D5523" s="29">
        <f t="shared" si="504"/>
        <v>140527</v>
      </c>
      <c r="E5523" s="4">
        <v>47</v>
      </c>
      <c r="F5523" s="181">
        <v>4227</v>
      </c>
    </row>
    <row r="5524" spans="1:6" x14ac:dyDescent="0.25">
      <c r="A5524" s="174" t="s">
        <v>35</v>
      </c>
      <c r="B5524" s="136">
        <v>44123</v>
      </c>
      <c r="C5524" s="4">
        <v>12</v>
      </c>
      <c r="D5524" s="29">
        <f t="shared" si="504"/>
        <v>492</v>
      </c>
      <c r="F5524" s="181">
        <f>E5524+F5500</f>
        <v>0</v>
      </c>
    </row>
    <row r="5525" spans="1:6" x14ac:dyDescent="0.25">
      <c r="A5525" s="174" t="s">
        <v>21</v>
      </c>
      <c r="B5525" s="136">
        <v>44123</v>
      </c>
      <c r="C5525" s="4">
        <v>185</v>
      </c>
      <c r="D5525" s="29">
        <f t="shared" si="504"/>
        <v>11848</v>
      </c>
      <c r="E5525" s="4">
        <v>8</v>
      </c>
      <c r="F5525" s="181">
        <v>373</v>
      </c>
    </row>
    <row r="5526" spans="1:6" x14ac:dyDescent="0.25">
      <c r="A5526" s="174" t="s">
        <v>36</v>
      </c>
      <c r="B5526" s="136">
        <v>44123</v>
      </c>
      <c r="C5526" s="4">
        <v>220</v>
      </c>
      <c r="D5526" s="29">
        <f t="shared" si="504"/>
        <v>9262</v>
      </c>
      <c r="E5526" s="4">
        <v>1</v>
      </c>
      <c r="F5526" s="181">
        <v>185</v>
      </c>
    </row>
    <row r="5527" spans="1:6" x14ac:dyDescent="0.25">
      <c r="A5527" s="174" t="s">
        <v>27</v>
      </c>
      <c r="B5527" s="136">
        <v>44123</v>
      </c>
      <c r="C5527" s="4">
        <v>1668</v>
      </c>
      <c r="D5527" s="29">
        <f t="shared" si="504"/>
        <v>64579</v>
      </c>
      <c r="E5527" s="4">
        <v>44</v>
      </c>
      <c r="F5527" s="181">
        <v>871</v>
      </c>
    </row>
    <row r="5528" spans="1:6" x14ac:dyDescent="0.25">
      <c r="A5528" s="174" t="s">
        <v>37</v>
      </c>
      <c r="B5528" s="136">
        <v>44123</v>
      </c>
      <c r="C5528" s="4">
        <v>122</v>
      </c>
      <c r="D5528" s="29">
        <f t="shared" si="504"/>
        <v>2100</v>
      </c>
      <c r="E5528" s="4">
        <v>3</v>
      </c>
      <c r="F5528" s="181">
        <v>36</v>
      </c>
    </row>
    <row r="5529" spans="1:6" x14ac:dyDescent="0.25">
      <c r="A5529" s="174" t="s">
        <v>38</v>
      </c>
      <c r="B5529" s="136">
        <v>44123</v>
      </c>
      <c r="C5529" s="4">
        <v>258</v>
      </c>
      <c r="D5529" s="29">
        <f t="shared" si="504"/>
        <v>11692</v>
      </c>
      <c r="E5529" s="4">
        <v>5</v>
      </c>
      <c r="F5529" s="181">
        <v>210</v>
      </c>
    </row>
    <row r="5530" spans="1:6" x14ac:dyDescent="0.25">
      <c r="A5530" s="174" t="s">
        <v>48</v>
      </c>
      <c r="B5530" s="136">
        <v>44123</v>
      </c>
      <c r="C5530" s="4">
        <v>6</v>
      </c>
      <c r="D5530" s="29">
        <f t="shared" si="504"/>
        <v>144</v>
      </c>
      <c r="F5530" s="181">
        <f>E5530+F5506</f>
        <v>1</v>
      </c>
    </row>
    <row r="5531" spans="1:6" x14ac:dyDescent="0.25">
      <c r="A5531" s="174" t="s">
        <v>39</v>
      </c>
      <c r="B5531" s="136">
        <v>44123</v>
      </c>
      <c r="C5531" s="4">
        <v>51</v>
      </c>
      <c r="D5531" s="29">
        <f t="shared" si="504"/>
        <v>17285</v>
      </c>
      <c r="E5531" s="4">
        <v>30</v>
      </c>
      <c r="F5531" s="181">
        <v>734</v>
      </c>
    </row>
    <row r="5532" spans="1:6" x14ac:dyDescent="0.25">
      <c r="A5532" s="174" t="s">
        <v>40</v>
      </c>
      <c r="B5532" s="136">
        <v>44123</v>
      </c>
      <c r="C5532" s="4">
        <v>92</v>
      </c>
      <c r="D5532" s="29">
        <f t="shared" si="504"/>
        <v>1710</v>
      </c>
      <c r="F5532" s="181">
        <v>16</v>
      </c>
    </row>
    <row r="5533" spans="1:6" x14ac:dyDescent="0.25">
      <c r="A5533" s="174" t="s">
        <v>28</v>
      </c>
      <c r="B5533" s="136">
        <v>44123</v>
      </c>
      <c r="C5533" s="4">
        <v>65</v>
      </c>
      <c r="D5533" s="29">
        <f t="shared" si="504"/>
        <v>6624</v>
      </c>
      <c r="E5533" s="4">
        <v>3</v>
      </c>
      <c r="F5533" s="181">
        <v>226</v>
      </c>
    </row>
    <row r="5534" spans="1:6" x14ac:dyDescent="0.25">
      <c r="A5534" s="174" t="s">
        <v>24</v>
      </c>
      <c r="B5534" s="136">
        <v>44123</v>
      </c>
      <c r="C5534" s="4">
        <v>744</v>
      </c>
      <c r="D5534" s="29">
        <f t="shared" si="504"/>
        <v>37846</v>
      </c>
      <c r="E5534" s="4">
        <v>28</v>
      </c>
      <c r="F5534" s="181">
        <v>625</v>
      </c>
    </row>
    <row r="5535" spans="1:6" x14ac:dyDescent="0.25">
      <c r="A5535" s="174" t="s">
        <v>30</v>
      </c>
      <c r="B5535" s="136">
        <v>44123</v>
      </c>
      <c r="C5535" s="4">
        <v>-6</v>
      </c>
      <c r="D5535" s="29">
        <f t="shared" si="504"/>
        <v>197</v>
      </c>
      <c r="F5535" s="181">
        <f>E5535+F5511</f>
        <v>4</v>
      </c>
    </row>
    <row r="5536" spans="1:6" x14ac:dyDescent="0.25">
      <c r="A5536" s="174" t="s">
        <v>26</v>
      </c>
      <c r="B5536" s="136">
        <v>44123</v>
      </c>
      <c r="C5536" s="4">
        <v>271</v>
      </c>
      <c r="D5536" s="29">
        <f t="shared" si="504"/>
        <v>15354</v>
      </c>
      <c r="E5536" s="4">
        <v>4</v>
      </c>
      <c r="F5536" s="181">
        <v>282</v>
      </c>
    </row>
    <row r="5537" spans="1:6" x14ac:dyDescent="0.25">
      <c r="A5537" s="174" t="s">
        <v>25</v>
      </c>
      <c r="B5537" s="136">
        <v>44123</v>
      </c>
      <c r="C5537" s="4">
        <v>207</v>
      </c>
      <c r="D5537" s="29">
        <f t="shared" si="504"/>
        <v>19398</v>
      </c>
      <c r="E5537" s="4">
        <v>11</v>
      </c>
      <c r="F5537" s="181">
        <v>505</v>
      </c>
    </row>
    <row r="5538" spans="1:6" x14ac:dyDescent="0.25">
      <c r="A5538" s="174" t="s">
        <v>41</v>
      </c>
      <c r="B5538" s="136">
        <v>44123</v>
      </c>
      <c r="C5538" s="4">
        <v>80</v>
      </c>
      <c r="D5538" s="29">
        <f t="shared" si="504"/>
        <v>16712</v>
      </c>
      <c r="E5538" s="4">
        <v>18</v>
      </c>
      <c r="F5538" s="181">
        <v>632</v>
      </c>
    </row>
    <row r="5539" spans="1:6" x14ac:dyDescent="0.25">
      <c r="A5539" s="174" t="s">
        <v>42</v>
      </c>
      <c r="B5539" s="136">
        <v>44123</v>
      </c>
      <c r="C5539" s="4">
        <v>10</v>
      </c>
      <c r="D5539" s="29">
        <f t="shared" si="504"/>
        <v>1302</v>
      </c>
      <c r="E5539" s="4">
        <v>2</v>
      </c>
      <c r="F5539" s="181">
        <v>75</v>
      </c>
    </row>
    <row r="5540" spans="1:6" x14ac:dyDescent="0.25">
      <c r="A5540" s="174" t="s">
        <v>43</v>
      </c>
      <c r="B5540" s="136">
        <v>44123</v>
      </c>
      <c r="C5540" s="4">
        <v>277</v>
      </c>
      <c r="D5540" s="29">
        <f t="shared" si="504"/>
        <v>3604</v>
      </c>
      <c r="F5540" s="181">
        <v>51</v>
      </c>
    </row>
    <row r="5541" spans="1:6" x14ac:dyDescent="0.25">
      <c r="A5541" s="174" t="s">
        <v>44</v>
      </c>
      <c r="B5541" s="136">
        <v>44123</v>
      </c>
      <c r="C5541" s="4">
        <v>138</v>
      </c>
      <c r="D5541" s="29">
        <f t="shared" si="504"/>
        <v>7405</v>
      </c>
      <c r="E5541" s="4">
        <v>1</v>
      </c>
      <c r="F5541" s="181">
        <v>99</v>
      </c>
    </row>
    <row r="5542" spans="1:6" x14ac:dyDescent="0.25">
      <c r="A5542" s="174" t="s">
        <v>29</v>
      </c>
      <c r="B5542" s="136">
        <v>44123</v>
      </c>
      <c r="C5542" s="4">
        <v>2050</v>
      </c>
      <c r="D5542" s="29">
        <f t="shared" si="504"/>
        <v>80874</v>
      </c>
      <c r="E5542" s="4">
        <v>28</v>
      </c>
      <c r="F5542" s="181">
        <v>857</v>
      </c>
    </row>
    <row r="5543" spans="1:6" x14ac:dyDescent="0.25">
      <c r="A5543" s="174" t="s">
        <v>45</v>
      </c>
      <c r="B5543" s="136">
        <v>44123</v>
      </c>
      <c r="C5543" s="4">
        <v>145</v>
      </c>
      <c r="D5543" s="29">
        <f>C5543+D5519</f>
        <v>6960</v>
      </c>
      <c r="E5543" s="4">
        <v>1</v>
      </c>
      <c r="F5543" s="181">
        <v>100</v>
      </c>
    </row>
    <row r="5544" spans="1:6" x14ac:dyDescent="0.25">
      <c r="A5544" s="174" t="s">
        <v>46</v>
      </c>
      <c r="B5544" s="136">
        <v>44123</v>
      </c>
      <c r="C5544" s="4">
        <v>238</v>
      </c>
      <c r="D5544" s="29">
        <f>C5544+D5520</f>
        <v>8386</v>
      </c>
      <c r="F5544" s="181">
        <f>E5544+F5520</f>
        <v>102</v>
      </c>
    </row>
    <row r="5545" spans="1:6" ht="15.75" thickBot="1" x14ac:dyDescent="0.3">
      <c r="A5545" s="190" t="s">
        <v>47</v>
      </c>
      <c r="B5545" s="138">
        <v>44123</v>
      </c>
      <c r="C5545" s="47">
        <v>1386</v>
      </c>
      <c r="D5545" s="29">
        <f t="shared" ref="D5545:D5566" si="505">C5545+D5521</f>
        <v>36123</v>
      </c>
      <c r="E5545" s="47">
        <v>17</v>
      </c>
      <c r="F5545" s="181">
        <v>473</v>
      </c>
    </row>
    <row r="5546" spans="1:6" x14ac:dyDescent="0.25">
      <c r="A5546" s="64" t="s">
        <v>22</v>
      </c>
      <c r="B5546" s="49">
        <v>44124</v>
      </c>
      <c r="C5546" s="50">
        <v>4981</v>
      </c>
      <c r="D5546" s="144">
        <f t="shared" si="505"/>
        <v>507411</v>
      </c>
      <c r="E5546" s="50">
        <f>83+60</f>
        <v>143</v>
      </c>
      <c r="F5546" s="128">
        <f t="shared" ref="F5546:F5609" si="506">E5546+F5522</f>
        <v>16175</v>
      </c>
    </row>
    <row r="5547" spans="1:6" x14ac:dyDescent="0.25">
      <c r="A5547" s="140" t="s">
        <v>20</v>
      </c>
      <c r="B5547" s="26">
        <v>44124</v>
      </c>
      <c r="C5547" s="4">
        <v>663</v>
      </c>
      <c r="D5547" s="29">
        <f t="shared" si="505"/>
        <v>141190</v>
      </c>
      <c r="E5547" s="4">
        <f>19+34+1</f>
        <v>54</v>
      </c>
      <c r="F5547" s="129">
        <f t="shared" si="506"/>
        <v>4281</v>
      </c>
    </row>
    <row r="5548" spans="1:6" x14ac:dyDescent="0.25">
      <c r="A5548" s="140" t="s">
        <v>35</v>
      </c>
      <c r="B5548" s="26">
        <v>44124</v>
      </c>
      <c r="C5548" s="4">
        <v>8</v>
      </c>
      <c r="D5548" s="29">
        <f t="shared" si="505"/>
        <v>500</v>
      </c>
      <c r="F5548" s="129">
        <f t="shared" si="506"/>
        <v>0</v>
      </c>
    </row>
    <row r="5549" spans="1:6" x14ac:dyDescent="0.25">
      <c r="A5549" s="140" t="s">
        <v>21</v>
      </c>
      <c r="B5549" s="26">
        <v>44124</v>
      </c>
      <c r="C5549" s="4">
        <v>193</v>
      </c>
      <c r="D5549" s="29">
        <f t="shared" si="505"/>
        <v>12041</v>
      </c>
      <c r="E5549" s="4">
        <f>3+2</f>
        <v>5</v>
      </c>
      <c r="F5549" s="129">
        <f t="shared" si="506"/>
        <v>378</v>
      </c>
    </row>
    <row r="5550" spans="1:6" x14ac:dyDescent="0.25">
      <c r="A5550" s="140" t="s">
        <v>36</v>
      </c>
      <c r="B5550" s="26">
        <v>44124</v>
      </c>
      <c r="C5550" s="4">
        <v>465</v>
      </c>
      <c r="D5550" s="29">
        <f t="shared" si="505"/>
        <v>9727</v>
      </c>
      <c r="E5550" s="4">
        <f>5+2</f>
        <v>7</v>
      </c>
      <c r="F5550" s="129">
        <f t="shared" si="506"/>
        <v>192</v>
      </c>
    </row>
    <row r="5551" spans="1:6" x14ac:dyDescent="0.25">
      <c r="A5551" s="140" t="s">
        <v>27</v>
      </c>
      <c r="B5551" s="26">
        <v>44124</v>
      </c>
      <c r="C5551" s="4">
        <v>1708</v>
      </c>
      <c r="D5551" s="29">
        <f t="shared" si="505"/>
        <v>66287</v>
      </c>
      <c r="E5551" s="4">
        <f>31+21</f>
        <v>52</v>
      </c>
      <c r="F5551" s="129">
        <f t="shared" si="506"/>
        <v>923</v>
      </c>
    </row>
    <row r="5552" spans="1:6" x14ac:dyDescent="0.25">
      <c r="A5552" s="140" t="s">
        <v>37</v>
      </c>
      <c r="B5552" s="26">
        <v>44124</v>
      </c>
      <c r="C5552" s="4">
        <v>34</v>
      </c>
      <c r="D5552" s="29">
        <f t="shared" si="505"/>
        <v>2134</v>
      </c>
      <c r="F5552" s="129">
        <f t="shared" si="506"/>
        <v>36</v>
      </c>
    </row>
    <row r="5553" spans="1:6" x14ac:dyDescent="0.25">
      <c r="A5553" s="140" t="s">
        <v>38</v>
      </c>
      <c r="B5553" s="26">
        <v>44124</v>
      </c>
      <c r="C5553" s="4">
        <v>402</v>
      </c>
      <c r="D5553" s="29">
        <f t="shared" si="505"/>
        <v>12094</v>
      </c>
      <c r="E5553" s="4">
        <f>2+3</f>
        <v>5</v>
      </c>
      <c r="F5553" s="129">
        <f t="shared" si="506"/>
        <v>215</v>
      </c>
    </row>
    <row r="5554" spans="1:6" x14ac:dyDescent="0.25">
      <c r="A5554" s="140" t="s">
        <v>48</v>
      </c>
      <c r="B5554" s="26">
        <v>44124</v>
      </c>
      <c r="C5554" s="4">
        <v>-4</v>
      </c>
      <c r="D5554" s="29">
        <f t="shared" si="505"/>
        <v>140</v>
      </c>
      <c r="F5554" s="129">
        <f t="shared" si="506"/>
        <v>1</v>
      </c>
    </row>
    <row r="5555" spans="1:6" x14ac:dyDescent="0.25">
      <c r="A5555" s="140" t="s">
        <v>39</v>
      </c>
      <c r="B5555" s="26">
        <v>44124</v>
      </c>
      <c r="C5555" s="4">
        <v>59</v>
      </c>
      <c r="D5555" s="29">
        <f t="shared" si="505"/>
        <v>17344</v>
      </c>
      <c r="E5555" s="4">
        <f>2+2</f>
        <v>4</v>
      </c>
      <c r="F5555" s="129">
        <f t="shared" si="506"/>
        <v>738</v>
      </c>
    </row>
    <row r="5556" spans="1:6" x14ac:dyDescent="0.25">
      <c r="A5556" s="140" t="s">
        <v>40</v>
      </c>
      <c r="B5556" s="26">
        <v>44124</v>
      </c>
      <c r="C5556" s="4">
        <v>98</v>
      </c>
      <c r="D5556" s="29">
        <f t="shared" si="505"/>
        <v>1808</v>
      </c>
      <c r="E5556" s="4">
        <f>1+1</f>
        <v>2</v>
      </c>
      <c r="F5556" s="129">
        <f t="shared" si="506"/>
        <v>18</v>
      </c>
    </row>
    <row r="5557" spans="1:6" x14ac:dyDescent="0.25">
      <c r="A5557" s="140" t="s">
        <v>28</v>
      </c>
      <c r="B5557" s="26">
        <v>44124</v>
      </c>
      <c r="C5557" s="4">
        <v>41</v>
      </c>
      <c r="D5557" s="29">
        <f t="shared" si="505"/>
        <v>6665</v>
      </c>
      <c r="E5557" s="4">
        <f>1+1</f>
        <v>2</v>
      </c>
      <c r="F5557" s="129">
        <f t="shared" si="506"/>
        <v>228</v>
      </c>
    </row>
    <row r="5558" spans="1:6" x14ac:dyDescent="0.25">
      <c r="A5558" s="140" t="s">
        <v>24</v>
      </c>
      <c r="B5558" s="26">
        <v>44124</v>
      </c>
      <c r="C5558" s="4">
        <v>968</v>
      </c>
      <c r="D5558" s="29">
        <f t="shared" si="505"/>
        <v>38814</v>
      </c>
      <c r="E5558" s="4">
        <f>7+2</f>
        <v>9</v>
      </c>
      <c r="F5558" s="129">
        <f t="shared" si="506"/>
        <v>634</v>
      </c>
    </row>
    <row r="5559" spans="1:6" x14ac:dyDescent="0.25">
      <c r="A5559" s="140" t="s">
        <v>30</v>
      </c>
      <c r="B5559" s="26">
        <v>44124</v>
      </c>
      <c r="C5559" s="4">
        <v>-2</v>
      </c>
      <c r="D5559" s="29">
        <f t="shared" si="505"/>
        <v>195</v>
      </c>
      <c r="F5559" s="129">
        <f t="shared" si="506"/>
        <v>4</v>
      </c>
    </row>
    <row r="5560" spans="1:6" x14ac:dyDescent="0.25">
      <c r="A5560" s="140" t="s">
        <v>26</v>
      </c>
      <c r="B5560" s="26">
        <v>44124</v>
      </c>
      <c r="C5560" s="4">
        <v>1305</v>
      </c>
      <c r="D5560" s="29">
        <f t="shared" si="505"/>
        <v>16659</v>
      </c>
      <c r="E5560" s="4">
        <f>5+2</f>
        <v>7</v>
      </c>
      <c r="F5560" s="129">
        <f t="shared" si="506"/>
        <v>289</v>
      </c>
    </row>
    <row r="5561" spans="1:6" x14ac:dyDescent="0.25">
      <c r="A5561" s="140" t="s">
        <v>25</v>
      </c>
      <c r="B5561" s="26">
        <v>44124</v>
      </c>
      <c r="C5561" s="4">
        <v>393</v>
      </c>
      <c r="D5561" s="29">
        <f t="shared" si="505"/>
        <v>19791</v>
      </c>
      <c r="E5561" s="4">
        <f>1+1</f>
        <v>2</v>
      </c>
      <c r="F5561" s="129">
        <f t="shared" si="506"/>
        <v>507</v>
      </c>
    </row>
    <row r="5562" spans="1:6" x14ac:dyDescent="0.25">
      <c r="A5562" s="140" t="s">
        <v>41</v>
      </c>
      <c r="B5562" s="26">
        <v>44124</v>
      </c>
      <c r="C5562" s="4">
        <v>201</v>
      </c>
      <c r="D5562" s="29">
        <f t="shared" si="505"/>
        <v>16913</v>
      </c>
      <c r="E5562" s="4">
        <v>7</v>
      </c>
      <c r="F5562" s="129">
        <f t="shared" si="506"/>
        <v>639</v>
      </c>
    </row>
    <row r="5563" spans="1:6" x14ac:dyDescent="0.25">
      <c r="A5563" s="140" t="s">
        <v>42</v>
      </c>
      <c r="B5563" s="26">
        <v>44124</v>
      </c>
      <c r="C5563" s="4">
        <v>5</v>
      </c>
      <c r="D5563" s="29">
        <f t="shared" si="505"/>
        <v>1307</v>
      </c>
      <c r="E5563" s="4">
        <f>1</f>
        <v>1</v>
      </c>
      <c r="F5563" s="129">
        <f t="shared" si="506"/>
        <v>76</v>
      </c>
    </row>
    <row r="5564" spans="1:6" x14ac:dyDescent="0.25">
      <c r="A5564" s="140" t="s">
        <v>43</v>
      </c>
      <c r="B5564" s="26">
        <v>44124</v>
      </c>
      <c r="C5564" s="4">
        <v>266</v>
      </c>
      <c r="D5564" s="29">
        <f t="shared" si="505"/>
        <v>3870</v>
      </c>
      <c r="F5564" s="129">
        <f t="shared" si="506"/>
        <v>51</v>
      </c>
    </row>
    <row r="5565" spans="1:6" x14ac:dyDescent="0.25">
      <c r="A5565" s="140" t="s">
        <v>44</v>
      </c>
      <c r="B5565" s="26">
        <v>44124</v>
      </c>
      <c r="C5565" s="4">
        <v>158</v>
      </c>
      <c r="D5565" s="29">
        <f t="shared" si="505"/>
        <v>7563</v>
      </c>
      <c r="E5565" s="4">
        <v>3</v>
      </c>
      <c r="F5565" s="129">
        <f t="shared" si="506"/>
        <v>102</v>
      </c>
    </row>
    <row r="5566" spans="1:6" x14ac:dyDescent="0.25">
      <c r="A5566" s="140" t="s">
        <v>29</v>
      </c>
      <c r="B5566" s="26">
        <v>44124</v>
      </c>
      <c r="C5566" s="4">
        <v>2575</v>
      </c>
      <c r="D5566" s="29">
        <f t="shared" si="505"/>
        <v>83449</v>
      </c>
      <c r="E5566" s="4">
        <f>33+27</f>
        <v>60</v>
      </c>
      <c r="F5566" s="129">
        <f t="shared" si="506"/>
        <v>917</v>
      </c>
    </row>
    <row r="5567" spans="1:6" x14ac:dyDescent="0.25">
      <c r="A5567" s="140" t="s">
        <v>45</v>
      </c>
      <c r="B5567" s="26">
        <v>44124</v>
      </c>
      <c r="C5567" s="4">
        <v>104</v>
      </c>
      <c r="D5567" s="29">
        <f>C5567+D5543</f>
        <v>7064</v>
      </c>
      <c r="E5567" s="4">
        <f>2+1</f>
        <v>3</v>
      </c>
      <c r="F5567" s="129">
        <f t="shared" si="506"/>
        <v>103</v>
      </c>
    </row>
    <row r="5568" spans="1:6" x14ac:dyDescent="0.25">
      <c r="A5568" s="140" t="s">
        <v>46</v>
      </c>
      <c r="B5568" s="26">
        <v>44124</v>
      </c>
      <c r="C5568" s="4">
        <v>295</v>
      </c>
      <c r="D5568" s="29">
        <f>C5568+D5544</f>
        <v>8681</v>
      </c>
      <c r="E5568" s="4">
        <f>1</f>
        <v>1</v>
      </c>
      <c r="F5568" s="129">
        <f t="shared" si="506"/>
        <v>103</v>
      </c>
    </row>
    <row r="5569" spans="1:6" ht="15.75" thickBot="1" x14ac:dyDescent="0.3">
      <c r="A5569" s="142" t="s">
        <v>47</v>
      </c>
      <c r="B5569" s="46">
        <v>44124</v>
      </c>
      <c r="C5569" s="47">
        <v>1421</v>
      </c>
      <c r="D5569" s="29">
        <f t="shared" ref="D5569:D5590" si="507">C5569+D5545</f>
        <v>37544</v>
      </c>
      <c r="E5569" s="47">
        <f>9+6</f>
        <v>15</v>
      </c>
      <c r="F5569" s="139">
        <f t="shared" si="506"/>
        <v>488</v>
      </c>
    </row>
    <row r="5570" spans="1:6" x14ac:dyDescent="0.25">
      <c r="A5570" s="64" t="s">
        <v>22</v>
      </c>
      <c r="B5570" s="49">
        <v>44125</v>
      </c>
      <c r="C5570" s="50">
        <v>5179</v>
      </c>
      <c r="D5570" s="144">
        <f t="shared" si="507"/>
        <v>512590</v>
      </c>
      <c r="E5570" s="50">
        <f>52+54</f>
        <v>106</v>
      </c>
      <c r="F5570" s="128">
        <f t="shared" si="506"/>
        <v>16281</v>
      </c>
    </row>
    <row r="5571" spans="1:6" x14ac:dyDescent="0.25">
      <c r="A5571" s="140" t="s">
        <v>20</v>
      </c>
      <c r="B5571" s="26">
        <v>44125</v>
      </c>
      <c r="C5571" s="4">
        <v>740</v>
      </c>
      <c r="D5571" s="29">
        <f t="shared" si="507"/>
        <v>141930</v>
      </c>
      <c r="E5571" s="4">
        <f>30+22</f>
        <v>52</v>
      </c>
      <c r="F5571" s="129">
        <f t="shared" si="506"/>
        <v>4333</v>
      </c>
    </row>
    <row r="5572" spans="1:6" x14ac:dyDescent="0.25">
      <c r="A5572" s="140" t="s">
        <v>35</v>
      </c>
      <c r="B5572" s="26">
        <v>44125</v>
      </c>
      <c r="C5572" s="4">
        <v>25</v>
      </c>
      <c r="D5572" s="29">
        <f t="shared" si="507"/>
        <v>525</v>
      </c>
      <c r="F5572" s="129">
        <f t="shared" si="506"/>
        <v>0</v>
      </c>
    </row>
    <row r="5573" spans="1:6" x14ac:dyDescent="0.25">
      <c r="A5573" s="140" t="s">
        <v>21</v>
      </c>
      <c r="B5573" s="26">
        <v>44125</v>
      </c>
      <c r="C5573" s="4">
        <v>255</v>
      </c>
      <c r="D5573" s="29">
        <f t="shared" si="507"/>
        <v>12296</v>
      </c>
      <c r="E5573" s="4">
        <f>2+2</f>
        <v>4</v>
      </c>
      <c r="F5573" s="129">
        <f t="shared" si="506"/>
        <v>382</v>
      </c>
    </row>
    <row r="5574" spans="1:6" x14ac:dyDescent="0.25">
      <c r="A5574" s="140" t="s">
        <v>36</v>
      </c>
      <c r="B5574" s="26">
        <v>44125</v>
      </c>
      <c r="C5574" s="4">
        <v>531</v>
      </c>
      <c r="D5574" s="29">
        <f t="shared" si="507"/>
        <v>10258</v>
      </c>
      <c r="E5574" s="4">
        <f>2</f>
        <v>2</v>
      </c>
      <c r="F5574" s="129">
        <f t="shared" si="506"/>
        <v>194</v>
      </c>
    </row>
    <row r="5575" spans="1:6" x14ac:dyDescent="0.25">
      <c r="A5575" s="140" t="s">
        <v>27</v>
      </c>
      <c r="B5575" s="26">
        <v>44125</v>
      </c>
      <c r="C5575" s="4">
        <v>2480</v>
      </c>
      <c r="D5575" s="29">
        <f t="shared" si="507"/>
        <v>68767</v>
      </c>
      <c r="E5575" s="4">
        <f>29+26</f>
        <v>55</v>
      </c>
      <c r="F5575" s="129">
        <f t="shared" si="506"/>
        <v>978</v>
      </c>
    </row>
    <row r="5576" spans="1:6" x14ac:dyDescent="0.25">
      <c r="A5576" s="140" t="s">
        <v>37</v>
      </c>
      <c r="B5576" s="26">
        <v>44125</v>
      </c>
      <c r="C5576" s="4">
        <v>20</v>
      </c>
      <c r="D5576" s="29">
        <f t="shared" si="507"/>
        <v>2154</v>
      </c>
      <c r="F5576" s="129">
        <f t="shared" si="506"/>
        <v>36</v>
      </c>
    </row>
    <row r="5577" spans="1:6" x14ac:dyDescent="0.25">
      <c r="A5577" s="140" t="s">
        <v>38</v>
      </c>
      <c r="B5577" s="26">
        <v>44125</v>
      </c>
      <c r="C5577" s="4">
        <v>467</v>
      </c>
      <c r="D5577" s="29">
        <f t="shared" si="507"/>
        <v>12561</v>
      </c>
      <c r="E5577" s="4">
        <f>1+2</f>
        <v>3</v>
      </c>
      <c r="F5577" s="129">
        <f t="shared" si="506"/>
        <v>218</v>
      </c>
    </row>
    <row r="5578" spans="1:6" x14ac:dyDescent="0.25">
      <c r="A5578" s="140" t="s">
        <v>48</v>
      </c>
      <c r="B5578" s="26">
        <v>44125</v>
      </c>
      <c r="C5578" s="4">
        <v>7</v>
      </c>
      <c r="D5578" s="29">
        <f t="shared" si="507"/>
        <v>147</v>
      </c>
      <c r="F5578" s="129">
        <f t="shared" si="506"/>
        <v>1</v>
      </c>
    </row>
    <row r="5579" spans="1:6" x14ac:dyDescent="0.25">
      <c r="A5579" s="140" t="s">
        <v>39</v>
      </c>
      <c r="B5579" s="26">
        <v>44125</v>
      </c>
      <c r="C5579" s="4">
        <v>68</v>
      </c>
      <c r="D5579" s="29">
        <f t="shared" si="507"/>
        <v>17412</v>
      </c>
      <c r="E5579" s="4">
        <f>2+1</f>
        <v>3</v>
      </c>
      <c r="F5579" s="129">
        <f t="shared" si="506"/>
        <v>741</v>
      </c>
    </row>
    <row r="5580" spans="1:6" x14ac:dyDescent="0.25">
      <c r="A5580" s="140" t="s">
        <v>40</v>
      </c>
      <c r="B5580" s="26">
        <v>44125</v>
      </c>
      <c r="C5580" s="4">
        <v>161</v>
      </c>
      <c r="D5580" s="29">
        <f t="shared" si="507"/>
        <v>1969</v>
      </c>
      <c r="E5580" s="4">
        <f>2</f>
        <v>2</v>
      </c>
      <c r="F5580" s="129">
        <f t="shared" si="506"/>
        <v>20</v>
      </c>
    </row>
    <row r="5581" spans="1:6" x14ac:dyDescent="0.25">
      <c r="A5581" s="140" t="s">
        <v>28</v>
      </c>
      <c r="B5581" s="26">
        <v>44125</v>
      </c>
      <c r="C5581" s="4">
        <v>134</v>
      </c>
      <c r="D5581" s="29">
        <f t="shared" si="507"/>
        <v>6799</v>
      </c>
      <c r="E5581" s="4">
        <f>6</f>
        <v>6</v>
      </c>
      <c r="F5581" s="129">
        <f t="shared" si="506"/>
        <v>234</v>
      </c>
    </row>
    <row r="5582" spans="1:6" x14ac:dyDescent="0.25">
      <c r="A5582" s="140" t="s">
        <v>24</v>
      </c>
      <c r="B5582" s="26">
        <v>44125</v>
      </c>
      <c r="C5582" s="4">
        <v>1155</v>
      </c>
      <c r="D5582" s="29">
        <f t="shared" si="507"/>
        <v>39969</v>
      </c>
      <c r="E5582" s="4">
        <f>14+7</f>
        <v>21</v>
      </c>
      <c r="F5582" s="129">
        <f t="shared" si="506"/>
        <v>655</v>
      </c>
    </row>
    <row r="5583" spans="1:6" x14ac:dyDescent="0.25">
      <c r="A5583" s="140" t="s">
        <v>30</v>
      </c>
      <c r="B5583" s="26">
        <v>44125</v>
      </c>
      <c r="C5583" s="4">
        <v>3</v>
      </c>
      <c r="D5583" s="29">
        <f t="shared" si="507"/>
        <v>198</v>
      </c>
      <c r="F5583" s="129">
        <f t="shared" si="506"/>
        <v>4</v>
      </c>
    </row>
    <row r="5584" spans="1:6" x14ac:dyDescent="0.25">
      <c r="A5584" s="140" t="s">
        <v>26</v>
      </c>
      <c r="B5584" s="26">
        <v>44125</v>
      </c>
      <c r="C5584" s="4">
        <v>976</v>
      </c>
      <c r="D5584" s="29">
        <f t="shared" si="507"/>
        <v>17635</v>
      </c>
      <c r="E5584" s="4">
        <f>21+7</f>
        <v>28</v>
      </c>
      <c r="F5584" s="129">
        <f t="shared" si="506"/>
        <v>317</v>
      </c>
    </row>
    <row r="5585" spans="1:6" x14ac:dyDescent="0.25">
      <c r="A5585" s="140" t="s">
        <v>25</v>
      </c>
      <c r="B5585" s="26">
        <v>44125</v>
      </c>
      <c r="C5585" s="4">
        <v>536</v>
      </c>
      <c r="D5585" s="29">
        <f t="shared" si="507"/>
        <v>20327</v>
      </c>
      <c r="E5585" s="4">
        <f>7+5</f>
        <v>12</v>
      </c>
      <c r="F5585" s="129">
        <f t="shared" si="506"/>
        <v>519</v>
      </c>
    </row>
    <row r="5586" spans="1:6" x14ac:dyDescent="0.25">
      <c r="A5586" s="140" t="s">
        <v>41</v>
      </c>
      <c r="B5586" s="26">
        <v>44125</v>
      </c>
      <c r="C5586" s="4">
        <v>254</v>
      </c>
      <c r="D5586" s="29">
        <f t="shared" si="507"/>
        <v>17167</v>
      </c>
      <c r="E5586" s="4">
        <f>7+6</f>
        <v>13</v>
      </c>
      <c r="F5586" s="129">
        <f t="shared" si="506"/>
        <v>652</v>
      </c>
    </row>
    <row r="5587" spans="1:6" x14ac:dyDescent="0.25">
      <c r="A5587" s="140" t="s">
        <v>42</v>
      </c>
      <c r="B5587" s="26">
        <v>44125</v>
      </c>
      <c r="C5587" s="4">
        <v>8</v>
      </c>
      <c r="D5587" s="29">
        <f t="shared" si="507"/>
        <v>1315</v>
      </c>
      <c r="F5587" s="129">
        <f t="shared" si="506"/>
        <v>76</v>
      </c>
    </row>
    <row r="5588" spans="1:6" x14ac:dyDescent="0.25">
      <c r="A5588" s="140" t="s">
        <v>43</v>
      </c>
      <c r="B5588" s="26">
        <v>44125</v>
      </c>
      <c r="C5588" s="4">
        <v>507</v>
      </c>
      <c r="D5588" s="29">
        <f t="shared" si="507"/>
        <v>4377</v>
      </c>
      <c r="F5588" s="129">
        <f t="shared" si="506"/>
        <v>51</v>
      </c>
    </row>
    <row r="5589" spans="1:6" x14ac:dyDescent="0.25">
      <c r="A5589" s="140" t="s">
        <v>44</v>
      </c>
      <c r="B5589" s="26">
        <v>44125</v>
      </c>
      <c r="C5589" s="4">
        <v>197</v>
      </c>
      <c r="D5589" s="29">
        <f t="shared" si="507"/>
        <v>7760</v>
      </c>
      <c r="E5589" s="4">
        <f>1</f>
        <v>1</v>
      </c>
      <c r="F5589" s="129">
        <f t="shared" si="506"/>
        <v>103</v>
      </c>
    </row>
    <row r="5590" spans="1:6" x14ac:dyDescent="0.25">
      <c r="A5590" s="140" t="s">
        <v>29</v>
      </c>
      <c r="B5590" s="26">
        <v>44125</v>
      </c>
      <c r="C5590" s="4">
        <v>2673</v>
      </c>
      <c r="D5590" s="29">
        <f t="shared" si="507"/>
        <v>86122</v>
      </c>
      <c r="E5590" s="4">
        <f>29+23</f>
        <v>52</v>
      </c>
      <c r="F5590" s="129">
        <f t="shared" si="506"/>
        <v>969</v>
      </c>
    </row>
    <row r="5591" spans="1:6" x14ac:dyDescent="0.25">
      <c r="A5591" s="140" t="s">
        <v>45</v>
      </c>
      <c r="B5591" s="26">
        <v>44125</v>
      </c>
      <c r="C5591" s="4">
        <v>185</v>
      </c>
      <c r="D5591" s="29">
        <f>C5591+D5567</f>
        <v>7249</v>
      </c>
      <c r="E5591" s="4">
        <f>1</f>
        <v>1</v>
      </c>
      <c r="F5591" s="129">
        <f t="shared" si="506"/>
        <v>104</v>
      </c>
    </row>
    <row r="5592" spans="1:6" x14ac:dyDescent="0.25">
      <c r="A5592" s="140" t="s">
        <v>46</v>
      </c>
      <c r="B5592" s="26">
        <v>44125</v>
      </c>
      <c r="C5592" s="4">
        <v>205</v>
      </c>
      <c r="D5592" s="29">
        <f>C5592+D5568</f>
        <v>8886</v>
      </c>
      <c r="E5592" s="4">
        <f>4</f>
        <v>4</v>
      </c>
      <c r="F5592" s="129">
        <f t="shared" si="506"/>
        <v>107</v>
      </c>
    </row>
    <row r="5593" spans="1:6" ht="15.75" thickBot="1" x14ac:dyDescent="0.3">
      <c r="A5593" s="141" t="s">
        <v>47</v>
      </c>
      <c r="B5593" s="53">
        <v>44125</v>
      </c>
      <c r="C5593" s="54">
        <v>1560</v>
      </c>
      <c r="D5593" s="29">
        <f t="shared" ref="D5593:D5614" si="508">C5593+D5569</f>
        <v>39104</v>
      </c>
      <c r="E5593" s="54">
        <f>38+20</f>
        <v>58</v>
      </c>
      <c r="F5593" s="139">
        <f t="shared" si="506"/>
        <v>546</v>
      </c>
    </row>
    <row r="5594" spans="1:6" ht="15.75" thickBot="1" x14ac:dyDescent="0.3">
      <c r="A5594" s="64" t="s">
        <v>22</v>
      </c>
      <c r="B5594" s="49">
        <v>44126</v>
      </c>
      <c r="C5594" s="50">
        <v>4854</v>
      </c>
      <c r="D5594" s="144">
        <f t="shared" si="508"/>
        <v>517444</v>
      </c>
      <c r="E5594" s="50">
        <f>106+86</f>
        <v>192</v>
      </c>
      <c r="F5594" s="128">
        <f t="shared" si="506"/>
        <v>16473</v>
      </c>
    </row>
    <row r="5595" spans="1:6" ht="15.75" thickBot="1" x14ac:dyDescent="0.3">
      <c r="A5595" s="140" t="s">
        <v>20</v>
      </c>
      <c r="B5595" s="49">
        <v>44126</v>
      </c>
      <c r="C5595" s="4">
        <v>566</v>
      </c>
      <c r="D5595" s="29">
        <f t="shared" si="508"/>
        <v>142496</v>
      </c>
      <c r="E5595" s="4">
        <f>31+21</f>
        <v>52</v>
      </c>
      <c r="F5595" s="129">
        <f t="shared" si="506"/>
        <v>4385</v>
      </c>
    </row>
    <row r="5596" spans="1:6" ht="15.75" thickBot="1" x14ac:dyDescent="0.3">
      <c r="A5596" s="140" t="s">
        <v>35</v>
      </c>
      <c r="B5596" s="49">
        <v>44126</v>
      </c>
      <c r="C5596" s="4">
        <v>27</v>
      </c>
      <c r="D5596" s="29">
        <f t="shared" si="508"/>
        <v>552</v>
      </c>
      <c r="F5596" s="129">
        <f t="shared" si="506"/>
        <v>0</v>
      </c>
    </row>
    <row r="5597" spans="1:6" ht="15.75" thickBot="1" x14ac:dyDescent="0.3">
      <c r="A5597" s="140" t="s">
        <v>21</v>
      </c>
      <c r="B5597" s="49">
        <v>44126</v>
      </c>
      <c r="C5597" s="4">
        <v>254</v>
      </c>
      <c r="D5597" s="29">
        <f t="shared" si="508"/>
        <v>12550</v>
      </c>
      <c r="E5597" s="4">
        <f>5+2</f>
        <v>7</v>
      </c>
      <c r="F5597" s="129">
        <f t="shared" si="506"/>
        <v>389</v>
      </c>
    </row>
    <row r="5598" spans="1:6" ht="15.75" thickBot="1" x14ac:dyDescent="0.3">
      <c r="A5598" s="140" t="s">
        <v>36</v>
      </c>
      <c r="B5598" s="49">
        <v>44126</v>
      </c>
      <c r="C5598" s="4">
        <v>670</v>
      </c>
      <c r="D5598" s="29">
        <f t="shared" si="508"/>
        <v>10928</v>
      </c>
      <c r="E5598" s="4">
        <f>2+2</f>
        <v>4</v>
      </c>
      <c r="F5598" s="129">
        <f t="shared" si="506"/>
        <v>198</v>
      </c>
    </row>
    <row r="5599" spans="1:6" ht="15.75" thickBot="1" x14ac:dyDescent="0.3">
      <c r="A5599" s="140" t="s">
        <v>27</v>
      </c>
      <c r="B5599" s="49">
        <v>44126</v>
      </c>
      <c r="C5599" s="4">
        <v>1857</v>
      </c>
      <c r="D5599" s="29">
        <f t="shared" si="508"/>
        <v>70624</v>
      </c>
      <c r="E5599" s="4">
        <f>21+8</f>
        <v>29</v>
      </c>
      <c r="F5599" s="129">
        <f t="shared" si="506"/>
        <v>1007</v>
      </c>
    </row>
    <row r="5600" spans="1:6" ht="15.75" thickBot="1" x14ac:dyDescent="0.3">
      <c r="A5600" s="140" t="s">
        <v>37</v>
      </c>
      <c r="B5600" s="49">
        <v>44126</v>
      </c>
      <c r="C5600" s="4">
        <v>34</v>
      </c>
      <c r="D5600" s="29">
        <f t="shared" si="508"/>
        <v>2188</v>
      </c>
      <c r="F5600" s="129">
        <f t="shared" si="506"/>
        <v>36</v>
      </c>
    </row>
    <row r="5601" spans="1:6" ht="15.75" thickBot="1" x14ac:dyDescent="0.3">
      <c r="A5601" s="140" t="s">
        <v>38</v>
      </c>
      <c r="B5601" s="49">
        <v>44126</v>
      </c>
      <c r="C5601" s="4">
        <v>393</v>
      </c>
      <c r="D5601" s="29">
        <f t="shared" si="508"/>
        <v>12954</v>
      </c>
      <c r="E5601" s="4">
        <f>2+2</f>
        <v>4</v>
      </c>
      <c r="F5601" s="129">
        <f t="shared" si="506"/>
        <v>222</v>
      </c>
    </row>
    <row r="5602" spans="1:6" ht="15.75" thickBot="1" x14ac:dyDescent="0.3">
      <c r="A5602" s="140" t="s">
        <v>48</v>
      </c>
      <c r="B5602" s="49">
        <v>44126</v>
      </c>
      <c r="C5602" s="4">
        <v>-7</v>
      </c>
      <c r="D5602" s="29">
        <f t="shared" si="508"/>
        <v>140</v>
      </c>
      <c r="F5602" s="129">
        <f t="shared" si="506"/>
        <v>1</v>
      </c>
    </row>
    <row r="5603" spans="1:6" ht="15.75" thickBot="1" x14ac:dyDescent="0.3">
      <c r="A5603" s="140" t="s">
        <v>39</v>
      </c>
      <c r="B5603" s="49">
        <v>44126</v>
      </c>
      <c r="C5603" s="4">
        <v>59</v>
      </c>
      <c r="D5603" s="29">
        <f t="shared" si="508"/>
        <v>17471</v>
      </c>
      <c r="E5603" s="4">
        <f>5+1</f>
        <v>6</v>
      </c>
      <c r="F5603" s="129">
        <f t="shared" si="506"/>
        <v>747</v>
      </c>
    </row>
    <row r="5604" spans="1:6" ht="15.75" thickBot="1" x14ac:dyDescent="0.3">
      <c r="A5604" s="140" t="s">
        <v>40</v>
      </c>
      <c r="B5604" s="49">
        <v>44126</v>
      </c>
      <c r="C5604" s="4">
        <v>161</v>
      </c>
      <c r="D5604" s="29">
        <f t="shared" si="508"/>
        <v>2130</v>
      </c>
      <c r="E5604" s="4">
        <f>3</f>
        <v>3</v>
      </c>
      <c r="F5604" s="129">
        <f t="shared" si="506"/>
        <v>23</v>
      </c>
    </row>
    <row r="5605" spans="1:6" ht="15.75" thickBot="1" x14ac:dyDescent="0.3">
      <c r="A5605" s="140" t="s">
        <v>28</v>
      </c>
      <c r="B5605" s="49">
        <v>44126</v>
      </c>
      <c r="C5605" s="4">
        <v>62</v>
      </c>
      <c r="D5605" s="29">
        <f t="shared" si="508"/>
        <v>6861</v>
      </c>
      <c r="F5605" s="129">
        <f t="shared" si="506"/>
        <v>234</v>
      </c>
    </row>
    <row r="5606" spans="1:6" ht="15.75" thickBot="1" x14ac:dyDescent="0.3">
      <c r="A5606" s="140" t="s">
        <v>24</v>
      </c>
      <c r="B5606" s="49">
        <v>44126</v>
      </c>
      <c r="C5606" s="4">
        <v>936</v>
      </c>
      <c r="D5606" s="29">
        <f t="shared" si="508"/>
        <v>40905</v>
      </c>
      <c r="E5606" s="4">
        <f>11+6</f>
        <v>17</v>
      </c>
      <c r="F5606" s="129">
        <f t="shared" si="506"/>
        <v>672</v>
      </c>
    </row>
    <row r="5607" spans="1:6" ht="15.75" thickBot="1" x14ac:dyDescent="0.3">
      <c r="A5607" s="140" t="s">
        <v>30</v>
      </c>
      <c r="B5607" s="49">
        <v>44126</v>
      </c>
      <c r="C5607" s="4">
        <v>9</v>
      </c>
      <c r="D5607" s="29">
        <f t="shared" si="508"/>
        <v>207</v>
      </c>
      <c r="F5607" s="129">
        <f t="shared" si="506"/>
        <v>4</v>
      </c>
    </row>
    <row r="5608" spans="1:6" ht="15.75" thickBot="1" x14ac:dyDescent="0.3">
      <c r="A5608" s="140" t="s">
        <v>26</v>
      </c>
      <c r="B5608" s="49">
        <v>44126</v>
      </c>
      <c r="C5608" s="4">
        <v>567</v>
      </c>
      <c r="D5608" s="29">
        <f t="shared" si="508"/>
        <v>18202</v>
      </c>
      <c r="E5608" s="4">
        <f>1</f>
        <v>1</v>
      </c>
      <c r="F5608" s="129">
        <f t="shared" si="506"/>
        <v>318</v>
      </c>
    </row>
    <row r="5609" spans="1:6" ht="15.75" thickBot="1" x14ac:dyDescent="0.3">
      <c r="A5609" s="140" t="s">
        <v>25</v>
      </c>
      <c r="B5609" s="49">
        <v>44126</v>
      </c>
      <c r="C5609" s="4">
        <v>511</v>
      </c>
      <c r="D5609" s="29">
        <f t="shared" si="508"/>
        <v>20838</v>
      </c>
      <c r="E5609" s="4">
        <f>6+3</f>
        <v>9</v>
      </c>
      <c r="F5609" s="129">
        <f t="shared" si="506"/>
        <v>528</v>
      </c>
    </row>
    <row r="5610" spans="1:6" ht="15.75" thickBot="1" x14ac:dyDescent="0.3">
      <c r="A5610" s="140" t="s">
        <v>41</v>
      </c>
      <c r="B5610" s="49">
        <v>44126</v>
      </c>
      <c r="C5610" s="4">
        <v>287</v>
      </c>
      <c r="D5610" s="29">
        <f t="shared" si="508"/>
        <v>17454</v>
      </c>
      <c r="E5610" s="4">
        <f>14+4</f>
        <v>18</v>
      </c>
      <c r="F5610" s="129">
        <f t="shared" ref="F5610:F5673" si="509">E5610+F5586</f>
        <v>670</v>
      </c>
    </row>
    <row r="5611" spans="1:6" ht="15.75" thickBot="1" x14ac:dyDescent="0.3">
      <c r="A5611" s="140" t="s">
        <v>42</v>
      </c>
      <c r="B5611" s="49">
        <v>44126</v>
      </c>
      <c r="C5611" s="4">
        <v>7</v>
      </c>
      <c r="D5611" s="29">
        <f t="shared" si="508"/>
        <v>1322</v>
      </c>
      <c r="F5611" s="129">
        <f t="shared" si="509"/>
        <v>76</v>
      </c>
    </row>
    <row r="5612" spans="1:6" ht="15.75" thickBot="1" x14ac:dyDescent="0.3">
      <c r="A5612" s="140" t="s">
        <v>43</v>
      </c>
      <c r="B5612" s="49">
        <v>44126</v>
      </c>
      <c r="C5612" s="4">
        <v>369</v>
      </c>
      <c r="D5612" s="29">
        <f t="shared" si="508"/>
        <v>4746</v>
      </c>
      <c r="E5612" s="4">
        <f>1</f>
        <v>1</v>
      </c>
      <c r="F5612" s="129">
        <f t="shared" si="509"/>
        <v>52</v>
      </c>
    </row>
    <row r="5613" spans="1:6" ht="15.75" thickBot="1" x14ac:dyDescent="0.3">
      <c r="A5613" s="140" t="s">
        <v>44</v>
      </c>
      <c r="B5613" s="49">
        <v>44126</v>
      </c>
      <c r="C5613" s="4">
        <v>195</v>
      </c>
      <c r="D5613" s="29">
        <f t="shared" si="508"/>
        <v>7955</v>
      </c>
      <c r="E5613" s="4">
        <f>3+2</f>
        <v>5</v>
      </c>
      <c r="F5613" s="129">
        <f t="shared" si="509"/>
        <v>108</v>
      </c>
    </row>
    <row r="5614" spans="1:6" ht="15.75" thickBot="1" x14ac:dyDescent="0.3">
      <c r="A5614" s="140" t="s">
        <v>29</v>
      </c>
      <c r="B5614" s="49">
        <v>44126</v>
      </c>
      <c r="C5614" s="4">
        <v>2536</v>
      </c>
      <c r="D5614" s="29">
        <f t="shared" si="508"/>
        <v>88658</v>
      </c>
      <c r="E5614" s="4">
        <f>21+17</f>
        <v>38</v>
      </c>
      <c r="F5614" s="129">
        <f t="shared" si="509"/>
        <v>1007</v>
      </c>
    </row>
    <row r="5615" spans="1:6" ht="15.75" thickBot="1" x14ac:dyDescent="0.3">
      <c r="A5615" s="140" t="s">
        <v>45</v>
      </c>
      <c r="B5615" s="49">
        <v>44126</v>
      </c>
      <c r="C5615" s="4">
        <v>247</v>
      </c>
      <c r="D5615" s="29">
        <f>C5615+D5591</f>
        <v>7496</v>
      </c>
      <c r="E5615" s="4">
        <f>2</f>
        <v>2</v>
      </c>
      <c r="F5615" s="129">
        <f t="shared" si="509"/>
        <v>106</v>
      </c>
    </row>
    <row r="5616" spans="1:6" ht="15.75" thickBot="1" x14ac:dyDescent="0.3">
      <c r="A5616" s="140" t="s">
        <v>46</v>
      </c>
      <c r="B5616" s="49">
        <v>44126</v>
      </c>
      <c r="C5616" s="4">
        <v>254</v>
      </c>
      <c r="D5616" s="29">
        <f>C5616+D5592</f>
        <v>9140</v>
      </c>
      <c r="E5616" s="4">
        <f>4+1</f>
        <v>5</v>
      </c>
      <c r="F5616" s="129">
        <f t="shared" si="509"/>
        <v>112</v>
      </c>
    </row>
    <row r="5617" spans="1:6" ht="15.75" thickBot="1" x14ac:dyDescent="0.3">
      <c r="A5617" s="141" t="s">
        <v>47</v>
      </c>
      <c r="B5617" s="49">
        <v>44126</v>
      </c>
      <c r="C5617" s="54">
        <v>1477</v>
      </c>
      <c r="D5617" s="29">
        <f t="shared" ref="D5617:D5638" si="510">C5617+D5593</f>
        <v>40581</v>
      </c>
      <c r="E5617" s="54">
        <f>26+15</f>
        <v>41</v>
      </c>
      <c r="F5617" s="139">
        <f t="shared" si="509"/>
        <v>587</v>
      </c>
    </row>
    <row r="5618" spans="1:6" ht="15.75" thickBot="1" x14ac:dyDescent="0.3">
      <c r="A5618" s="64" t="s">
        <v>22</v>
      </c>
      <c r="B5618" s="49">
        <v>44127</v>
      </c>
      <c r="C5618" s="4">
        <v>4649</v>
      </c>
      <c r="D5618" s="144">
        <f t="shared" si="510"/>
        <v>522093</v>
      </c>
      <c r="E5618" s="4">
        <f>83+56</f>
        <v>139</v>
      </c>
      <c r="F5618" s="128">
        <f t="shared" si="509"/>
        <v>16612</v>
      </c>
    </row>
    <row r="5619" spans="1:6" ht="15.75" thickBot="1" x14ac:dyDescent="0.3">
      <c r="A5619" s="140" t="s">
        <v>20</v>
      </c>
      <c r="B5619" s="49">
        <v>44127</v>
      </c>
      <c r="C5619" s="4">
        <v>585</v>
      </c>
      <c r="D5619" s="29">
        <f t="shared" si="510"/>
        <v>143081</v>
      </c>
      <c r="E5619" s="4">
        <f>1+28+24</f>
        <v>53</v>
      </c>
      <c r="F5619" s="129">
        <f t="shared" si="509"/>
        <v>4438</v>
      </c>
    </row>
    <row r="5620" spans="1:6" ht="15.75" thickBot="1" x14ac:dyDescent="0.3">
      <c r="A5620" s="140" t="s">
        <v>35</v>
      </c>
      <c r="B5620" s="49">
        <v>44127</v>
      </c>
      <c r="C5620" s="4">
        <v>11</v>
      </c>
      <c r="D5620" s="29">
        <f t="shared" si="510"/>
        <v>563</v>
      </c>
      <c r="F5620" s="129">
        <f t="shared" si="509"/>
        <v>0</v>
      </c>
    </row>
    <row r="5621" spans="1:6" ht="15.75" thickBot="1" x14ac:dyDescent="0.3">
      <c r="A5621" s="140" t="s">
        <v>21</v>
      </c>
      <c r="B5621" s="49">
        <v>44127</v>
      </c>
      <c r="C5621" s="4">
        <v>231</v>
      </c>
      <c r="D5621" s="29">
        <f t="shared" si="510"/>
        <v>12781</v>
      </c>
      <c r="E5621" s="4">
        <f>4+1</f>
        <v>5</v>
      </c>
      <c r="F5621" s="129">
        <f t="shared" si="509"/>
        <v>394</v>
      </c>
    </row>
    <row r="5622" spans="1:6" ht="15.75" thickBot="1" x14ac:dyDescent="0.3">
      <c r="A5622" s="140" t="s">
        <v>36</v>
      </c>
      <c r="B5622" s="49">
        <v>44127</v>
      </c>
      <c r="C5622" s="4">
        <v>673</v>
      </c>
      <c r="D5622" s="29">
        <f t="shared" si="510"/>
        <v>11601</v>
      </c>
      <c r="E5622" s="4">
        <f>5+3</f>
        <v>8</v>
      </c>
      <c r="F5622" s="129">
        <f t="shared" si="509"/>
        <v>206</v>
      </c>
    </row>
    <row r="5623" spans="1:6" ht="15.75" thickBot="1" x14ac:dyDescent="0.3">
      <c r="A5623" s="140" t="s">
        <v>27</v>
      </c>
      <c r="B5623" s="49">
        <v>44127</v>
      </c>
      <c r="C5623" s="4">
        <v>2134</v>
      </c>
      <c r="D5623" s="29">
        <f t="shared" si="510"/>
        <v>72758</v>
      </c>
      <c r="E5623" s="4">
        <f>26+13</f>
        <v>39</v>
      </c>
      <c r="F5623" s="129">
        <f t="shared" si="509"/>
        <v>1046</v>
      </c>
    </row>
    <row r="5624" spans="1:6" ht="15.75" thickBot="1" x14ac:dyDescent="0.3">
      <c r="A5624" s="140" t="s">
        <v>37</v>
      </c>
      <c r="B5624" s="49">
        <v>44127</v>
      </c>
      <c r="C5624" s="4">
        <v>12</v>
      </c>
      <c r="D5624" s="29">
        <f t="shared" si="510"/>
        <v>2200</v>
      </c>
      <c r="E5624" s="4">
        <f>2+2</f>
        <v>4</v>
      </c>
      <c r="F5624" s="129">
        <f t="shared" si="509"/>
        <v>40</v>
      </c>
    </row>
    <row r="5625" spans="1:6" ht="15.75" thickBot="1" x14ac:dyDescent="0.3">
      <c r="A5625" s="140" t="s">
        <v>38</v>
      </c>
      <c r="B5625" s="49">
        <v>44127</v>
      </c>
      <c r="C5625" s="4">
        <v>475</v>
      </c>
      <c r="D5625" s="29">
        <f t="shared" si="510"/>
        <v>13429</v>
      </c>
      <c r="E5625" s="4">
        <f>3+2</f>
        <v>5</v>
      </c>
      <c r="F5625" s="129">
        <f t="shared" si="509"/>
        <v>227</v>
      </c>
    </row>
    <row r="5626" spans="1:6" ht="15.75" thickBot="1" x14ac:dyDescent="0.3">
      <c r="A5626" s="140" t="s">
        <v>48</v>
      </c>
      <c r="B5626" s="49">
        <v>44127</v>
      </c>
      <c r="C5626" s="4">
        <v>2</v>
      </c>
      <c r="D5626" s="29">
        <f t="shared" si="510"/>
        <v>142</v>
      </c>
      <c r="F5626" s="129">
        <f t="shared" si="509"/>
        <v>1</v>
      </c>
    </row>
    <row r="5627" spans="1:6" ht="15.75" thickBot="1" x14ac:dyDescent="0.3">
      <c r="A5627" s="140" t="s">
        <v>39</v>
      </c>
      <c r="B5627" s="49">
        <v>44127</v>
      </c>
      <c r="C5627" s="4">
        <v>46</v>
      </c>
      <c r="D5627" s="29">
        <f t="shared" si="510"/>
        <v>17517</v>
      </c>
      <c r="E5627" s="4">
        <f>15+6</f>
        <v>21</v>
      </c>
      <c r="F5627" s="129">
        <f t="shared" si="509"/>
        <v>768</v>
      </c>
    </row>
    <row r="5628" spans="1:6" ht="15.75" thickBot="1" x14ac:dyDescent="0.3">
      <c r="A5628" s="140" t="s">
        <v>40</v>
      </c>
      <c r="B5628" s="49">
        <v>44127</v>
      </c>
      <c r="C5628" s="4">
        <v>129</v>
      </c>
      <c r="D5628" s="29">
        <f t="shared" si="510"/>
        <v>2259</v>
      </c>
      <c r="E5628" s="4">
        <f>2</f>
        <v>2</v>
      </c>
      <c r="F5628" s="129">
        <f t="shared" si="509"/>
        <v>25</v>
      </c>
    </row>
    <row r="5629" spans="1:6" ht="15.75" thickBot="1" x14ac:dyDescent="0.3">
      <c r="A5629" s="140" t="s">
        <v>28</v>
      </c>
      <c r="B5629" s="49">
        <v>44127</v>
      </c>
      <c r="C5629" s="4">
        <v>109</v>
      </c>
      <c r="D5629" s="29">
        <f t="shared" si="510"/>
        <v>6970</v>
      </c>
      <c r="E5629" s="4">
        <f>5</f>
        <v>5</v>
      </c>
      <c r="F5629" s="129">
        <f t="shared" si="509"/>
        <v>239</v>
      </c>
    </row>
    <row r="5630" spans="1:6" ht="15.75" thickBot="1" x14ac:dyDescent="0.3">
      <c r="A5630" s="140" t="s">
        <v>24</v>
      </c>
      <c r="B5630" s="49">
        <v>44127</v>
      </c>
      <c r="C5630" s="4">
        <v>830</v>
      </c>
      <c r="D5630" s="29">
        <f t="shared" si="510"/>
        <v>41735</v>
      </c>
      <c r="E5630" s="4">
        <f>7+4</f>
        <v>11</v>
      </c>
      <c r="F5630" s="129">
        <f t="shared" si="509"/>
        <v>683</v>
      </c>
    </row>
    <row r="5631" spans="1:6" ht="15.75" thickBot="1" x14ac:dyDescent="0.3">
      <c r="A5631" s="140" t="s">
        <v>30</v>
      </c>
      <c r="B5631" s="49">
        <v>44127</v>
      </c>
      <c r="C5631" s="4">
        <v>2</v>
      </c>
      <c r="D5631" s="29">
        <f t="shared" si="510"/>
        <v>209</v>
      </c>
      <c r="F5631" s="129">
        <f t="shared" si="509"/>
        <v>4</v>
      </c>
    </row>
    <row r="5632" spans="1:6" ht="15.75" thickBot="1" x14ac:dyDescent="0.3">
      <c r="A5632" s="140" t="s">
        <v>26</v>
      </c>
      <c r="B5632" s="49">
        <v>44127</v>
      </c>
      <c r="C5632" s="4">
        <v>411</v>
      </c>
      <c r="D5632" s="29">
        <f t="shared" si="510"/>
        <v>18613</v>
      </c>
      <c r="E5632" s="4">
        <f>10+7</f>
        <v>17</v>
      </c>
      <c r="F5632" s="129">
        <f t="shared" si="509"/>
        <v>335</v>
      </c>
    </row>
    <row r="5633" spans="1:6" ht="15.75" thickBot="1" x14ac:dyDescent="0.3">
      <c r="A5633" s="140" t="s">
        <v>25</v>
      </c>
      <c r="B5633" s="49">
        <v>44127</v>
      </c>
      <c r="C5633" s="4">
        <v>417</v>
      </c>
      <c r="D5633" s="29">
        <f t="shared" si="510"/>
        <v>21255</v>
      </c>
      <c r="E5633" s="4">
        <f>4+7</f>
        <v>11</v>
      </c>
      <c r="F5633" s="129">
        <f t="shared" si="509"/>
        <v>539</v>
      </c>
    </row>
    <row r="5634" spans="1:6" ht="15.75" thickBot="1" x14ac:dyDescent="0.3">
      <c r="A5634" s="140" t="s">
        <v>41</v>
      </c>
      <c r="B5634" s="49">
        <v>44127</v>
      </c>
      <c r="C5634" s="4">
        <v>238</v>
      </c>
      <c r="D5634" s="29">
        <f t="shared" si="510"/>
        <v>17692</v>
      </c>
      <c r="E5634" s="4">
        <f>12+1</f>
        <v>13</v>
      </c>
      <c r="F5634" s="129">
        <f t="shared" si="509"/>
        <v>683</v>
      </c>
    </row>
    <row r="5635" spans="1:6" ht="15.75" thickBot="1" x14ac:dyDescent="0.3">
      <c r="A5635" s="140" t="s">
        <v>42</v>
      </c>
      <c r="B5635" s="49">
        <v>44127</v>
      </c>
      <c r="C5635" s="4">
        <v>52</v>
      </c>
      <c r="D5635" s="29">
        <f t="shared" si="510"/>
        <v>1374</v>
      </c>
      <c r="F5635" s="129">
        <f t="shared" si="509"/>
        <v>76</v>
      </c>
    </row>
    <row r="5636" spans="1:6" ht="15.75" thickBot="1" x14ac:dyDescent="0.3">
      <c r="A5636" s="140" t="s">
        <v>43</v>
      </c>
      <c r="B5636" s="49">
        <v>44127</v>
      </c>
      <c r="C5636" s="4">
        <v>316</v>
      </c>
      <c r="D5636" s="29">
        <f t="shared" si="510"/>
        <v>5062</v>
      </c>
      <c r="F5636" s="129">
        <f t="shared" si="509"/>
        <v>52</v>
      </c>
    </row>
    <row r="5637" spans="1:6" ht="15.75" thickBot="1" x14ac:dyDescent="0.3">
      <c r="A5637" s="140" t="s">
        <v>44</v>
      </c>
      <c r="B5637" s="49">
        <v>44127</v>
      </c>
      <c r="C5637" s="4">
        <v>200</v>
      </c>
      <c r="D5637" s="29">
        <f t="shared" si="510"/>
        <v>8155</v>
      </c>
      <c r="E5637" s="4">
        <f>4+1</f>
        <v>5</v>
      </c>
      <c r="F5637" s="129">
        <f t="shared" si="509"/>
        <v>113</v>
      </c>
    </row>
    <row r="5638" spans="1:6" ht="15.75" thickBot="1" x14ac:dyDescent="0.3">
      <c r="A5638" s="140" t="s">
        <v>29</v>
      </c>
      <c r="B5638" s="49">
        <v>44127</v>
      </c>
      <c r="C5638" s="4">
        <v>2517</v>
      </c>
      <c r="D5638" s="29">
        <f t="shared" si="510"/>
        <v>91175</v>
      </c>
      <c r="E5638" s="4">
        <f>16+11</f>
        <v>27</v>
      </c>
      <c r="F5638" s="129">
        <f t="shared" si="509"/>
        <v>1034</v>
      </c>
    </row>
    <row r="5639" spans="1:6" ht="15.75" thickBot="1" x14ac:dyDescent="0.3">
      <c r="A5639" s="140" t="s">
        <v>45</v>
      </c>
      <c r="B5639" s="49">
        <v>44127</v>
      </c>
      <c r="C5639" s="4">
        <v>316</v>
      </c>
      <c r="D5639" s="29">
        <f>C5639+D5615</f>
        <v>7812</v>
      </c>
      <c r="F5639" s="129">
        <f t="shared" si="509"/>
        <v>106</v>
      </c>
    </row>
    <row r="5640" spans="1:6" ht="15.75" thickBot="1" x14ac:dyDescent="0.3">
      <c r="A5640" s="140" t="s">
        <v>46</v>
      </c>
      <c r="B5640" s="49">
        <v>44127</v>
      </c>
      <c r="C5640" s="4">
        <v>331</v>
      </c>
      <c r="D5640" s="29">
        <f>C5640+D5616</f>
        <v>9471</v>
      </c>
      <c r="E5640" s="4">
        <f>3+4</f>
        <v>7</v>
      </c>
      <c r="F5640" s="129">
        <f t="shared" si="509"/>
        <v>119</v>
      </c>
    </row>
    <row r="5641" spans="1:6" ht="15.75" thickBot="1" x14ac:dyDescent="0.3">
      <c r="A5641" s="141" t="s">
        <v>47</v>
      </c>
      <c r="B5641" s="49">
        <v>44127</v>
      </c>
      <c r="C5641" s="4">
        <v>1032</v>
      </c>
      <c r="D5641" s="29">
        <f t="shared" ref="D5641:D5662" si="511">C5641+D5617</f>
        <v>41613</v>
      </c>
      <c r="E5641" s="4">
        <f>4+6</f>
        <v>10</v>
      </c>
      <c r="F5641" s="139">
        <f t="shared" si="509"/>
        <v>597</v>
      </c>
    </row>
    <row r="5642" spans="1:6" ht="15.75" thickBot="1" x14ac:dyDescent="0.3">
      <c r="A5642" s="64" t="s">
        <v>22</v>
      </c>
      <c r="B5642" s="49">
        <v>44128</v>
      </c>
      <c r="C5642" s="4">
        <v>3030</v>
      </c>
      <c r="D5642" s="144">
        <f t="shared" si="511"/>
        <v>525123</v>
      </c>
      <c r="E5642" s="4">
        <f>55+41</f>
        <v>96</v>
      </c>
      <c r="F5642" s="128">
        <f t="shared" si="509"/>
        <v>16708</v>
      </c>
    </row>
    <row r="5643" spans="1:6" ht="15.75" thickBot="1" x14ac:dyDescent="0.3">
      <c r="A5643" s="140" t="s">
        <v>20</v>
      </c>
      <c r="B5643" s="49">
        <v>44128</v>
      </c>
      <c r="C5643" s="4">
        <v>464</v>
      </c>
      <c r="D5643" s="29">
        <f t="shared" si="511"/>
        <v>143545</v>
      </c>
      <c r="E5643" s="4">
        <f>1+17+23</f>
        <v>41</v>
      </c>
      <c r="F5643" s="129">
        <f t="shared" si="509"/>
        <v>4479</v>
      </c>
    </row>
    <row r="5644" spans="1:6" ht="15.75" thickBot="1" x14ac:dyDescent="0.3">
      <c r="A5644" s="140" t="s">
        <v>35</v>
      </c>
      <c r="B5644" s="49">
        <v>44128</v>
      </c>
      <c r="C5644" s="4">
        <v>33</v>
      </c>
      <c r="D5644" s="29">
        <f t="shared" si="511"/>
        <v>596</v>
      </c>
      <c r="F5644" s="129">
        <f t="shared" si="509"/>
        <v>0</v>
      </c>
    </row>
    <row r="5645" spans="1:6" ht="15.75" thickBot="1" x14ac:dyDescent="0.3">
      <c r="A5645" s="140" t="s">
        <v>21</v>
      </c>
      <c r="B5645" s="49">
        <v>44128</v>
      </c>
      <c r="C5645" s="4">
        <v>147</v>
      </c>
      <c r="D5645" s="29">
        <f t="shared" si="511"/>
        <v>12928</v>
      </c>
      <c r="E5645" s="4">
        <f>5+1</f>
        <v>6</v>
      </c>
      <c r="F5645" s="129">
        <f t="shared" si="509"/>
        <v>400</v>
      </c>
    </row>
    <row r="5646" spans="1:6" ht="15.75" thickBot="1" x14ac:dyDescent="0.3">
      <c r="A5646" s="140" t="s">
        <v>36</v>
      </c>
      <c r="B5646" s="49">
        <v>44128</v>
      </c>
      <c r="C5646" s="4">
        <v>351</v>
      </c>
      <c r="D5646" s="29">
        <f t="shared" si="511"/>
        <v>11952</v>
      </c>
      <c r="E5646" s="4">
        <f>3+2</f>
        <v>5</v>
      </c>
      <c r="F5646" s="129">
        <f t="shared" si="509"/>
        <v>211</v>
      </c>
    </row>
    <row r="5647" spans="1:6" ht="15.75" thickBot="1" x14ac:dyDescent="0.3">
      <c r="A5647" s="140" t="s">
        <v>27</v>
      </c>
      <c r="B5647" s="49">
        <v>44128</v>
      </c>
      <c r="C5647" s="4">
        <v>1847</v>
      </c>
      <c r="D5647" s="29">
        <f t="shared" si="511"/>
        <v>74605</v>
      </c>
      <c r="E5647" s="4">
        <f>17+13</f>
        <v>30</v>
      </c>
      <c r="F5647" s="129">
        <f t="shared" si="509"/>
        <v>1076</v>
      </c>
    </row>
    <row r="5648" spans="1:6" ht="15.75" thickBot="1" x14ac:dyDescent="0.3">
      <c r="A5648" s="140" t="s">
        <v>37</v>
      </c>
      <c r="B5648" s="49">
        <v>44128</v>
      </c>
      <c r="C5648" s="4">
        <v>45</v>
      </c>
      <c r="D5648" s="29">
        <f t="shared" si="511"/>
        <v>2245</v>
      </c>
      <c r="F5648" s="129">
        <f t="shared" si="509"/>
        <v>40</v>
      </c>
    </row>
    <row r="5649" spans="1:6" ht="15.75" thickBot="1" x14ac:dyDescent="0.3">
      <c r="A5649" s="140" t="s">
        <v>38</v>
      </c>
      <c r="B5649" s="49">
        <v>44128</v>
      </c>
      <c r="C5649" s="4">
        <v>309</v>
      </c>
      <c r="D5649" s="29">
        <f t="shared" si="511"/>
        <v>13738</v>
      </c>
      <c r="E5649" s="4">
        <f>1+1</f>
        <v>2</v>
      </c>
      <c r="F5649" s="129">
        <f t="shared" si="509"/>
        <v>229</v>
      </c>
    </row>
    <row r="5650" spans="1:6" ht="15.75" thickBot="1" x14ac:dyDescent="0.3">
      <c r="A5650" s="140" t="s">
        <v>48</v>
      </c>
      <c r="B5650" s="49">
        <v>44128</v>
      </c>
      <c r="C5650" s="4">
        <v>0</v>
      </c>
      <c r="D5650" s="29">
        <f t="shared" si="511"/>
        <v>142</v>
      </c>
      <c r="F5650" s="129">
        <f t="shared" si="509"/>
        <v>1</v>
      </c>
    </row>
    <row r="5651" spans="1:6" ht="15.75" thickBot="1" x14ac:dyDescent="0.3">
      <c r="A5651" s="140" t="s">
        <v>39</v>
      </c>
      <c r="B5651" s="49">
        <v>44128</v>
      </c>
      <c r="C5651" s="4">
        <v>62</v>
      </c>
      <c r="D5651" s="29">
        <f t="shared" si="511"/>
        <v>17579</v>
      </c>
      <c r="E5651" s="4">
        <f>3+1</f>
        <v>4</v>
      </c>
      <c r="F5651" s="129">
        <f t="shared" si="509"/>
        <v>772</v>
      </c>
    </row>
    <row r="5652" spans="1:6" ht="15.75" thickBot="1" x14ac:dyDescent="0.3">
      <c r="A5652" s="140" t="s">
        <v>40</v>
      </c>
      <c r="B5652" s="49">
        <v>44128</v>
      </c>
      <c r="C5652" s="4">
        <v>77</v>
      </c>
      <c r="D5652" s="29">
        <f t="shared" si="511"/>
        <v>2336</v>
      </c>
      <c r="F5652" s="129">
        <f t="shared" si="509"/>
        <v>25</v>
      </c>
    </row>
    <row r="5653" spans="1:6" ht="15.75" thickBot="1" x14ac:dyDescent="0.3">
      <c r="A5653" s="140" t="s">
        <v>28</v>
      </c>
      <c r="B5653" s="49">
        <v>44128</v>
      </c>
      <c r="C5653" s="4">
        <v>46</v>
      </c>
      <c r="D5653" s="29">
        <f t="shared" si="511"/>
        <v>7016</v>
      </c>
      <c r="F5653" s="129">
        <f t="shared" si="509"/>
        <v>239</v>
      </c>
    </row>
    <row r="5654" spans="1:6" ht="15.75" thickBot="1" x14ac:dyDescent="0.3">
      <c r="A5654" s="140" t="s">
        <v>24</v>
      </c>
      <c r="B5654" s="49">
        <v>44128</v>
      </c>
      <c r="C5654" s="4">
        <v>653</v>
      </c>
      <c r="D5654" s="29">
        <f t="shared" si="511"/>
        <v>42388</v>
      </c>
      <c r="E5654" s="4">
        <f>2+4</f>
        <v>6</v>
      </c>
      <c r="F5654" s="129">
        <f t="shared" si="509"/>
        <v>689</v>
      </c>
    </row>
    <row r="5655" spans="1:6" ht="15.75" thickBot="1" x14ac:dyDescent="0.3">
      <c r="A5655" s="140" t="s">
        <v>30</v>
      </c>
      <c r="B5655" s="49">
        <v>44128</v>
      </c>
      <c r="C5655" s="4">
        <v>3</v>
      </c>
      <c r="D5655" s="29">
        <f t="shared" si="511"/>
        <v>212</v>
      </c>
      <c r="E5655" s="4">
        <f>1</f>
        <v>1</v>
      </c>
      <c r="F5655" s="129">
        <f t="shared" si="509"/>
        <v>5</v>
      </c>
    </row>
    <row r="5656" spans="1:6" ht="15.75" thickBot="1" x14ac:dyDescent="0.3">
      <c r="A5656" s="140" t="s">
        <v>26</v>
      </c>
      <c r="B5656" s="49">
        <v>44128</v>
      </c>
      <c r="C5656" s="4">
        <v>534</v>
      </c>
      <c r="D5656" s="29">
        <f t="shared" si="511"/>
        <v>19147</v>
      </c>
      <c r="F5656" s="129">
        <f t="shared" si="509"/>
        <v>335</v>
      </c>
    </row>
    <row r="5657" spans="1:6" ht="15.75" thickBot="1" x14ac:dyDescent="0.3">
      <c r="A5657" s="140" t="s">
        <v>25</v>
      </c>
      <c r="B5657" s="49">
        <v>44128</v>
      </c>
      <c r="C5657" s="4">
        <v>267</v>
      </c>
      <c r="D5657" s="29">
        <f t="shared" si="511"/>
        <v>21522</v>
      </c>
      <c r="E5657" s="4">
        <f>4+6</f>
        <v>10</v>
      </c>
      <c r="F5657" s="129">
        <f t="shared" si="509"/>
        <v>549</v>
      </c>
    </row>
    <row r="5658" spans="1:6" ht="15.75" thickBot="1" x14ac:dyDescent="0.3">
      <c r="A5658" s="140" t="s">
        <v>41</v>
      </c>
      <c r="B5658" s="49">
        <v>44128</v>
      </c>
      <c r="C5658" s="4">
        <v>193</v>
      </c>
      <c r="D5658" s="29">
        <f t="shared" si="511"/>
        <v>17885</v>
      </c>
      <c r="E5658" s="4">
        <f>4</f>
        <v>4</v>
      </c>
      <c r="F5658" s="129">
        <f t="shared" si="509"/>
        <v>687</v>
      </c>
    </row>
    <row r="5659" spans="1:6" ht="15.75" thickBot="1" x14ac:dyDescent="0.3">
      <c r="A5659" s="140" t="s">
        <v>42</v>
      </c>
      <c r="B5659" s="49">
        <v>44128</v>
      </c>
      <c r="C5659" s="4">
        <v>6</v>
      </c>
      <c r="D5659" s="29">
        <f t="shared" si="511"/>
        <v>1380</v>
      </c>
      <c r="E5659" s="4">
        <f>1</f>
        <v>1</v>
      </c>
      <c r="F5659" s="129">
        <f t="shared" si="509"/>
        <v>77</v>
      </c>
    </row>
    <row r="5660" spans="1:6" ht="15.75" thickBot="1" x14ac:dyDescent="0.3">
      <c r="A5660" s="140" t="s">
        <v>43</v>
      </c>
      <c r="B5660" s="49">
        <v>44128</v>
      </c>
      <c r="C5660" s="4">
        <v>233</v>
      </c>
      <c r="D5660" s="29">
        <f t="shared" si="511"/>
        <v>5295</v>
      </c>
      <c r="F5660" s="129">
        <f t="shared" si="509"/>
        <v>52</v>
      </c>
    </row>
    <row r="5661" spans="1:6" ht="15.75" thickBot="1" x14ac:dyDescent="0.3">
      <c r="A5661" s="140" t="s">
        <v>44</v>
      </c>
      <c r="B5661" s="49">
        <v>44128</v>
      </c>
      <c r="C5661" s="4">
        <v>136</v>
      </c>
      <c r="D5661" s="29">
        <f t="shared" si="511"/>
        <v>8291</v>
      </c>
      <c r="F5661" s="129">
        <f t="shared" si="509"/>
        <v>113</v>
      </c>
    </row>
    <row r="5662" spans="1:6" ht="15.75" thickBot="1" x14ac:dyDescent="0.3">
      <c r="A5662" s="140" t="s">
        <v>29</v>
      </c>
      <c r="B5662" s="49">
        <v>44128</v>
      </c>
      <c r="C5662" s="4">
        <v>1927</v>
      </c>
      <c r="D5662" s="29">
        <f t="shared" si="511"/>
        <v>93102</v>
      </c>
      <c r="E5662" s="4">
        <f>7+10</f>
        <v>17</v>
      </c>
      <c r="F5662" s="129">
        <f t="shared" si="509"/>
        <v>1051</v>
      </c>
    </row>
    <row r="5663" spans="1:6" ht="15.75" thickBot="1" x14ac:dyDescent="0.3">
      <c r="A5663" s="140" t="s">
        <v>45</v>
      </c>
      <c r="B5663" s="49">
        <v>44128</v>
      </c>
      <c r="C5663" s="4">
        <v>311</v>
      </c>
      <c r="D5663" s="29">
        <f>C5663+D5639</f>
        <v>8123</v>
      </c>
      <c r="F5663" s="129">
        <f t="shared" si="509"/>
        <v>106</v>
      </c>
    </row>
    <row r="5664" spans="1:6" ht="15.75" thickBot="1" x14ac:dyDescent="0.3">
      <c r="A5664" s="140" t="s">
        <v>46</v>
      </c>
      <c r="B5664" s="49">
        <v>44128</v>
      </c>
      <c r="C5664" s="4">
        <v>338</v>
      </c>
      <c r="D5664" s="29">
        <f>C5664+D5640</f>
        <v>9809</v>
      </c>
      <c r="E5664" s="4">
        <f>6+1</f>
        <v>7</v>
      </c>
      <c r="F5664" s="129">
        <f t="shared" si="509"/>
        <v>126</v>
      </c>
    </row>
    <row r="5665" spans="1:6" ht="15.75" thickBot="1" x14ac:dyDescent="0.3">
      <c r="A5665" s="142" t="s">
        <v>47</v>
      </c>
      <c r="B5665" s="202">
        <v>44128</v>
      </c>
      <c r="C5665" s="47">
        <v>956</v>
      </c>
      <c r="D5665" s="29">
        <f t="shared" ref="D5665:D5686" si="512">C5665+D5641</f>
        <v>42569</v>
      </c>
      <c r="E5665" s="47">
        <f>29+14</f>
        <v>43</v>
      </c>
      <c r="F5665" s="139">
        <f t="shared" si="509"/>
        <v>640</v>
      </c>
    </row>
    <row r="5666" spans="1:6" x14ac:dyDescent="0.25">
      <c r="A5666" s="64" t="s">
        <v>22</v>
      </c>
      <c r="B5666" s="49">
        <v>44129</v>
      </c>
      <c r="C5666" s="50">
        <v>2170</v>
      </c>
      <c r="D5666" s="144">
        <f t="shared" si="512"/>
        <v>527293</v>
      </c>
      <c r="E5666" s="50">
        <f>40+46</f>
        <v>86</v>
      </c>
      <c r="F5666" s="128">
        <f t="shared" si="509"/>
        <v>16794</v>
      </c>
    </row>
    <row r="5667" spans="1:6" x14ac:dyDescent="0.25">
      <c r="A5667" s="140" t="s">
        <v>20</v>
      </c>
      <c r="B5667" s="26">
        <v>44129</v>
      </c>
      <c r="C5667" s="4">
        <v>445</v>
      </c>
      <c r="D5667" s="29">
        <f t="shared" si="512"/>
        <v>143990</v>
      </c>
      <c r="E5667" s="4">
        <f>22+13</f>
        <v>35</v>
      </c>
      <c r="F5667" s="129">
        <f t="shared" si="509"/>
        <v>4514</v>
      </c>
    </row>
    <row r="5668" spans="1:6" x14ac:dyDescent="0.25">
      <c r="A5668" s="140" t="s">
        <v>35</v>
      </c>
      <c r="B5668" s="26">
        <v>44129</v>
      </c>
      <c r="C5668" s="4">
        <v>35</v>
      </c>
      <c r="D5668" s="29">
        <f t="shared" si="512"/>
        <v>631</v>
      </c>
      <c r="F5668" s="129">
        <f t="shared" si="509"/>
        <v>0</v>
      </c>
    </row>
    <row r="5669" spans="1:6" x14ac:dyDescent="0.25">
      <c r="A5669" s="140" t="s">
        <v>21</v>
      </c>
      <c r="B5669" s="26">
        <v>44129</v>
      </c>
      <c r="C5669" s="4">
        <v>162</v>
      </c>
      <c r="D5669" s="29">
        <f t="shared" si="512"/>
        <v>13090</v>
      </c>
      <c r="E5669" s="4">
        <f>4+1</f>
        <v>5</v>
      </c>
      <c r="F5669" s="129">
        <f t="shared" si="509"/>
        <v>405</v>
      </c>
    </row>
    <row r="5670" spans="1:6" x14ac:dyDescent="0.25">
      <c r="A5670" s="140" t="s">
        <v>36</v>
      </c>
      <c r="B5670" s="26">
        <v>44129</v>
      </c>
      <c r="C5670" s="4">
        <v>485</v>
      </c>
      <c r="D5670" s="29">
        <f t="shared" si="512"/>
        <v>12437</v>
      </c>
      <c r="E5670" s="4">
        <f>4+1</f>
        <v>5</v>
      </c>
      <c r="F5670" s="129">
        <f t="shared" si="509"/>
        <v>216</v>
      </c>
    </row>
    <row r="5671" spans="1:6" x14ac:dyDescent="0.25">
      <c r="A5671" s="140" t="s">
        <v>27</v>
      </c>
      <c r="B5671" s="26">
        <v>44129</v>
      </c>
      <c r="C5671" s="4">
        <v>1390</v>
      </c>
      <c r="D5671" s="29">
        <f t="shared" si="512"/>
        <v>75995</v>
      </c>
      <c r="E5671" s="4">
        <f>15+14</f>
        <v>29</v>
      </c>
      <c r="F5671" s="129">
        <f t="shared" si="509"/>
        <v>1105</v>
      </c>
    </row>
    <row r="5672" spans="1:6" x14ac:dyDescent="0.25">
      <c r="A5672" s="140" t="s">
        <v>37</v>
      </c>
      <c r="B5672" s="26">
        <v>44129</v>
      </c>
      <c r="C5672" s="4">
        <v>24</v>
      </c>
      <c r="D5672" s="29">
        <f t="shared" si="512"/>
        <v>2269</v>
      </c>
      <c r="F5672" s="129">
        <f t="shared" si="509"/>
        <v>40</v>
      </c>
    </row>
    <row r="5673" spans="1:6" x14ac:dyDescent="0.25">
      <c r="A5673" s="140" t="s">
        <v>38</v>
      </c>
      <c r="B5673" s="26">
        <v>44129</v>
      </c>
      <c r="C5673" s="4">
        <v>202</v>
      </c>
      <c r="D5673" s="29">
        <f t="shared" si="512"/>
        <v>13940</v>
      </c>
      <c r="E5673" s="4">
        <f>7+4</f>
        <v>11</v>
      </c>
      <c r="F5673" s="129">
        <f t="shared" si="509"/>
        <v>240</v>
      </c>
    </row>
    <row r="5674" spans="1:6" x14ac:dyDescent="0.25">
      <c r="A5674" s="140" t="s">
        <v>48</v>
      </c>
      <c r="B5674" s="26">
        <v>44129</v>
      </c>
      <c r="C5674" s="4">
        <v>1</v>
      </c>
      <c r="D5674" s="29">
        <f t="shared" si="512"/>
        <v>143</v>
      </c>
      <c r="F5674" s="129">
        <f t="shared" ref="F5674:F5737" si="513">E5674+F5650</f>
        <v>1</v>
      </c>
    </row>
    <row r="5675" spans="1:6" x14ac:dyDescent="0.25">
      <c r="A5675" s="140" t="s">
        <v>39</v>
      </c>
      <c r="B5675" s="26">
        <v>44129</v>
      </c>
      <c r="C5675" s="4">
        <v>35</v>
      </c>
      <c r="D5675" s="29">
        <f t="shared" si="512"/>
        <v>17614</v>
      </c>
      <c r="E5675" s="4">
        <f>4</f>
        <v>4</v>
      </c>
      <c r="F5675" s="129">
        <f t="shared" si="513"/>
        <v>776</v>
      </c>
    </row>
    <row r="5676" spans="1:6" x14ac:dyDescent="0.25">
      <c r="A5676" s="140" t="s">
        <v>40</v>
      </c>
      <c r="B5676" s="26">
        <v>44129</v>
      </c>
      <c r="C5676" s="4">
        <v>120</v>
      </c>
      <c r="D5676" s="29">
        <f t="shared" si="512"/>
        <v>2456</v>
      </c>
      <c r="F5676" s="129">
        <f t="shared" si="513"/>
        <v>25</v>
      </c>
    </row>
    <row r="5677" spans="1:6" x14ac:dyDescent="0.25">
      <c r="A5677" s="140" t="s">
        <v>28</v>
      </c>
      <c r="B5677" s="26">
        <v>44129</v>
      </c>
      <c r="C5677" s="4">
        <v>108</v>
      </c>
      <c r="D5677" s="29">
        <f t="shared" si="512"/>
        <v>7124</v>
      </c>
      <c r="F5677" s="129">
        <f t="shared" si="513"/>
        <v>239</v>
      </c>
    </row>
    <row r="5678" spans="1:6" x14ac:dyDescent="0.25">
      <c r="A5678" s="140" t="s">
        <v>24</v>
      </c>
      <c r="B5678" s="26">
        <v>44129</v>
      </c>
      <c r="C5678" s="4">
        <v>561</v>
      </c>
      <c r="D5678" s="29">
        <f t="shared" si="512"/>
        <v>42949</v>
      </c>
      <c r="E5678" s="4">
        <f>11+5</f>
        <v>16</v>
      </c>
      <c r="F5678" s="129">
        <f t="shared" si="513"/>
        <v>705</v>
      </c>
    </row>
    <row r="5679" spans="1:6" x14ac:dyDescent="0.25">
      <c r="A5679" s="140" t="s">
        <v>30</v>
      </c>
      <c r="B5679" s="26">
        <v>44129</v>
      </c>
      <c r="C5679" s="4">
        <v>5</v>
      </c>
      <c r="D5679" s="29">
        <f t="shared" si="512"/>
        <v>217</v>
      </c>
      <c r="F5679" s="129">
        <f t="shared" si="513"/>
        <v>5</v>
      </c>
    </row>
    <row r="5680" spans="1:6" x14ac:dyDescent="0.25">
      <c r="A5680" s="140" t="s">
        <v>26</v>
      </c>
      <c r="B5680" s="26">
        <v>44129</v>
      </c>
      <c r="C5680" s="4">
        <v>236</v>
      </c>
      <c r="D5680" s="29">
        <f t="shared" si="512"/>
        <v>19383</v>
      </c>
      <c r="E5680" s="4">
        <f>10+10</f>
        <v>20</v>
      </c>
      <c r="F5680" s="129">
        <f t="shared" si="513"/>
        <v>355</v>
      </c>
    </row>
    <row r="5681" spans="1:10" x14ac:dyDescent="0.25">
      <c r="A5681" s="140" t="s">
        <v>25</v>
      </c>
      <c r="B5681" s="26">
        <v>44129</v>
      </c>
      <c r="C5681" s="4">
        <v>238</v>
      </c>
      <c r="D5681" s="29">
        <f t="shared" si="512"/>
        <v>21760</v>
      </c>
      <c r="E5681" s="4">
        <f>7+4</f>
        <v>11</v>
      </c>
      <c r="F5681" s="129">
        <f t="shared" si="513"/>
        <v>560</v>
      </c>
    </row>
    <row r="5682" spans="1:10" x14ac:dyDescent="0.25">
      <c r="A5682" s="140" t="s">
        <v>41</v>
      </c>
      <c r="B5682" s="26">
        <v>44129</v>
      </c>
      <c r="C5682" s="4">
        <v>145</v>
      </c>
      <c r="D5682" s="29">
        <f t="shared" si="512"/>
        <v>18030</v>
      </c>
      <c r="E5682" s="4">
        <f>20+5</f>
        <v>25</v>
      </c>
      <c r="F5682" s="129">
        <f t="shared" si="513"/>
        <v>712</v>
      </c>
    </row>
    <row r="5683" spans="1:10" x14ac:dyDescent="0.25">
      <c r="A5683" s="140" t="s">
        <v>42</v>
      </c>
      <c r="B5683" s="26">
        <v>44129</v>
      </c>
      <c r="C5683" s="4">
        <v>6</v>
      </c>
      <c r="D5683" s="29">
        <f t="shared" si="512"/>
        <v>1386</v>
      </c>
      <c r="F5683" s="129">
        <f t="shared" si="513"/>
        <v>77</v>
      </c>
    </row>
    <row r="5684" spans="1:10" x14ac:dyDescent="0.25">
      <c r="A5684" s="140" t="s">
        <v>43</v>
      </c>
      <c r="B5684" s="26">
        <v>44129</v>
      </c>
      <c r="C5684" s="4">
        <v>188</v>
      </c>
      <c r="D5684" s="29">
        <f t="shared" si="512"/>
        <v>5483</v>
      </c>
      <c r="F5684" s="129">
        <f t="shared" si="513"/>
        <v>52</v>
      </c>
    </row>
    <row r="5685" spans="1:10" x14ac:dyDescent="0.25">
      <c r="A5685" s="140" t="s">
        <v>44</v>
      </c>
      <c r="B5685" s="26">
        <v>44129</v>
      </c>
      <c r="C5685" s="4">
        <v>178</v>
      </c>
      <c r="D5685" s="29">
        <f t="shared" si="512"/>
        <v>8469</v>
      </c>
      <c r="F5685" s="129">
        <f t="shared" si="513"/>
        <v>113</v>
      </c>
    </row>
    <row r="5686" spans="1:10" x14ac:dyDescent="0.25">
      <c r="A5686" s="140" t="s">
        <v>29</v>
      </c>
      <c r="B5686" s="26">
        <v>44129</v>
      </c>
      <c r="C5686" s="4">
        <v>1405</v>
      </c>
      <c r="D5686" s="29">
        <f t="shared" si="512"/>
        <v>94507</v>
      </c>
      <c r="E5686" s="4">
        <f>3+3</f>
        <v>6</v>
      </c>
      <c r="F5686" s="129">
        <f t="shared" si="513"/>
        <v>1057</v>
      </c>
    </row>
    <row r="5687" spans="1:10" x14ac:dyDescent="0.25">
      <c r="A5687" s="140" t="s">
        <v>45</v>
      </c>
      <c r="B5687" s="26">
        <v>44129</v>
      </c>
      <c r="C5687" s="4">
        <v>262</v>
      </c>
      <c r="D5687" s="29">
        <f>C5687+D5663</f>
        <v>8385</v>
      </c>
      <c r="E5687" s="4">
        <f>5+3</f>
        <v>8</v>
      </c>
      <c r="F5687" s="129">
        <f t="shared" si="513"/>
        <v>114</v>
      </c>
    </row>
    <row r="5688" spans="1:10" x14ac:dyDescent="0.25">
      <c r="A5688" s="140" t="s">
        <v>46</v>
      </c>
      <c r="B5688" s="26">
        <v>44129</v>
      </c>
      <c r="C5688" s="4">
        <v>243</v>
      </c>
      <c r="D5688" s="29">
        <f>C5688+D5664</f>
        <v>10052</v>
      </c>
      <c r="E5688" s="4">
        <f>2</f>
        <v>2</v>
      </c>
      <c r="F5688" s="129">
        <f t="shared" si="513"/>
        <v>128</v>
      </c>
    </row>
    <row r="5689" spans="1:10" ht="15.75" thickBot="1" x14ac:dyDescent="0.3">
      <c r="A5689" s="141" t="s">
        <v>47</v>
      </c>
      <c r="B5689" s="53">
        <v>44129</v>
      </c>
      <c r="C5689" s="54">
        <v>609</v>
      </c>
      <c r="D5689" s="29">
        <f t="shared" ref="D5689:D5710" si="514">C5689+D5665</f>
        <v>43178</v>
      </c>
      <c r="E5689" s="54">
        <f>13+7</f>
        <v>20</v>
      </c>
      <c r="F5689" s="139">
        <f t="shared" si="513"/>
        <v>660</v>
      </c>
    </row>
    <row r="5690" spans="1:10" x14ac:dyDescent="0.25">
      <c r="A5690" s="203" t="s">
        <v>22</v>
      </c>
      <c r="B5690" s="136">
        <v>44130</v>
      </c>
      <c r="C5690" s="48">
        <v>3694</v>
      </c>
      <c r="D5690" s="144">
        <f t="shared" si="514"/>
        <v>530987</v>
      </c>
      <c r="E5690" s="48">
        <v>146</v>
      </c>
      <c r="F5690" s="128">
        <f t="shared" si="513"/>
        <v>16940</v>
      </c>
    </row>
    <row r="5691" spans="1:10" x14ac:dyDescent="0.25">
      <c r="A5691" s="140" t="s">
        <v>20</v>
      </c>
      <c r="B5691" s="26">
        <v>44130</v>
      </c>
      <c r="C5691" s="4">
        <v>515</v>
      </c>
      <c r="D5691" s="29">
        <f t="shared" si="514"/>
        <v>144505</v>
      </c>
      <c r="E5691" s="4">
        <v>64</v>
      </c>
      <c r="F5691" s="129">
        <f t="shared" si="513"/>
        <v>4578</v>
      </c>
      <c r="J5691" s="88"/>
    </row>
    <row r="5692" spans="1:10" x14ac:dyDescent="0.25">
      <c r="A5692" s="140" t="s">
        <v>35</v>
      </c>
      <c r="B5692" s="26">
        <v>44130</v>
      </c>
      <c r="C5692" s="4">
        <v>7</v>
      </c>
      <c r="D5692" s="29">
        <f t="shared" si="514"/>
        <v>638</v>
      </c>
      <c r="F5692" s="129">
        <f t="shared" si="513"/>
        <v>0</v>
      </c>
      <c r="J5692" s="88"/>
    </row>
    <row r="5693" spans="1:10" x14ac:dyDescent="0.25">
      <c r="A5693" s="140" t="s">
        <v>21</v>
      </c>
      <c r="B5693" s="26">
        <v>44130</v>
      </c>
      <c r="C5693" s="4">
        <v>137</v>
      </c>
      <c r="D5693" s="29">
        <f t="shared" si="514"/>
        <v>13227</v>
      </c>
      <c r="E5693" s="4">
        <v>1</v>
      </c>
      <c r="F5693" s="129">
        <f t="shared" si="513"/>
        <v>406</v>
      </c>
      <c r="J5693" s="88"/>
    </row>
    <row r="5694" spans="1:10" x14ac:dyDescent="0.25">
      <c r="A5694" s="140" t="s">
        <v>36</v>
      </c>
      <c r="B5694" s="26">
        <v>44130</v>
      </c>
      <c r="C5694" s="4">
        <v>544</v>
      </c>
      <c r="D5694" s="29">
        <f t="shared" si="514"/>
        <v>12981</v>
      </c>
      <c r="E5694" s="4">
        <v>2</v>
      </c>
      <c r="F5694" s="129">
        <f t="shared" si="513"/>
        <v>218</v>
      </c>
      <c r="J5694" s="88"/>
    </row>
    <row r="5695" spans="1:10" x14ac:dyDescent="0.25">
      <c r="A5695" s="140" t="s">
        <v>27</v>
      </c>
      <c r="B5695" s="26">
        <v>44130</v>
      </c>
      <c r="C5695" s="4">
        <v>1271</v>
      </c>
      <c r="D5695" s="29">
        <f t="shared" si="514"/>
        <v>77266</v>
      </c>
      <c r="E5695" s="4">
        <v>32</v>
      </c>
      <c r="F5695" s="129">
        <f t="shared" si="513"/>
        <v>1137</v>
      </c>
      <c r="J5695" s="88"/>
    </row>
    <row r="5696" spans="1:10" x14ac:dyDescent="0.25">
      <c r="A5696" s="140" t="s">
        <v>37</v>
      </c>
      <c r="B5696" s="26">
        <v>44130</v>
      </c>
      <c r="C5696" s="4">
        <v>114</v>
      </c>
      <c r="D5696" s="29">
        <f t="shared" si="514"/>
        <v>2383</v>
      </c>
      <c r="E5696" s="4">
        <v>3</v>
      </c>
      <c r="F5696" s="129">
        <f t="shared" si="513"/>
        <v>43</v>
      </c>
      <c r="J5696" s="88"/>
    </row>
    <row r="5697" spans="1:10" x14ac:dyDescent="0.25">
      <c r="A5697" s="140" t="s">
        <v>38</v>
      </c>
      <c r="B5697" s="26">
        <v>44130</v>
      </c>
      <c r="C5697" s="4">
        <v>352</v>
      </c>
      <c r="D5697" s="29">
        <f t="shared" si="514"/>
        <v>14292</v>
      </c>
      <c r="E5697" s="4">
        <v>11</v>
      </c>
      <c r="F5697" s="129">
        <f t="shared" si="513"/>
        <v>251</v>
      </c>
      <c r="J5697" s="88"/>
    </row>
    <row r="5698" spans="1:10" x14ac:dyDescent="0.25">
      <c r="A5698" s="140" t="s">
        <v>48</v>
      </c>
      <c r="B5698" s="26">
        <v>44130</v>
      </c>
      <c r="C5698" s="4">
        <v>2</v>
      </c>
      <c r="D5698" s="29">
        <f t="shared" si="514"/>
        <v>145</v>
      </c>
      <c r="F5698" s="129">
        <f t="shared" si="513"/>
        <v>1</v>
      </c>
      <c r="J5698" s="88"/>
    </row>
    <row r="5699" spans="1:10" x14ac:dyDescent="0.25">
      <c r="A5699" s="140" t="s">
        <v>39</v>
      </c>
      <c r="B5699" s="26">
        <v>44130</v>
      </c>
      <c r="C5699" s="4">
        <v>38</v>
      </c>
      <c r="D5699" s="29">
        <f t="shared" si="514"/>
        <v>17652</v>
      </c>
      <c r="E5699" s="4">
        <v>10</v>
      </c>
      <c r="F5699" s="129">
        <f t="shared" si="513"/>
        <v>786</v>
      </c>
      <c r="J5699" s="88"/>
    </row>
    <row r="5700" spans="1:10" x14ac:dyDescent="0.25">
      <c r="A5700" s="140" t="s">
        <v>40</v>
      </c>
      <c r="B5700" s="26">
        <v>44130</v>
      </c>
      <c r="C5700" s="4">
        <v>68</v>
      </c>
      <c r="D5700" s="29">
        <f t="shared" si="514"/>
        <v>2524</v>
      </c>
      <c r="F5700" s="129">
        <f t="shared" si="513"/>
        <v>25</v>
      </c>
      <c r="J5700" s="88"/>
    </row>
    <row r="5701" spans="1:10" x14ac:dyDescent="0.25">
      <c r="A5701" s="140" t="s">
        <v>28</v>
      </c>
      <c r="B5701" s="26">
        <v>44130</v>
      </c>
      <c r="C5701" s="4">
        <v>49</v>
      </c>
      <c r="D5701" s="29">
        <f t="shared" si="514"/>
        <v>7173</v>
      </c>
      <c r="E5701" s="4">
        <v>13</v>
      </c>
      <c r="F5701" s="129">
        <f t="shared" si="513"/>
        <v>252</v>
      </c>
      <c r="J5701" s="88"/>
    </row>
    <row r="5702" spans="1:10" x14ac:dyDescent="0.25">
      <c r="A5702" s="140" t="s">
        <v>24</v>
      </c>
      <c r="B5702" s="26">
        <v>44130</v>
      </c>
      <c r="C5702" s="4">
        <v>652</v>
      </c>
      <c r="D5702" s="29">
        <f t="shared" si="514"/>
        <v>43601</v>
      </c>
      <c r="E5702" s="4">
        <v>11</v>
      </c>
      <c r="F5702" s="129">
        <f t="shared" si="513"/>
        <v>716</v>
      </c>
      <c r="J5702" s="88"/>
    </row>
    <row r="5703" spans="1:10" x14ac:dyDescent="0.25">
      <c r="A5703" s="140" t="s">
        <v>30</v>
      </c>
      <c r="B5703" s="26">
        <v>44130</v>
      </c>
      <c r="C5703" s="4">
        <v>12</v>
      </c>
      <c r="D5703" s="29">
        <f t="shared" si="514"/>
        <v>229</v>
      </c>
      <c r="F5703" s="129">
        <f t="shared" si="513"/>
        <v>5</v>
      </c>
      <c r="J5703" s="88"/>
    </row>
    <row r="5704" spans="1:10" x14ac:dyDescent="0.25">
      <c r="A5704" s="140" t="s">
        <v>26</v>
      </c>
      <c r="B5704" s="26">
        <v>44130</v>
      </c>
      <c r="C5704" s="4">
        <v>395</v>
      </c>
      <c r="D5704" s="29">
        <f t="shared" si="514"/>
        <v>19778</v>
      </c>
      <c r="E5704" s="4">
        <v>6</v>
      </c>
      <c r="F5704" s="129">
        <f t="shared" si="513"/>
        <v>361</v>
      </c>
      <c r="J5704" s="88"/>
    </row>
    <row r="5705" spans="1:10" x14ac:dyDescent="0.25">
      <c r="A5705" s="140" t="s">
        <v>25</v>
      </c>
      <c r="B5705" s="26">
        <v>44130</v>
      </c>
      <c r="C5705" s="4">
        <v>308</v>
      </c>
      <c r="D5705" s="29">
        <f t="shared" si="514"/>
        <v>22068</v>
      </c>
      <c r="E5705" s="4">
        <v>12</v>
      </c>
      <c r="F5705" s="129">
        <f t="shared" si="513"/>
        <v>572</v>
      </c>
      <c r="J5705" s="88"/>
    </row>
    <row r="5706" spans="1:10" x14ac:dyDescent="0.25">
      <c r="A5706" s="140" t="s">
        <v>41</v>
      </c>
      <c r="B5706" s="26">
        <v>44130</v>
      </c>
      <c r="C5706" s="4">
        <v>95</v>
      </c>
      <c r="D5706" s="29">
        <f t="shared" si="514"/>
        <v>18125</v>
      </c>
      <c r="E5706" s="4">
        <v>24</v>
      </c>
      <c r="F5706" s="129">
        <f t="shared" si="513"/>
        <v>736</v>
      </c>
      <c r="J5706" s="88"/>
    </row>
    <row r="5707" spans="1:10" x14ac:dyDescent="0.25">
      <c r="A5707" s="140" t="s">
        <v>42</v>
      </c>
      <c r="B5707" s="26">
        <v>44130</v>
      </c>
      <c r="C5707" s="4">
        <v>10</v>
      </c>
      <c r="D5707" s="29">
        <f t="shared" si="514"/>
        <v>1396</v>
      </c>
      <c r="F5707" s="129">
        <f t="shared" si="513"/>
        <v>77</v>
      </c>
      <c r="J5707" s="88"/>
    </row>
    <row r="5708" spans="1:10" x14ac:dyDescent="0.25">
      <c r="A5708" s="140" t="s">
        <v>43</v>
      </c>
      <c r="B5708" s="26">
        <v>44130</v>
      </c>
      <c r="C5708" s="4">
        <v>136</v>
      </c>
      <c r="D5708" s="29">
        <f t="shared" si="514"/>
        <v>5619</v>
      </c>
      <c r="F5708" s="129">
        <f t="shared" si="513"/>
        <v>52</v>
      </c>
      <c r="J5708" s="88"/>
    </row>
    <row r="5709" spans="1:10" x14ac:dyDescent="0.25">
      <c r="A5709" s="140" t="s">
        <v>44</v>
      </c>
      <c r="B5709" s="26">
        <v>44130</v>
      </c>
      <c r="C5709" s="4">
        <v>86</v>
      </c>
      <c r="D5709" s="29">
        <f t="shared" si="514"/>
        <v>8555</v>
      </c>
      <c r="E5709" s="4">
        <v>3</v>
      </c>
      <c r="F5709" s="129">
        <f t="shared" si="513"/>
        <v>116</v>
      </c>
      <c r="J5709" s="88"/>
    </row>
    <row r="5710" spans="1:10" x14ac:dyDescent="0.25">
      <c r="A5710" s="140" t="s">
        <v>29</v>
      </c>
      <c r="B5710" s="26">
        <v>44130</v>
      </c>
      <c r="C5710" s="4">
        <v>1733</v>
      </c>
      <c r="D5710" s="29">
        <f t="shared" si="514"/>
        <v>96240</v>
      </c>
      <c r="E5710" s="4">
        <v>37</v>
      </c>
      <c r="F5710" s="129">
        <f t="shared" si="513"/>
        <v>1094</v>
      </c>
      <c r="J5710" s="88"/>
    </row>
    <row r="5711" spans="1:10" x14ac:dyDescent="0.25">
      <c r="A5711" s="140" t="s">
        <v>45</v>
      </c>
      <c r="B5711" s="26">
        <v>44130</v>
      </c>
      <c r="C5711" s="4">
        <v>240</v>
      </c>
      <c r="D5711" s="29">
        <f>C5711+D5687</f>
        <v>8625</v>
      </c>
      <c r="E5711" s="4">
        <v>1</v>
      </c>
      <c r="F5711" s="129">
        <f t="shared" si="513"/>
        <v>115</v>
      </c>
      <c r="J5711" s="88"/>
    </row>
    <row r="5712" spans="1:10" x14ac:dyDescent="0.25">
      <c r="A5712" s="140" t="s">
        <v>46</v>
      </c>
      <c r="B5712" s="26">
        <v>44130</v>
      </c>
      <c r="C5712" s="4">
        <v>305</v>
      </c>
      <c r="D5712" s="29">
        <f>C5712+D5688</f>
        <v>10357</v>
      </c>
      <c r="E5712" s="4">
        <v>4</v>
      </c>
      <c r="F5712" s="129">
        <f t="shared" si="513"/>
        <v>132</v>
      </c>
      <c r="J5712" s="88"/>
    </row>
    <row r="5713" spans="1:10" ht="15.75" thickBot="1" x14ac:dyDescent="0.3">
      <c r="A5713" s="141" t="s">
        <v>47</v>
      </c>
      <c r="B5713" s="53">
        <v>44130</v>
      </c>
      <c r="C5713" s="54">
        <v>949</v>
      </c>
      <c r="D5713" s="29">
        <f t="shared" ref="D5713:D5734" si="515">C5713+D5689</f>
        <v>44127</v>
      </c>
      <c r="E5713" s="54">
        <v>26</v>
      </c>
      <c r="F5713" s="139">
        <f t="shared" si="513"/>
        <v>686</v>
      </c>
      <c r="J5713" s="88"/>
    </row>
    <row r="5714" spans="1:10" x14ac:dyDescent="0.25">
      <c r="A5714" s="203" t="s">
        <v>22</v>
      </c>
      <c r="B5714" s="136">
        <v>44131</v>
      </c>
      <c r="C5714" s="48">
        <v>4221</v>
      </c>
      <c r="D5714" s="144">
        <f t="shared" si="515"/>
        <v>535208</v>
      </c>
      <c r="E5714" s="48">
        <f>107+71</f>
        <v>178</v>
      </c>
      <c r="F5714" s="128">
        <f t="shared" si="513"/>
        <v>17118</v>
      </c>
    </row>
    <row r="5715" spans="1:10" x14ac:dyDescent="0.25">
      <c r="A5715" s="140" t="s">
        <v>20</v>
      </c>
      <c r="B5715" s="136">
        <v>44131</v>
      </c>
      <c r="C5715" s="4">
        <v>598</v>
      </c>
      <c r="D5715" s="29">
        <f t="shared" si="515"/>
        <v>145103</v>
      </c>
      <c r="E5715" s="4">
        <f>30+17+1</f>
        <v>48</v>
      </c>
      <c r="F5715" s="129">
        <f t="shared" si="513"/>
        <v>4626</v>
      </c>
    </row>
    <row r="5716" spans="1:10" x14ac:dyDescent="0.25">
      <c r="A5716" s="140" t="s">
        <v>35</v>
      </c>
      <c r="B5716" s="136">
        <v>44131</v>
      </c>
      <c r="C5716" s="4">
        <v>28</v>
      </c>
      <c r="D5716" s="29">
        <f t="shared" si="515"/>
        <v>666</v>
      </c>
      <c r="F5716" s="129">
        <f t="shared" si="513"/>
        <v>0</v>
      </c>
    </row>
    <row r="5717" spans="1:10" x14ac:dyDescent="0.25">
      <c r="A5717" s="140" t="s">
        <v>21</v>
      </c>
      <c r="B5717" s="136">
        <v>44131</v>
      </c>
      <c r="C5717" s="4">
        <v>167</v>
      </c>
      <c r="D5717" s="29">
        <f t="shared" si="515"/>
        <v>13394</v>
      </c>
      <c r="E5717" s="4">
        <f>4+3</f>
        <v>7</v>
      </c>
      <c r="F5717" s="129">
        <f t="shared" si="513"/>
        <v>413</v>
      </c>
    </row>
    <row r="5718" spans="1:10" x14ac:dyDescent="0.25">
      <c r="A5718" s="140" t="s">
        <v>36</v>
      </c>
      <c r="B5718" s="136">
        <v>44131</v>
      </c>
      <c r="C5718" s="4">
        <v>318</v>
      </c>
      <c r="D5718" s="29">
        <f t="shared" si="515"/>
        <v>13299</v>
      </c>
      <c r="E5718" s="4">
        <f>13+11</f>
        <v>24</v>
      </c>
      <c r="F5718" s="129">
        <f t="shared" si="513"/>
        <v>242</v>
      </c>
    </row>
    <row r="5719" spans="1:10" x14ac:dyDescent="0.25">
      <c r="A5719" s="140" t="s">
        <v>27</v>
      </c>
      <c r="B5719" s="136">
        <v>44131</v>
      </c>
      <c r="C5719" s="4">
        <v>1819</v>
      </c>
      <c r="D5719" s="29">
        <f t="shared" si="515"/>
        <v>79085</v>
      </c>
      <c r="E5719" s="4">
        <f>19+19</f>
        <v>38</v>
      </c>
      <c r="F5719" s="129">
        <f t="shared" si="513"/>
        <v>1175</v>
      </c>
    </row>
    <row r="5720" spans="1:10" x14ac:dyDescent="0.25">
      <c r="A5720" s="140" t="s">
        <v>37</v>
      </c>
      <c r="B5720" s="136">
        <v>44131</v>
      </c>
      <c r="C5720" s="4">
        <v>17</v>
      </c>
      <c r="D5720" s="29">
        <f t="shared" si="515"/>
        <v>2400</v>
      </c>
      <c r="F5720" s="129">
        <f t="shared" si="513"/>
        <v>43</v>
      </c>
    </row>
    <row r="5721" spans="1:10" x14ac:dyDescent="0.25">
      <c r="A5721" s="140" t="s">
        <v>38</v>
      </c>
      <c r="B5721" s="136">
        <v>44131</v>
      </c>
      <c r="C5721" s="4">
        <v>395</v>
      </c>
      <c r="D5721" s="29">
        <f t="shared" si="515"/>
        <v>14687</v>
      </c>
      <c r="E5721" s="4">
        <f>4+2</f>
        <v>6</v>
      </c>
      <c r="F5721" s="129">
        <f t="shared" si="513"/>
        <v>257</v>
      </c>
    </row>
    <row r="5722" spans="1:10" x14ac:dyDescent="0.25">
      <c r="A5722" s="140" t="s">
        <v>48</v>
      </c>
      <c r="B5722" s="136">
        <v>44131</v>
      </c>
      <c r="C5722" s="4">
        <v>3</v>
      </c>
      <c r="D5722" s="29">
        <f t="shared" si="515"/>
        <v>148</v>
      </c>
      <c r="F5722" s="129">
        <f t="shared" si="513"/>
        <v>1</v>
      </c>
    </row>
    <row r="5723" spans="1:10" x14ac:dyDescent="0.25">
      <c r="A5723" s="140" t="s">
        <v>39</v>
      </c>
      <c r="B5723" s="136">
        <v>44131</v>
      </c>
      <c r="C5723" s="4">
        <v>35</v>
      </c>
      <c r="D5723" s="29">
        <f t="shared" si="515"/>
        <v>17687</v>
      </c>
      <c r="E5723" s="4">
        <f>9+2</f>
        <v>11</v>
      </c>
      <c r="F5723" s="129">
        <f t="shared" si="513"/>
        <v>797</v>
      </c>
    </row>
    <row r="5724" spans="1:10" x14ac:dyDescent="0.25">
      <c r="A5724" s="140" t="s">
        <v>40</v>
      </c>
      <c r="B5724" s="136">
        <v>44131</v>
      </c>
      <c r="C5724" s="4">
        <v>144</v>
      </c>
      <c r="D5724" s="29">
        <f t="shared" si="515"/>
        <v>2668</v>
      </c>
      <c r="E5724" s="4">
        <v>4</v>
      </c>
      <c r="F5724" s="129">
        <f t="shared" si="513"/>
        <v>29</v>
      </c>
    </row>
    <row r="5725" spans="1:10" x14ac:dyDescent="0.25">
      <c r="A5725" s="140" t="s">
        <v>28</v>
      </c>
      <c r="B5725" s="136">
        <v>44131</v>
      </c>
      <c r="C5725" s="4">
        <v>123</v>
      </c>
      <c r="D5725" s="29">
        <f t="shared" si="515"/>
        <v>7296</v>
      </c>
      <c r="E5725" s="4">
        <f>5+3</f>
        <v>8</v>
      </c>
      <c r="F5725" s="129">
        <f t="shared" si="513"/>
        <v>260</v>
      </c>
    </row>
    <row r="5726" spans="1:10" x14ac:dyDescent="0.25">
      <c r="A5726" s="140" t="s">
        <v>24</v>
      </c>
      <c r="B5726" s="136">
        <v>44131</v>
      </c>
      <c r="C5726" s="4">
        <v>771</v>
      </c>
      <c r="D5726" s="29">
        <f t="shared" si="515"/>
        <v>44372</v>
      </c>
      <c r="E5726" s="4">
        <f>8+4</f>
        <v>12</v>
      </c>
      <c r="F5726" s="129">
        <f t="shared" si="513"/>
        <v>728</v>
      </c>
    </row>
    <row r="5727" spans="1:10" x14ac:dyDescent="0.25">
      <c r="A5727" s="140" t="s">
        <v>30</v>
      </c>
      <c r="B5727" s="136">
        <v>44131</v>
      </c>
      <c r="C5727" s="4">
        <v>11</v>
      </c>
      <c r="D5727" s="29">
        <f t="shared" si="515"/>
        <v>240</v>
      </c>
      <c r="F5727" s="129">
        <f t="shared" si="513"/>
        <v>5</v>
      </c>
    </row>
    <row r="5728" spans="1:10" x14ac:dyDescent="0.25">
      <c r="A5728" s="140" t="s">
        <v>26</v>
      </c>
      <c r="B5728" s="136">
        <v>44131</v>
      </c>
      <c r="C5728" s="4">
        <v>414</v>
      </c>
      <c r="D5728" s="29">
        <f t="shared" si="515"/>
        <v>20192</v>
      </c>
      <c r="E5728" s="4">
        <f>5+5</f>
        <v>10</v>
      </c>
      <c r="F5728" s="129">
        <f t="shared" si="513"/>
        <v>371</v>
      </c>
    </row>
    <row r="5729" spans="1:6" x14ac:dyDescent="0.25">
      <c r="A5729" s="140" t="s">
        <v>25</v>
      </c>
      <c r="B5729" s="136">
        <v>44131</v>
      </c>
      <c r="C5729" s="4">
        <v>461</v>
      </c>
      <c r="D5729" s="29">
        <f t="shared" si="515"/>
        <v>22529</v>
      </c>
      <c r="E5729" s="4">
        <f>5+4</f>
        <v>9</v>
      </c>
      <c r="F5729" s="129">
        <f t="shared" si="513"/>
        <v>581</v>
      </c>
    </row>
    <row r="5730" spans="1:6" x14ac:dyDescent="0.25">
      <c r="A5730" s="140" t="s">
        <v>41</v>
      </c>
      <c r="B5730" s="136">
        <v>44131</v>
      </c>
      <c r="C5730" s="4">
        <v>156</v>
      </c>
      <c r="D5730" s="29">
        <f t="shared" si="515"/>
        <v>18281</v>
      </c>
      <c r="E5730" s="4">
        <f>5+4</f>
        <v>9</v>
      </c>
      <c r="F5730" s="129">
        <f t="shared" si="513"/>
        <v>745</v>
      </c>
    </row>
    <row r="5731" spans="1:6" x14ac:dyDescent="0.25">
      <c r="A5731" s="140" t="s">
        <v>42</v>
      </c>
      <c r="B5731" s="136">
        <v>44131</v>
      </c>
      <c r="C5731" s="4">
        <v>40</v>
      </c>
      <c r="D5731" s="29">
        <f t="shared" si="515"/>
        <v>1436</v>
      </c>
      <c r="E5731" s="4">
        <f>1</f>
        <v>1</v>
      </c>
      <c r="F5731" s="129">
        <f t="shared" si="513"/>
        <v>78</v>
      </c>
    </row>
    <row r="5732" spans="1:6" x14ac:dyDescent="0.25">
      <c r="A5732" s="140" t="s">
        <v>43</v>
      </c>
      <c r="B5732" s="136">
        <v>44131</v>
      </c>
      <c r="C5732" s="4">
        <v>446</v>
      </c>
      <c r="D5732" s="29">
        <f t="shared" si="515"/>
        <v>6065</v>
      </c>
      <c r="E5732" s="4">
        <f>1</f>
        <v>1</v>
      </c>
      <c r="F5732" s="129">
        <f t="shared" si="513"/>
        <v>53</v>
      </c>
    </row>
    <row r="5733" spans="1:6" x14ac:dyDescent="0.25">
      <c r="A5733" s="140" t="s">
        <v>44</v>
      </c>
      <c r="B5733" s="136">
        <v>44131</v>
      </c>
      <c r="C5733" s="4">
        <v>91</v>
      </c>
      <c r="D5733" s="29">
        <f t="shared" si="515"/>
        <v>8646</v>
      </c>
      <c r="E5733" s="4">
        <f>1</f>
        <v>1</v>
      </c>
      <c r="F5733" s="129">
        <f t="shared" si="513"/>
        <v>117</v>
      </c>
    </row>
    <row r="5734" spans="1:6" x14ac:dyDescent="0.25">
      <c r="A5734" s="140" t="s">
        <v>29</v>
      </c>
      <c r="B5734" s="136">
        <v>44131</v>
      </c>
      <c r="C5734" s="4">
        <v>2235</v>
      </c>
      <c r="D5734" s="29">
        <f t="shared" si="515"/>
        <v>98475</v>
      </c>
      <c r="E5734" s="4">
        <f>19+10</f>
        <v>29</v>
      </c>
      <c r="F5734" s="129">
        <f t="shared" si="513"/>
        <v>1123</v>
      </c>
    </row>
    <row r="5735" spans="1:6" x14ac:dyDescent="0.25">
      <c r="A5735" s="140" t="s">
        <v>45</v>
      </c>
      <c r="B5735" s="136">
        <v>44131</v>
      </c>
      <c r="C5735" s="4">
        <v>144</v>
      </c>
      <c r="D5735" s="29">
        <f>C5735+D5711</f>
        <v>8769</v>
      </c>
      <c r="E5735" s="4">
        <f>1</f>
        <v>1</v>
      </c>
      <c r="F5735" s="129">
        <f t="shared" si="513"/>
        <v>116</v>
      </c>
    </row>
    <row r="5736" spans="1:6" x14ac:dyDescent="0.25">
      <c r="A5736" s="140" t="s">
        <v>46</v>
      </c>
      <c r="B5736" s="136">
        <v>44131</v>
      </c>
      <c r="C5736" s="4">
        <v>231</v>
      </c>
      <c r="D5736" s="29">
        <f>C5736+D5712</f>
        <v>10588</v>
      </c>
      <c r="E5736" s="4">
        <v>5</v>
      </c>
      <c r="F5736" s="129">
        <f t="shared" si="513"/>
        <v>137</v>
      </c>
    </row>
    <row r="5737" spans="1:6" ht="15.75" thickBot="1" x14ac:dyDescent="0.3">
      <c r="A5737" s="141" t="s">
        <v>47</v>
      </c>
      <c r="B5737" s="136">
        <v>44131</v>
      </c>
      <c r="C5737" s="54">
        <v>1440</v>
      </c>
      <c r="D5737" s="29">
        <f t="shared" ref="D5737:D5758" si="516">C5737+D5713</f>
        <v>45567</v>
      </c>
      <c r="E5737" s="54">
        <f>12+11</f>
        <v>23</v>
      </c>
      <c r="F5737" s="139">
        <f t="shared" si="513"/>
        <v>709</v>
      </c>
    </row>
    <row r="5738" spans="1:6" x14ac:dyDescent="0.25">
      <c r="A5738" s="203" t="s">
        <v>22</v>
      </c>
      <c r="B5738" s="136">
        <v>44132</v>
      </c>
      <c r="C5738" s="4">
        <v>4238</v>
      </c>
      <c r="D5738" s="144">
        <f t="shared" si="516"/>
        <v>539446</v>
      </c>
      <c r="E5738" s="4">
        <f>61+61</f>
        <v>122</v>
      </c>
      <c r="F5738" s="128">
        <f t="shared" ref="F5738:F5801" si="517">E5738+F5714</f>
        <v>17240</v>
      </c>
    </row>
    <row r="5739" spans="1:6" x14ac:dyDescent="0.25">
      <c r="A5739" s="140" t="s">
        <v>20</v>
      </c>
      <c r="B5739" s="136">
        <v>44132</v>
      </c>
      <c r="C5739" s="4">
        <v>641</v>
      </c>
      <c r="D5739" s="29">
        <f t="shared" si="516"/>
        <v>145744</v>
      </c>
      <c r="E5739" s="4">
        <f>20+16</f>
        <v>36</v>
      </c>
      <c r="F5739" s="129">
        <f t="shared" si="517"/>
        <v>4662</v>
      </c>
    </row>
    <row r="5740" spans="1:6" x14ac:dyDescent="0.25">
      <c r="A5740" s="140" t="s">
        <v>35</v>
      </c>
      <c r="B5740" s="136">
        <v>44132</v>
      </c>
      <c r="C5740" s="4">
        <v>54</v>
      </c>
      <c r="D5740" s="29">
        <f t="shared" si="516"/>
        <v>720</v>
      </c>
      <c r="F5740" s="129">
        <f t="shared" si="517"/>
        <v>0</v>
      </c>
    </row>
    <row r="5741" spans="1:6" x14ac:dyDescent="0.25">
      <c r="A5741" s="140" t="s">
        <v>21</v>
      </c>
      <c r="B5741" s="136">
        <v>44132</v>
      </c>
      <c r="C5741" s="4">
        <v>186</v>
      </c>
      <c r="D5741" s="29">
        <f t="shared" si="516"/>
        <v>13580</v>
      </c>
      <c r="E5741" s="4">
        <f>1+5</f>
        <v>6</v>
      </c>
      <c r="F5741" s="129">
        <f t="shared" si="517"/>
        <v>419</v>
      </c>
    </row>
    <row r="5742" spans="1:6" x14ac:dyDescent="0.25">
      <c r="A5742" s="140" t="s">
        <v>36</v>
      </c>
      <c r="B5742" s="136">
        <v>44132</v>
      </c>
      <c r="C5742" s="4">
        <v>295</v>
      </c>
      <c r="D5742" s="29">
        <f t="shared" si="516"/>
        <v>13594</v>
      </c>
      <c r="F5742" s="129">
        <f t="shared" si="517"/>
        <v>242</v>
      </c>
    </row>
    <row r="5743" spans="1:6" x14ac:dyDescent="0.25">
      <c r="A5743" s="140" t="s">
        <v>27</v>
      </c>
      <c r="B5743" s="136">
        <v>44132</v>
      </c>
      <c r="C5743" s="4">
        <v>1848</v>
      </c>
      <c r="D5743" s="29">
        <f t="shared" si="516"/>
        <v>80933</v>
      </c>
      <c r="E5743" s="4">
        <f>16+17</f>
        <v>33</v>
      </c>
      <c r="F5743" s="129">
        <f t="shared" si="517"/>
        <v>1208</v>
      </c>
    </row>
    <row r="5744" spans="1:6" x14ac:dyDescent="0.25">
      <c r="A5744" s="140" t="s">
        <v>37</v>
      </c>
      <c r="B5744" s="136">
        <v>44132</v>
      </c>
      <c r="C5744" s="4">
        <v>69</v>
      </c>
      <c r="D5744" s="29">
        <f t="shared" si="516"/>
        <v>2469</v>
      </c>
      <c r="E5744" s="4">
        <f>2+2</f>
        <v>4</v>
      </c>
      <c r="F5744" s="129">
        <f t="shared" si="517"/>
        <v>47</v>
      </c>
    </row>
    <row r="5745" spans="1:6" x14ac:dyDescent="0.25">
      <c r="A5745" s="140" t="s">
        <v>38</v>
      </c>
      <c r="B5745" s="136">
        <v>44132</v>
      </c>
      <c r="C5745" s="4">
        <v>343</v>
      </c>
      <c r="D5745" s="29">
        <f t="shared" si="516"/>
        <v>15030</v>
      </c>
      <c r="E5745" s="4">
        <v>10</v>
      </c>
      <c r="F5745" s="129">
        <f t="shared" si="517"/>
        <v>267</v>
      </c>
    </row>
    <row r="5746" spans="1:6" x14ac:dyDescent="0.25">
      <c r="A5746" s="140" t="s">
        <v>48</v>
      </c>
      <c r="B5746" s="136">
        <v>44132</v>
      </c>
      <c r="C5746" s="4">
        <v>1</v>
      </c>
      <c r="D5746" s="29">
        <f t="shared" si="516"/>
        <v>149</v>
      </c>
      <c r="F5746" s="129">
        <f t="shared" si="517"/>
        <v>1</v>
      </c>
    </row>
    <row r="5747" spans="1:6" x14ac:dyDescent="0.25">
      <c r="A5747" s="140" t="s">
        <v>39</v>
      </c>
      <c r="B5747" s="136">
        <v>44132</v>
      </c>
      <c r="C5747" s="4">
        <v>53</v>
      </c>
      <c r="D5747" s="29">
        <f t="shared" si="516"/>
        <v>17740</v>
      </c>
      <c r="E5747" s="4">
        <f>1+1</f>
        <v>2</v>
      </c>
      <c r="F5747" s="129">
        <f t="shared" si="517"/>
        <v>799</v>
      </c>
    </row>
    <row r="5748" spans="1:6" x14ac:dyDescent="0.25">
      <c r="A5748" s="140" t="s">
        <v>40</v>
      </c>
      <c r="B5748" s="136">
        <v>44132</v>
      </c>
      <c r="C5748" s="4">
        <v>161</v>
      </c>
      <c r="D5748" s="29">
        <f t="shared" si="516"/>
        <v>2829</v>
      </c>
      <c r="F5748" s="129">
        <f t="shared" si="517"/>
        <v>29</v>
      </c>
    </row>
    <row r="5749" spans="1:6" x14ac:dyDescent="0.25">
      <c r="A5749" s="140" t="s">
        <v>28</v>
      </c>
      <c r="B5749" s="136">
        <v>44132</v>
      </c>
      <c r="C5749" s="4">
        <v>90</v>
      </c>
      <c r="D5749" s="29">
        <f t="shared" si="516"/>
        <v>7386</v>
      </c>
      <c r="E5749" s="4">
        <f>4</f>
        <v>4</v>
      </c>
      <c r="F5749" s="129">
        <f t="shared" si="517"/>
        <v>264</v>
      </c>
    </row>
    <row r="5750" spans="1:6" x14ac:dyDescent="0.25">
      <c r="A5750" s="140" t="s">
        <v>24</v>
      </c>
      <c r="B5750" s="136">
        <v>44132</v>
      </c>
      <c r="C5750" s="4">
        <v>675</v>
      </c>
      <c r="D5750" s="29">
        <f t="shared" si="516"/>
        <v>45047</v>
      </c>
      <c r="E5750" s="4">
        <f>7+5</f>
        <v>12</v>
      </c>
      <c r="F5750" s="129">
        <f t="shared" si="517"/>
        <v>740</v>
      </c>
    </row>
    <row r="5751" spans="1:6" x14ac:dyDescent="0.25">
      <c r="A5751" s="140" t="s">
        <v>30</v>
      </c>
      <c r="B5751" s="136">
        <v>44132</v>
      </c>
      <c r="C5751" s="4">
        <v>9</v>
      </c>
      <c r="D5751" s="29">
        <f t="shared" si="516"/>
        <v>249</v>
      </c>
      <c r="F5751" s="129">
        <f t="shared" si="517"/>
        <v>5</v>
      </c>
    </row>
    <row r="5752" spans="1:6" x14ac:dyDescent="0.25">
      <c r="A5752" s="140" t="s">
        <v>26</v>
      </c>
      <c r="B5752" s="136">
        <v>44132</v>
      </c>
      <c r="C5752" s="4">
        <v>384</v>
      </c>
      <c r="D5752" s="29">
        <f t="shared" si="516"/>
        <v>20576</v>
      </c>
      <c r="E5752" s="4">
        <f>8+5</f>
        <v>13</v>
      </c>
      <c r="F5752" s="129">
        <f t="shared" si="517"/>
        <v>384</v>
      </c>
    </row>
    <row r="5753" spans="1:6" x14ac:dyDescent="0.25">
      <c r="A5753" s="140" t="s">
        <v>25</v>
      </c>
      <c r="B5753" s="136">
        <v>44132</v>
      </c>
      <c r="C5753" s="4">
        <v>450</v>
      </c>
      <c r="D5753" s="29">
        <f t="shared" si="516"/>
        <v>22979</v>
      </c>
      <c r="E5753" s="4">
        <f>5+5</f>
        <v>10</v>
      </c>
      <c r="F5753" s="129">
        <f t="shared" si="517"/>
        <v>591</v>
      </c>
    </row>
    <row r="5754" spans="1:6" x14ac:dyDescent="0.25">
      <c r="A5754" s="140" t="s">
        <v>41</v>
      </c>
      <c r="B5754" s="136">
        <v>44132</v>
      </c>
      <c r="C5754" s="4">
        <v>219</v>
      </c>
      <c r="D5754" s="29">
        <f t="shared" si="516"/>
        <v>18500</v>
      </c>
      <c r="E5754" s="4">
        <f>7+5</f>
        <v>12</v>
      </c>
      <c r="F5754" s="129">
        <f t="shared" si="517"/>
        <v>757</v>
      </c>
    </row>
    <row r="5755" spans="1:6" x14ac:dyDescent="0.25">
      <c r="A5755" s="140" t="s">
        <v>42</v>
      </c>
      <c r="B5755" s="136">
        <v>44132</v>
      </c>
      <c r="C5755" s="4">
        <v>144</v>
      </c>
      <c r="D5755" s="29">
        <f t="shared" si="516"/>
        <v>1580</v>
      </c>
      <c r="E5755" s="4">
        <f>2+3</f>
        <v>5</v>
      </c>
      <c r="F5755" s="129">
        <f t="shared" si="517"/>
        <v>83</v>
      </c>
    </row>
    <row r="5756" spans="1:6" x14ac:dyDescent="0.25">
      <c r="A5756" s="140" t="s">
        <v>43</v>
      </c>
      <c r="B5756" s="136">
        <v>44132</v>
      </c>
      <c r="C5756" s="4">
        <v>167</v>
      </c>
      <c r="D5756" s="29">
        <f t="shared" si="516"/>
        <v>6232</v>
      </c>
      <c r="F5756" s="129">
        <f t="shared" si="517"/>
        <v>53</v>
      </c>
    </row>
    <row r="5757" spans="1:6" x14ac:dyDescent="0.25">
      <c r="A5757" s="140" t="s">
        <v>44</v>
      </c>
      <c r="B5757" s="136">
        <v>44132</v>
      </c>
      <c r="C5757" s="4">
        <v>239</v>
      </c>
      <c r="D5757" s="29">
        <f t="shared" si="516"/>
        <v>8885</v>
      </c>
      <c r="F5757" s="129">
        <f t="shared" si="517"/>
        <v>117</v>
      </c>
    </row>
    <row r="5758" spans="1:6" x14ac:dyDescent="0.25">
      <c r="A5758" s="140" t="s">
        <v>29</v>
      </c>
      <c r="B5758" s="136">
        <v>44132</v>
      </c>
      <c r="C5758" s="4">
        <v>2003</v>
      </c>
      <c r="D5758" s="29">
        <f t="shared" si="516"/>
        <v>100478</v>
      </c>
      <c r="E5758" s="4">
        <f>24+19</f>
        <v>43</v>
      </c>
      <c r="F5758" s="129">
        <f t="shared" si="517"/>
        <v>1166</v>
      </c>
    </row>
    <row r="5759" spans="1:6" x14ac:dyDescent="0.25">
      <c r="A5759" s="140" t="s">
        <v>45</v>
      </c>
      <c r="B5759" s="136">
        <v>44132</v>
      </c>
      <c r="C5759" s="4">
        <v>292</v>
      </c>
      <c r="D5759" s="29">
        <f>C5759+D5735</f>
        <v>9061</v>
      </c>
      <c r="E5759" s="4">
        <f>2+2</f>
        <v>4</v>
      </c>
      <c r="F5759" s="129">
        <f t="shared" si="517"/>
        <v>120</v>
      </c>
    </row>
    <row r="5760" spans="1:6" x14ac:dyDescent="0.25">
      <c r="A5760" s="140" t="s">
        <v>46</v>
      </c>
      <c r="B5760" s="136">
        <v>44132</v>
      </c>
      <c r="C5760" s="4">
        <v>236</v>
      </c>
      <c r="D5760" s="29">
        <f>C5760+D5736</f>
        <v>10824</v>
      </c>
      <c r="E5760" s="4">
        <f>3+1</f>
        <v>4</v>
      </c>
      <c r="F5760" s="129">
        <f t="shared" si="517"/>
        <v>141</v>
      </c>
    </row>
    <row r="5761" spans="1:6" ht="15.75" thickBot="1" x14ac:dyDescent="0.3">
      <c r="A5761" s="141" t="s">
        <v>47</v>
      </c>
      <c r="B5761" s="136">
        <v>44132</v>
      </c>
      <c r="C5761" s="4">
        <v>1127</v>
      </c>
      <c r="D5761" s="29">
        <f>C5761+D5737</f>
        <v>46694</v>
      </c>
      <c r="E5761" s="4">
        <f>17+7</f>
        <v>24</v>
      </c>
      <c r="F5761" s="139">
        <f t="shared" si="517"/>
        <v>733</v>
      </c>
    </row>
    <row r="5762" spans="1:6" x14ac:dyDescent="0.25">
      <c r="A5762" s="203" t="s">
        <v>22</v>
      </c>
      <c r="B5762" s="136">
        <v>44133</v>
      </c>
      <c r="C5762" s="4">
        <v>3708</v>
      </c>
      <c r="D5762" s="144">
        <f>543181</f>
        <v>543181</v>
      </c>
      <c r="E5762" s="4">
        <f>78+60</f>
        <v>138</v>
      </c>
      <c r="F5762" s="128">
        <f t="shared" si="517"/>
        <v>17378</v>
      </c>
    </row>
    <row r="5763" spans="1:6" x14ac:dyDescent="0.25">
      <c r="A5763" s="140" t="s">
        <v>20</v>
      </c>
      <c r="B5763" s="136">
        <v>44133</v>
      </c>
      <c r="C5763" s="4">
        <v>512</v>
      </c>
      <c r="D5763" s="29">
        <f t="shared" ref="D5763:D5825" si="518">C5763+D5739</f>
        <v>146256</v>
      </c>
      <c r="E5763" s="4">
        <f>15+23</f>
        <v>38</v>
      </c>
      <c r="F5763" s="129">
        <f t="shared" si="517"/>
        <v>4700</v>
      </c>
    </row>
    <row r="5764" spans="1:6" x14ac:dyDescent="0.25">
      <c r="A5764" s="140" t="s">
        <v>35</v>
      </c>
      <c r="B5764" s="136">
        <v>44133</v>
      </c>
      <c r="C5764" s="4">
        <v>16</v>
      </c>
      <c r="D5764" s="29">
        <f t="shared" si="518"/>
        <v>736</v>
      </c>
      <c r="F5764" s="129">
        <f t="shared" si="517"/>
        <v>0</v>
      </c>
    </row>
    <row r="5765" spans="1:6" x14ac:dyDescent="0.25">
      <c r="A5765" s="140" t="s">
        <v>21</v>
      </c>
      <c r="B5765" s="136">
        <v>44133</v>
      </c>
      <c r="C5765" s="4">
        <v>130</v>
      </c>
      <c r="D5765" s="29">
        <f t="shared" si="518"/>
        <v>13710</v>
      </c>
      <c r="E5765" s="4">
        <f>2+2</f>
        <v>4</v>
      </c>
      <c r="F5765" s="129">
        <f t="shared" si="517"/>
        <v>423</v>
      </c>
    </row>
    <row r="5766" spans="1:6" x14ac:dyDescent="0.25">
      <c r="A5766" s="140" t="s">
        <v>36</v>
      </c>
      <c r="B5766" s="136">
        <v>44133</v>
      </c>
      <c r="C5766" s="4">
        <v>284</v>
      </c>
      <c r="D5766" s="29">
        <f t="shared" si="518"/>
        <v>13878</v>
      </c>
      <c r="E5766" s="4">
        <f>2</f>
        <v>2</v>
      </c>
      <c r="F5766" s="129">
        <f t="shared" si="517"/>
        <v>244</v>
      </c>
    </row>
    <row r="5767" spans="1:6" x14ac:dyDescent="0.25">
      <c r="A5767" s="140" t="s">
        <v>27</v>
      </c>
      <c r="B5767" s="136">
        <v>44133</v>
      </c>
      <c r="C5767" s="4">
        <v>1457</v>
      </c>
      <c r="D5767" s="29">
        <f t="shared" si="518"/>
        <v>82390</v>
      </c>
      <c r="E5767" s="4">
        <f>19+16</f>
        <v>35</v>
      </c>
      <c r="F5767" s="129">
        <f t="shared" si="517"/>
        <v>1243</v>
      </c>
    </row>
    <row r="5768" spans="1:6" x14ac:dyDescent="0.25">
      <c r="A5768" s="140" t="s">
        <v>37</v>
      </c>
      <c r="B5768" s="136">
        <v>44133</v>
      </c>
      <c r="C5768" s="4">
        <v>61</v>
      </c>
      <c r="D5768" s="29">
        <f t="shared" si="518"/>
        <v>2530</v>
      </c>
      <c r="F5768" s="129">
        <f t="shared" si="517"/>
        <v>47</v>
      </c>
    </row>
    <row r="5769" spans="1:6" x14ac:dyDescent="0.25">
      <c r="A5769" s="140" t="s">
        <v>38</v>
      </c>
      <c r="B5769" s="136">
        <v>44133</v>
      </c>
      <c r="C5769" s="4">
        <v>360</v>
      </c>
      <c r="D5769" s="29">
        <f t="shared" si="518"/>
        <v>15390</v>
      </c>
      <c r="E5769" s="4">
        <f>2+2</f>
        <v>4</v>
      </c>
      <c r="F5769" s="129">
        <f t="shared" si="517"/>
        <v>271</v>
      </c>
    </row>
    <row r="5770" spans="1:6" x14ac:dyDescent="0.25">
      <c r="A5770" s="140" t="s">
        <v>48</v>
      </c>
      <c r="B5770" s="136">
        <v>44133</v>
      </c>
      <c r="C5770" s="4">
        <v>1</v>
      </c>
      <c r="D5770" s="29">
        <f t="shared" si="518"/>
        <v>150</v>
      </c>
      <c r="F5770" s="129">
        <f t="shared" si="517"/>
        <v>1</v>
      </c>
    </row>
    <row r="5771" spans="1:6" x14ac:dyDescent="0.25">
      <c r="A5771" s="140" t="s">
        <v>39</v>
      </c>
      <c r="B5771" s="136">
        <v>44133</v>
      </c>
      <c r="C5771" s="4">
        <v>46</v>
      </c>
      <c r="D5771" s="29">
        <f t="shared" si="518"/>
        <v>17786</v>
      </c>
      <c r="E5771" s="4">
        <f>2+2</f>
        <v>4</v>
      </c>
      <c r="F5771" s="129">
        <f t="shared" si="517"/>
        <v>803</v>
      </c>
    </row>
    <row r="5772" spans="1:6" x14ac:dyDescent="0.25">
      <c r="A5772" s="140" t="s">
        <v>40</v>
      </c>
      <c r="B5772" s="136">
        <v>44133</v>
      </c>
      <c r="C5772" s="4">
        <v>231</v>
      </c>
      <c r="D5772" s="29">
        <f t="shared" si="518"/>
        <v>3060</v>
      </c>
      <c r="E5772" s="4">
        <f>3</f>
        <v>3</v>
      </c>
      <c r="F5772" s="129">
        <f t="shared" si="517"/>
        <v>32</v>
      </c>
    </row>
    <row r="5773" spans="1:6" x14ac:dyDescent="0.25">
      <c r="A5773" s="140" t="s">
        <v>28</v>
      </c>
      <c r="B5773" s="136">
        <v>44133</v>
      </c>
      <c r="C5773" s="4">
        <v>55</v>
      </c>
      <c r="D5773" s="29">
        <f t="shared" si="518"/>
        <v>7441</v>
      </c>
      <c r="F5773" s="129">
        <f t="shared" si="517"/>
        <v>264</v>
      </c>
    </row>
    <row r="5774" spans="1:6" x14ac:dyDescent="0.25">
      <c r="A5774" s="140" t="s">
        <v>24</v>
      </c>
      <c r="B5774" s="136">
        <v>44133</v>
      </c>
      <c r="C5774" s="4">
        <v>813</v>
      </c>
      <c r="D5774" s="29">
        <f t="shared" si="518"/>
        <v>45860</v>
      </c>
      <c r="E5774" s="4">
        <f>13+3</f>
        <v>16</v>
      </c>
      <c r="F5774" s="129">
        <f t="shared" si="517"/>
        <v>756</v>
      </c>
    </row>
    <row r="5775" spans="1:6" x14ac:dyDescent="0.25">
      <c r="A5775" s="140" t="s">
        <v>30</v>
      </c>
      <c r="B5775" s="136">
        <v>44133</v>
      </c>
      <c r="C5775" s="4">
        <v>11</v>
      </c>
      <c r="D5775" s="29">
        <f t="shared" si="518"/>
        <v>260</v>
      </c>
      <c r="F5775" s="129">
        <f t="shared" si="517"/>
        <v>5</v>
      </c>
    </row>
    <row r="5776" spans="1:6" x14ac:dyDescent="0.25">
      <c r="A5776" s="140" t="s">
        <v>26</v>
      </c>
      <c r="B5776" s="136">
        <v>44133</v>
      </c>
      <c r="C5776" s="4">
        <v>499</v>
      </c>
      <c r="D5776" s="29">
        <f t="shared" si="518"/>
        <v>21075</v>
      </c>
      <c r="E5776" s="4">
        <f>2</f>
        <v>2</v>
      </c>
      <c r="F5776" s="129">
        <f t="shared" si="517"/>
        <v>386</v>
      </c>
    </row>
    <row r="5777" spans="1:6" x14ac:dyDescent="0.25">
      <c r="A5777" s="140" t="s">
        <v>25</v>
      </c>
      <c r="B5777" s="136">
        <v>44133</v>
      </c>
      <c r="C5777" s="4">
        <v>451</v>
      </c>
      <c r="D5777" s="29">
        <v>23450</v>
      </c>
      <c r="E5777" s="4">
        <f>7+6</f>
        <v>13</v>
      </c>
      <c r="F5777" s="129">
        <f t="shared" si="517"/>
        <v>604</v>
      </c>
    </row>
    <row r="5778" spans="1:6" x14ac:dyDescent="0.25">
      <c r="A5778" s="140" t="s">
        <v>41</v>
      </c>
      <c r="B5778" s="136">
        <v>44133</v>
      </c>
      <c r="C5778" s="4">
        <v>157</v>
      </c>
      <c r="D5778" s="29">
        <v>18409</v>
      </c>
      <c r="E5778" s="4">
        <f>9+4</f>
        <v>13</v>
      </c>
      <c r="F5778" s="129">
        <f t="shared" si="517"/>
        <v>770</v>
      </c>
    </row>
    <row r="5779" spans="1:6" x14ac:dyDescent="0.25">
      <c r="A5779" s="140" t="s">
        <v>42</v>
      </c>
      <c r="B5779" s="136">
        <v>44133</v>
      </c>
      <c r="C5779" s="4">
        <v>297</v>
      </c>
      <c r="D5779" s="29">
        <f t="shared" si="518"/>
        <v>1877</v>
      </c>
      <c r="E5779" s="4">
        <f>1</f>
        <v>1</v>
      </c>
      <c r="F5779" s="129">
        <f t="shared" si="517"/>
        <v>84</v>
      </c>
    </row>
    <row r="5780" spans="1:6" x14ac:dyDescent="0.25">
      <c r="A5780" s="140" t="s">
        <v>43</v>
      </c>
      <c r="B5780" s="136">
        <v>44133</v>
      </c>
      <c r="C5780" s="4">
        <v>314</v>
      </c>
      <c r="D5780" s="29">
        <v>6556</v>
      </c>
      <c r="E5780" s="4">
        <f>1</f>
        <v>1</v>
      </c>
      <c r="F5780" s="129">
        <f t="shared" si="517"/>
        <v>54</v>
      </c>
    </row>
    <row r="5781" spans="1:6" x14ac:dyDescent="0.25">
      <c r="A5781" s="140" t="s">
        <v>44</v>
      </c>
      <c r="B5781" s="136">
        <v>44133</v>
      </c>
      <c r="C5781" s="4">
        <v>250</v>
      </c>
      <c r="D5781" s="29">
        <f t="shared" si="518"/>
        <v>9135</v>
      </c>
      <c r="E5781" s="4">
        <f>6+5</f>
        <v>11</v>
      </c>
      <c r="F5781" s="129">
        <f t="shared" si="517"/>
        <v>128</v>
      </c>
    </row>
    <row r="5782" spans="1:6" x14ac:dyDescent="0.25">
      <c r="A5782" s="140" t="s">
        <v>29</v>
      </c>
      <c r="B5782" s="136">
        <v>44133</v>
      </c>
      <c r="C5782" s="4">
        <v>2013</v>
      </c>
      <c r="D5782" s="29">
        <v>102490</v>
      </c>
      <c r="E5782" s="4">
        <f>42+24</f>
        <v>66</v>
      </c>
      <c r="F5782" s="129">
        <f t="shared" si="517"/>
        <v>1232</v>
      </c>
    </row>
    <row r="5783" spans="1:6" x14ac:dyDescent="0.25">
      <c r="A5783" s="140" t="s">
        <v>45</v>
      </c>
      <c r="B5783" s="136">
        <v>44133</v>
      </c>
      <c r="C5783" s="4">
        <v>308</v>
      </c>
      <c r="D5783" s="29">
        <v>9369</v>
      </c>
      <c r="E5783" s="4">
        <f>1</f>
        <v>1</v>
      </c>
      <c r="F5783" s="129">
        <f t="shared" si="517"/>
        <v>121</v>
      </c>
    </row>
    <row r="5784" spans="1:6" x14ac:dyDescent="0.25">
      <c r="A5784" s="140" t="s">
        <v>46</v>
      </c>
      <c r="B5784" s="136">
        <v>44133</v>
      </c>
      <c r="C5784" s="4">
        <v>204</v>
      </c>
      <c r="D5784" s="29">
        <f t="shared" si="518"/>
        <v>11028</v>
      </c>
      <c r="E5784" s="4">
        <f>3+1</f>
        <v>4</v>
      </c>
      <c r="F5784" s="129">
        <f t="shared" si="517"/>
        <v>145</v>
      </c>
    </row>
    <row r="5785" spans="1:6" ht="15.75" thickBot="1" x14ac:dyDescent="0.3">
      <c r="A5785" s="141" t="s">
        <v>47</v>
      </c>
      <c r="B5785" s="136">
        <v>44133</v>
      </c>
      <c r="C5785" s="4">
        <v>1089</v>
      </c>
      <c r="D5785" s="29">
        <f>C5785+D5761</f>
        <v>47783</v>
      </c>
      <c r="E5785" s="4">
        <f>10+5</f>
        <v>15</v>
      </c>
      <c r="F5785" s="139">
        <f t="shared" si="517"/>
        <v>748</v>
      </c>
    </row>
    <row r="5786" spans="1:6" x14ac:dyDescent="0.25">
      <c r="A5786" s="203" t="s">
        <v>22</v>
      </c>
      <c r="B5786" s="136">
        <v>44134</v>
      </c>
      <c r="C5786" s="4">
        <v>3830</v>
      </c>
      <c r="D5786" s="144">
        <f t="shared" si="518"/>
        <v>547011</v>
      </c>
      <c r="E5786" s="4">
        <f>70+47</f>
        <v>117</v>
      </c>
      <c r="F5786" s="128">
        <f t="shared" si="517"/>
        <v>17495</v>
      </c>
    </row>
    <row r="5787" spans="1:6" x14ac:dyDescent="0.25">
      <c r="A5787" s="140" t="s">
        <v>20</v>
      </c>
      <c r="B5787" s="136">
        <v>44134</v>
      </c>
      <c r="C5787" s="4">
        <v>504</v>
      </c>
      <c r="D5787" s="29">
        <f t="shared" si="518"/>
        <v>146760</v>
      </c>
      <c r="E5787" s="4">
        <f>14+22</f>
        <v>36</v>
      </c>
      <c r="F5787" s="129">
        <f t="shared" si="517"/>
        <v>4736</v>
      </c>
    </row>
    <row r="5788" spans="1:6" x14ac:dyDescent="0.25">
      <c r="A5788" s="140" t="s">
        <v>35</v>
      </c>
      <c r="B5788" s="136">
        <v>44134</v>
      </c>
      <c r="C5788" s="4">
        <v>83</v>
      </c>
      <c r="D5788" s="29">
        <f t="shared" si="518"/>
        <v>819</v>
      </c>
      <c r="F5788" s="129">
        <f t="shared" si="517"/>
        <v>0</v>
      </c>
    </row>
    <row r="5789" spans="1:6" x14ac:dyDescent="0.25">
      <c r="A5789" s="140" t="s">
        <v>21</v>
      </c>
      <c r="B5789" s="136">
        <v>44134</v>
      </c>
      <c r="C5789" s="4">
        <v>203</v>
      </c>
      <c r="D5789" s="29">
        <f t="shared" si="518"/>
        <v>13913</v>
      </c>
      <c r="E5789" s="4">
        <f>1</f>
        <v>1</v>
      </c>
      <c r="F5789" s="129">
        <f t="shared" si="517"/>
        <v>424</v>
      </c>
    </row>
    <row r="5790" spans="1:6" x14ac:dyDescent="0.25">
      <c r="A5790" s="140" t="s">
        <v>36</v>
      </c>
      <c r="B5790" s="136">
        <v>44134</v>
      </c>
      <c r="C5790" s="4">
        <v>309</v>
      </c>
      <c r="D5790" s="29">
        <f t="shared" si="518"/>
        <v>14187</v>
      </c>
      <c r="E5790" s="4">
        <f>1+1</f>
        <v>2</v>
      </c>
      <c r="F5790" s="129">
        <f t="shared" si="517"/>
        <v>246</v>
      </c>
    </row>
    <row r="5791" spans="1:6" x14ac:dyDescent="0.25">
      <c r="A5791" s="140" t="s">
        <v>27</v>
      </c>
      <c r="B5791" s="136">
        <v>44134</v>
      </c>
      <c r="C5791" s="4">
        <v>1601</v>
      </c>
      <c r="D5791" s="29">
        <f t="shared" si="518"/>
        <v>83991</v>
      </c>
      <c r="E5791" s="4">
        <f>15+12</f>
        <v>27</v>
      </c>
      <c r="F5791" s="129">
        <f t="shared" si="517"/>
        <v>1270</v>
      </c>
    </row>
    <row r="5792" spans="1:6" x14ac:dyDescent="0.25">
      <c r="A5792" s="140" t="s">
        <v>37</v>
      </c>
      <c r="B5792" s="136">
        <v>44134</v>
      </c>
      <c r="C5792" s="4">
        <v>9</v>
      </c>
      <c r="D5792" s="29">
        <f t="shared" si="518"/>
        <v>2539</v>
      </c>
      <c r="F5792" s="129">
        <f t="shared" si="517"/>
        <v>47</v>
      </c>
    </row>
    <row r="5793" spans="1:6" x14ac:dyDescent="0.25">
      <c r="A5793" s="140" t="s">
        <v>38</v>
      </c>
      <c r="B5793" s="136">
        <v>44134</v>
      </c>
      <c r="C5793" s="4">
        <v>343</v>
      </c>
      <c r="D5793" s="29">
        <f t="shared" si="518"/>
        <v>15733</v>
      </c>
      <c r="E5793" s="4">
        <f>2+3</f>
        <v>5</v>
      </c>
      <c r="F5793" s="129">
        <f t="shared" si="517"/>
        <v>276</v>
      </c>
    </row>
    <row r="5794" spans="1:6" x14ac:dyDescent="0.25">
      <c r="A5794" s="140" t="s">
        <v>48</v>
      </c>
      <c r="B5794" s="136">
        <v>44134</v>
      </c>
      <c r="C5794" s="4">
        <v>-1</v>
      </c>
      <c r="D5794" s="29">
        <f t="shared" si="518"/>
        <v>149</v>
      </c>
      <c r="F5794" s="129">
        <f t="shared" si="517"/>
        <v>1</v>
      </c>
    </row>
    <row r="5795" spans="1:6" x14ac:dyDescent="0.25">
      <c r="A5795" s="140" t="s">
        <v>39</v>
      </c>
      <c r="B5795" s="136">
        <v>44134</v>
      </c>
      <c r="C5795" s="4">
        <v>37</v>
      </c>
      <c r="D5795" s="29">
        <f t="shared" si="518"/>
        <v>17823</v>
      </c>
      <c r="E5795" s="4">
        <f>1+3</f>
        <v>4</v>
      </c>
      <c r="F5795" s="129">
        <f t="shared" si="517"/>
        <v>807</v>
      </c>
    </row>
    <row r="5796" spans="1:6" x14ac:dyDescent="0.25">
      <c r="A5796" s="140" t="s">
        <v>40</v>
      </c>
      <c r="B5796" s="136">
        <v>44134</v>
      </c>
      <c r="C5796" s="4">
        <v>129</v>
      </c>
      <c r="D5796" s="29">
        <f t="shared" si="518"/>
        <v>3189</v>
      </c>
      <c r="F5796" s="129">
        <f t="shared" si="517"/>
        <v>32</v>
      </c>
    </row>
    <row r="5797" spans="1:6" x14ac:dyDescent="0.25">
      <c r="A5797" s="140" t="s">
        <v>28</v>
      </c>
      <c r="B5797" s="136">
        <v>44134</v>
      </c>
      <c r="C5797" s="4">
        <v>73</v>
      </c>
      <c r="D5797" s="29">
        <f t="shared" si="518"/>
        <v>7514</v>
      </c>
      <c r="E5797" s="4">
        <f>3+3</f>
        <v>6</v>
      </c>
      <c r="F5797" s="129">
        <f t="shared" si="517"/>
        <v>270</v>
      </c>
    </row>
    <row r="5798" spans="1:6" x14ac:dyDescent="0.25">
      <c r="A5798" s="140" t="s">
        <v>24</v>
      </c>
      <c r="B5798" s="136">
        <v>44134</v>
      </c>
      <c r="C5798" s="4">
        <v>704</v>
      </c>
      <c r="D5798" s="29">
        <f t="shared" si="518"/>
        <v>46564</v>
      </c>
      <c r="E5798" s="4">
        <f>14+3</f>
        <v>17</v>
      </c>
      <c r="F5798" s="129">
        <f t="shared" si="517"/>
        <v>773</v>
      </c>
    </row>
    <row r="5799" spans="1:6" x14ac:dyDescent="0.25">
      <c r="A5799" s="140" t="s">
        <v>30</v>
      </c>
      <c r="B5799" s="136">
        <v>44134</v>
      </c>
      <c r="C5799" s="4">
        <v>10</v>
      </c>
      <c r="D5799" s="29">
        <f t="shared" si="518"/>
        <v>270</v>
      </c>
      <c r="F5799" s="129">
        <f t="shared" si="517"/>
        <v>5</v>
      </c>
    </row>
    <row r="5800" spans="1:6" x14ac:dyDescent="0.25">
      <c r="A5800" s="140" t="s">
        <v>26</v>
      </c>
      <c r="B5800" s="136">
        <v>44134</v>
      </c>
      <c r="C5800" s="4">
        <v>696</v>
      </c>
      <c r="D5800" s="29">
        <f t="shared" si="518"/>
        <v>21771</v>
      </c>
      <c r="E5800" s="4">
        <f>12+8</f>
        <v>20</v>
      </c>
      <c r="F5800" s="129">
        <f t="shared" si="517"/>
        <v>406</v>
      </c>
    </row>
    <row r="5801" spans="1:6" x14ac:dyDescent="0.25">
      <c r="A5801" s="140" t="s">
        <v>25</v>
      </c>
      <c r="B5801" s="136">
        <v>44134</v>
      </c>
      <c r="C5801" s="4">
        <v>288</v>
      </c>
      <c r="D5801" s="29">
        <f t="shared" si="518"/>
        <v>23738</v>
      </c>
      <c r="E5801" s="4">
        <f>4+1</f>
        <v>5</v>
      </c>
      <c r="F5801" s="129">
        <f t="shared" si="517"/>
        <v>609</v>
      </c>
    </row>
    <row r="5802" spans="1:6" x14ac:dyDescent="0.25">
      <c r="A5802" s="140" t="s">
        <v>41</v>
      </c>
      <c r="B5802" s="136">
        <v>44134</v>
      </c>
      <c r="C5802" s="4">
        <v>191</v>
      </c>
      <c r="D5802" s="29">
        <f t="shared" si="518"/>
        <v>18600</v>
      </c>
      <c r="E5802" s="4">
        <f>8+6</f>
        <v>14</v>
      </c>
      <c r="F5802" s="129">
        <f t="shared" ref="F5802:F5865" si="519">E5802+F5778</f>
        <v>784</v>
      </c>
    </row>
    <row r="5803" spans="1:6" x14ac:dyDescent="0.25">
      <c r="A5803" s="140" t="s">
        <v>42</v>
      </c>
      <c r="B5803" s="136">
        <v>44134</v>
      </c>
      <c r="C5803" s="4">
        <v>379</v>
      </c>
      <c r="D5803" s="29">
        <f t="shared" si="518"/>
        <v>2256</v>
      </c>
      <c r="E5803" s="4">
        <f>7+10</f>
        <v>17</v>
      </c>
      <c r="F5803" s="129">
        <f t="shared" si="519"/>
        <v>101</v>
      </c>
    </row>
    <row r="5804" spans="1:6" x14ac:dyDescent="0.25">
      <c r="A5804" s="140" t="s">
        <v>43</v>
      </c>
      <c r="B5804" s="136">
        <v>44134</v>
      </c>
      <c r="C5804" s="4">
        <v>258</v>
      </c>
      <c r="D5804" s="29">
        <f t="shared" si="518"/>
        <v>6814</v>
      </c>
      <c r="F5804" s="129">
        <f t="shared" si="519"/>
        <v>54</v>
      </c>
    </row>
    <row r="5805" spans="1:6" x14ac:dyDescent="0.25">
      <c r="A5805" s="140" t="s">
        <v>44</v>
      </c>
      <c r="B5805" s="136">
        <v>44134</v>
      </c>
      <c r="C5805" s="4">
        <v>214</v>
      </c>
      <c r="D5805" s="29">
        <f t="shared" si="518"/>
        <v>9349</v>
      </c>
      <c r="E5805" s="4">
        <f>1+1</f>
        <v>2</v>
      </c>
      <c r="F5805" s="129">
        <f t="shared" si="519"/>
        <v>130</v>
      </c>
    </row>
    <row r="5806" spans="1:6" x14ac:dyDescent="0.25">
      <c r="A5806" s="140" t="s">
        <v>29</v>
      </c>
      <c r="B5806" s="136">
        <v>44134</v>
      </c>
      <c r="C5806" s="4">
        <v>2140</v>
      </c>
      <c r="D5806" s="29">
        <f t="shared" si="518"/>
        <v>104630</v>
      </c>
      <c r="E5806" s="4">
        <f>29+20</f>
        <v>49</v>
      </c>
      <c r="F5806" s="129">
        <f t="shared" si="519"/>
        <v>1281</v>
      </c>
    </row>
    <row r="5807" spans="1:6" x14ac:dyDescent="0.25">
      <c r="A5807" s="140" t="s">
        <v>45</v>
      </c>
      <c r="B5807" s="136">
        <v>44134</v>
      </c>
      <c r="C5807" s="4">
        <v>209</v>
      </c>
      <c r="D5807" s="29">
        <f t="shared" si="518"/>
        <v>9578</v>
      </c>
      <c r="E5807" s="4">
        <f>4+4</f>
        <v>8</v>
      </c>
      <c r="F5807" s="129">
        <f t="shared" si="519"/>
        <v>129</v>
      </c>
    </row>
    <row r="5808" spans="1:6" x14ac:dyDescent="0.25">
      <c r="A5808" s="140" t="s">
        <v>46</v>
      </c>
      <c r="B5808" s="136">
        <v>44134</v>
      </c>
      <c r="C5808" s="4">
        <v>159</v>
      </c>
      <c r="D5808" s="29">
        <f t="shared" si="518"/>
        <v>11187</v>
      </c>
      <c r="E5808" s="4">
        <f>2</f>
        <v>2</v>
      </c>
      <c r="F5808" s="129">
        <f t="shared" si="519"/>
        <v>147</v>
      </c>
    </row>
    <row r="5809" spans="1:6" ht="15.75" thickBot="1" x14ac:dyDescent="0.3">
      <c r="A5809" s="142" t="s">
        <v>47</v>
      </c>
      <c r="B5809" s="138">
        <v>44134</v>
      </c>
      <c r="C5809" s="47">
        <v>1011</v>
      </c>
      <c r="D5809" s="85">
        <f>C5809+D5785</f>
        <v>48794</v>
      </c>
      <c r="E5809" s="47">
        <f>9+9</f>
        <v>18</v>
      </c>
      <c r="F5809" s="139">
        <f t="shared" si="519"/>
        <v>766</v>
      </c>
    </row>
    <row r="5810" spans="1:6" x14ac:dyDescent="0.25">
      <c r="A5810" s="64" t="s">
        <v>22</v>
      </c>
      <c r="B5810" s="49">
        <v>44135</v>
      </c>
      <c r="C5810" s="50">
        <v>2354</v>
      </c>
      <c r="D5810" s="131">
        <f t="shared" si="518"/>
        <v>549365</v>
      </c>
      <c r="E5810" s="50">
        <f>69+44+1</f>
        <v>114</v>
      </c>
      <c r="F5810" s="128">
        <f t="shared" si="519"/>
        <v>17609</v>
      </c>
    </row>
    <row r="5811" spans="1:6" x14ac:dyDescent="0.25">
      <c r="A5811" s="140" t="s">
        <v>20</v>
      </c>
      <c r="B5811" s="136">
        <v>44135</v>
      </c>
      <c r="C5811" s="4">
        <v>441</v>
      </c>
      <c r="D5811" s="29">
        <f t="shared" si="518"/>
        <v>147201</v>
      </c>
      <c r="E5811" s="4">
        <f>4+14</f>
        <v>18</v>
      </c>
      <c r="F5811" s="129">
        <f t="shared" si="519"/>
        <v>4754</v>
      </c>
    </row>
    <row r="5812" spans="1:6" x14ac:dyDescent="0.25">
      <c r="A5812" s="140" t="s">
        <v>35</v>
      </c>
      <c r="B5812" s="136">
        <v>44135</v>
      </c>
      <c r="C5812" s="4">
        <v>77</v>
      </c>
      <c r="D5812" s="29">
        <f t="shared" si="518"/>
        <v>896</v>
      </c>
      <c r="F5812" s="129">
        <f t="shared" si="519"/>
        <v>0</v>
      </c>
    </row>
    <row r="5813" spans="1:6" x14ac:dyDescent="0.25">
      <c r="A5813" s="140" t="s">
        <v>21</v>
      </c>
      <c r="B5813" s="136">
        <v>44135</v>
      </c>
      <c r="C5813" s="4">
        <v>137</v>
      </c>
      <c r="D5813" s="29">
        <f t="shared" si="518"/>
        <v>14050</v>
      </c>
      <c r="E5813" s="4">
        <f>2+1</f>
        <v>3</v>
      </c>
      <c r="F5813" s="129">
        <f t="shared" si="519"/>
        <v>427</v>
      </c>
    </row>
    <row r="5814" spans="1:6" x14ac:dyDescent="0.25">
      <c r="A5814" s="140" t="s">
        <v>36</v>
      </c>
      <c r="B5814" s="136">
        <v>44135</v>
      </c>
      <c r="C5814" s="4">
        <v>195</v>
      </c>
      <c r="D5814" s="29">
        <f t="shared" si="518"/>
        <v>14382</v>
      </c>
      <c r="E5814" s="4">
        <f>1+1</f>
        <v>2</v>
      </c>
      <c r="F5814" s="129">
        <f t="shared" si="519"/>
        <v>248</v>
      </c>
    </row>
    <row r="5815" spans="1:6" x14ac:dyDescent="0.25">
      <c r="A5815" s="140" t="s">
        <v>27</v>
      </c>
      <c r="B5815" s="136">
        <v>44135</v>
      </c>
      <c r="C5815" s="4">
        <v>1424</v>
      </c>
      <c r="D5815" s="29">
        <f t="shared" si="518"/>
        <v>85415</v>
      </c>
      <c r="E5815" s="4">
        <f>12+9</f>
        <v>21</v>
      </c>
      <c r="F5815" s="129">
        <f t="shared" si="519"/>
        <v>1291</v>
      </c>
    </row>
    <row r="5816" spans="1:6" x14ac:dyDescent="0.25">
      <c r="A5816" s="140" t="s">
        <v>37</v>
      </c>
      <c r="B5816" s="136">
        <v>44135</v>
      </c>
      <c r="C5816" s="4">
        <v>10</v>
      </c>
      <c r="D5816" s="29">
        <f t="shared" si="518"/>
        <v>2549</v>
      </c>
      <c r="F5816" s="129">
        <f t="shared" si="519"/>
        <v>47</v>
      </c>
    </row>
    <row r="5817" spans="1:6" x14ac:dyDescent="0.25">
      <c r="A5817" s="140" t="s">
        <v>38</v>
      </c>
      <c r="B5817" s="136">
        <v>44135</v>
      </c>
      <c r="C5817" s="4">
        <v>264</v>
      </c>
      <c r="D5817" s="29">
        <f t="shared" si="518"/>
        <v>15997</v>
      </c>
      <c r="E5817" s="4">
        <f>1</f>
        <v>1</v>
      </c>
      <c r="F5817" s="129">
        <f t="shared" si="519"/>
        <v>277</v>
      </c>
    </row>
    <row r="5818" spans="1:6" x14ac:dyDescent="0.25">
      <c r="A5818" s="140" t="s">
        <v>48</v>
      </c>
      <c r="B5818" s="136">
        <v>44135</v>
      </c>
      <c r="C5818" s="4">
        <v>4</v>
      </c>
      <c r="D5818" s="29">
        <f t="shared" si="518"/>
        <v>153</v>
      </c>
      <c r="F5818" s="129">
        <f t="shared" si="519"/>
        <v>1</v>
      </c>
    </row>
    <row r="5819" spans="1:6" x14ac:dyDescent="0.25">
      <c r="A5819" s="140" t="s">
        <v>39</v>
      </c>
      <c r="B5819" s="136">
        <v>44135</v>
      </c>
      <c r="C5819" s="4">
        <v>33</v>
      </c>
      <c r="D5819" s="29">
        <f t="shared" si="518"/>
        <v>17856</v>
      </c>
      <c r="E5819" s="4">
        <f>3+1</f>
        <v>4</v>
      </c>
      <c r="F5819" s="129">
        <f t="shared" si="519"/>
        <v>811</v>
      </c>
    </row>
    <row r="5820" spans="1:6" x14ac:dyDescent="0.25">
      <c r="A5820" s="140" t="s">
        <v>40</v>
      </c>
      <c r="B5820" s="136">
        <v>44135</v>
      </c>
      <c r="C5820" s="4">
        <v>90</v>
      </c>
      <c r="D5820" s="29">
        <f t="shared" si="518"/>
        <v>3279</v>
      </c>
      <c r="E5820" s="4">
        <f>1</f>
        <v>1</v>
      </c>
      <c r="F5820" s="129">
        <f t="shared" si="519"/>
        <v>33</v>
      </c>
    </row>
    <row r="5821" spans="1:6" x14ac:dyDescent="0.25">
      <c r="A5821" s="140" t="s">
        <v>28</v>
      </c>
      <c r="B5821" s="136">
        <v>44135</v>
      </c>
      <c r="C5821" s="4">
        <v>55</v>
      </c>
      <c r="D5821" s="29">
        <f t="shared" si="518"/>
        <v>7569</v>
      </c>
      <c r="E5821" s="4">
        <f>2</f>
        <v>2</v>
      </c>
      <c r="F5821" s="129">
        <f t="shared" si="519"/>
        <v>272</v>
      </c>
    </row>
    <row r="5822" spans="1:6" x14ac:dyDescent="0.25">
      <c r="A5822" s="140" t="s">
        <v>24</v>
      </c>
      <c r="B5822" s="136">
        <v>44135</v>
      </c>
      <c r="C5822" s="4">
        <v>509</v>
      </c>
      <c r="D5822" s="29">
        <f t="shared" si="518"/>
        <v>47073</v>
      </c>
      <c r="E5822" s="4">
        <f>4+1</f>
        <v>5</v>
      </c>
      <c r="F5822" s="129">
        <f t="shared" si="519"/>
        <v>778</v>
      </c>
    </row>
    <row r="5823" spans="1:6" x14ac:dyDescent="0.25">
      <c r="A5823" s="140" t="s">
        <v>30</v>
      </c>
      <c r="B5823" s="136">
        <v>44135</v>
      </c>
      <c r="C5823" s="4">
        <v>-9</v>
      </c>
      <c r="D5823" s="29">
        <f t="shared" si="518"/>
        <v>261</v>
      </c>
      <c r="F5823" s="129">
        <f t="shared" si="519"/>
        <v>5</v>
      </c>
    </row>
    <row r="5824" spans="1:6" x14ac:dyDescent="0.25">
      <c r="A5824" s="140" t="s">
        <v>26</v>
      </c>
      <c r="B5824" s="136">
        <v>44135</v>
      </c>
      <c r="C5824" s="4">
        <v>467</v>
      </c>
      <c r="D5824" s="29">
        <f t="shared" si="518"/>
        <v>22238</v>
      </c>
      <c r="E5824" s="4">
        <v>0</v>
      </c>
      <c r="F5824" s="129">
        <f t="shared" si="519"/>
        <v>406</v>
      </c>
    </row>
    <row r="5825" spans="1:6" x14ac:dyDescent="0.25">
      <c r="A5825" s="140" t="s">
        <v>25</v>
      </c>
      <c r="B5825" s="136">
        <v>44135</v>
      </c>
      <c r="C5825" s="4">
        <v>255</v>
      </c>
      <c r="D5825" s="29">
        <f t="shared" si="518"/>
        <v>23993</v>
      </c>
      <c r="E5825" s="4">
        <f>1+2</f>
        <v>3</v>
      </c>
      <c r="F5825" s="129">
        <f t="shared" si="519"/>
        <v>612</v>
      </c>
    </row>
    <row r="5826" spans="1:6" x14ac:dyDescent="0.25">
      <c r="A5826" s="140" t="s">
        <v>41</v>
      </c>
      <c r="B5826" s="136">
        <v>44135</v>
      </c>
      <c r="C5826" s="4">
        <v>146</v>
      </c>
      <c r="D5826" s="29">
        <f t="shared" ref="D5826:D5832" si="520">C5826+D5802</f>
        <v>18746</v>
      </c>
      <c r="E5826" s="4">
        <f>4+3</f>
        <v>7</v>
      </c>
      <c r="F5826" s="129">
        <f t="shared" si="519"/>
        <v>791</v>
      </c>
    </row>
    <row r="5827" spans="1:6" x14ac:dyDescent="0.25">
      <c r="A5827" s="140" t="s">
        <v>42</v>
      </c>
      <c r="B5827" s="136">
        <v>44135</v>
      </c>
      <c r="C5827" s="4">
        <v>110</v>
      </c>
      <c r="D5827" s="29">
        <f t="shared" si="520"/>
        <v>2366</v>
      </c>
      <c r="F5827" s="129">
        <f t="shared" si="519"/>
        <v>101</v>
      </c>
    </row>
    <row r="5828" spans="1:6" x14ac:dyDescent="0.25">
      <c r="A5828" s="140" t="s">
        <v>43</v>
      </c>
      <c r="B5828" s="136">
        <v>44135</v>
      </c>
      <c r="C5828" s="4">
        <v>167</v>
      </c>
      <c r="D5828" s="29">
        <f t="shared" si="520"/>
        <v>6981</v>
      </c>
      <c r="F5828" s="129">
        <f t="shared" si="519"/>
        <v>54</v>
      </c>
    </row>
    <row r="5829" spans="1:6" x14ac:dyDescent="0.25">
      <c r="A5829" s="140" t="s">
        <v>44</v>
      </c>
      <c r="B5829" s="136">
        <v>44135</v>
      </c>
      <c r="C5829" s="4">
        <v>159</v>
      </c>
      <c r="D5829" s="29">
        <f t="shared" si="520"/>
        <v>9508</v>
      </c>
      <c r="E5829" s="4">
        <f>3</f>
        <v>3</v>
      </c>
      <c r="F5829" s="129">
        <f t="shared" si="519"/>
        <v>133</v>
      </c>
    </row>
    <row r="5830" spans="1:6" x14ac:dyDescent="0.25">
      <c r="A5830" s="140" t="s">
        <v>29</v>
      </c>
      <c r="B5830" s="136">
        <v>44135</v>
      </c>
      <c r="C5830" s="4">
        <v>1718</v>
      </c>
      <c r="D5830" s="29">
        <f t="shared" si="520"/>
        <v>106348</v>
      </c>
      <c r="E5830" s="4">
        <f>5+11</f>
        <v>16</v>
      </c>
      <c r="F5830" s="129">
        <f t="shared" si="519"/>
        <v>1297</v>
      </c>
    </row>
    <row r="5831" spans="1:6" x14ac:dyDescent="0.25">
      <c r="A5831" s="140" t="s">
        <v>45</v>
      </c>
      <c r="B5831" s="136">
        <v>44135</v>
      </c>
      <c r="C5831" s="4">
        <v>221</v>
      </c>
      <c r="D5831" s="29">
        <f t="shared" si="520"/>
        <v>9799</v>
      </c>
      <c r="E5831" s="4">
        <f>3</f>
        <v>3</v>
      </c>
      <c r="F5831" s="129">
        <f t="shared" si="519"/>
        <v>132</v>
      </c>
    </row>
    <row r="5832" spans="1:6" x14ac:dyDescent="0.25">
      <c r="A5832" s="140" t="s">
        <v>46</v>
      </c>
      <c r="B5832" s="136">
        <v>44135</v>
      </c>
      <c r="C5832" s="4">
        <v>189</v>
      </c>
      <c r="D5832" s="29">
        <f t="shared" si="520"/>
        <v>11376</v>
      </c>
      <c r="E5832" s="4">
        <f>1</f>
        <v>1</v>
      </c>
      <c r="F5832" s="129">
        <f t="shared" si="519"/>
        <v>148</v>
      </c>
    </row>
    <row r="5833" spans="1:6" ht="15.75" thickBot="1" x14ac:dyDescent="0.3">
      <c r="A5833" s="141" t="s">
        <v>47</v>
      </c>
      <c r="B5833" s="145">
        <v>44135</v>
      </c>
      <c r="C5833" s="54">
        <v>729</v>
      </c>
      <c r="D5833" s="132">
        <f>C5833+D5809</f>
        <v>49523</v>
      </c>
      <c r="E5833" s="54">
        <f>3+3</f>
        <v>6</v>
      </c>
      <c r="F5833" s="130">
        <f t="shared" si="519"/>
        <v>772</v>
      </c>
    </row>
    <row r="5834" spans="1:6" x14ac:dyDescent="0.25">
      <c r="A5834" s="64" t="s">
        <v>22</v>
      </c>
      <c r="B5834" s="136">
        <v>44136</v>
      </c>
      <c r="C5834" s="48">
        <v>1574</v>
      </c>
      <c r="D5834" s="131">
        <f t="shared" ref="D5834:D5897" si="521">C5834+D5810</f>
        <v>550939</v>
      </c>
      <c r="E5834" s="48">
        <v>56</v>
      </c>
      <c r="F5834" s="128">
        <f t="shared" si="519"/>
        <v>17665</v>
      </c>
    </row>
    <row r="5835" spans="1:6" x14ac:dyDescent="0.25">
      <c r="A5835" s="140" t="s">
        <v>20</v>
      </c>
      <c r="B5835" s="136">
        <v>44136</v>
      </c>
      <c r="C5835" s="4">
        <v>258</v>
      </c>
      <c r="D5835" s="29">
        <f t="shared" si="521"/>
        <v>147459</v>
      </c>
      <c r="E5835" s="4">
        <v>20</v>
      </c>
      <c r="F5835" s="129">
        <f t="shared" si="519"/>
        <v>4774</v>
      </c>
    </row>
    <row r="5836" spans="1:6" x14ac:dyDescent="0.25">
      <c r="A5836" s="140" t="s">
        <v>35</v>
      </c>
      <c r="B5836" s="136">
        <v>44136</v>
      </c>
      <c r="C5836" s="4">
        <v>39</v>
      </c>
      <c r="D5836" s="29">
        <f t="shared" si="521"/>
        <v>935</v>
      </c>
      <c r="F5836" s="129">
        <f t="shared" si="519"/>
        <v>0</v>
      </c>
    </row>
    <row r="5837" spans="1:6" x14ac:dyDescent="0.25">
      <c r="A5837" s="140" t="s">
        <v>21</v>
      </c>
      <c r="B5837" s="136">
        <v>44136</v>
      </c>
      <c r="C5837" s="4">
        <v>141</v>
      </c>
      <c r="D5837" s="29">
        <f t="shared" si="521"/>
        <v>14191</v>
      </c>
      <c r="E5837" s="4">
        <v>5</v>
      </c>
      <c r="F5837" s="129">
        <f t="shared" si="519"/>
        <v>432</v>
      </c>
    </row>
    <row r="5838" spans="1:6" x14ac:dyDescent="0.25">
      <c r="A5838" s="140" t="s">
        <v>36</v>
      </c>
      <c r="B5838" s="136">
        <v>44136</v>
      </c>
      <c r="C5838" s="4">
        <v>93</v>
      </c>
      <c r="D5838" s="29">
        <f t="shared" si="521"/>
        <v>14475</v>
      </c>
      <c r="E5838" s="4">
        <v>1</v>
      </c>
      <c r="F5838" s="129">
        <f t="shared" si="519"/>
        <v>249</v>
      </c>
    </row>
    <row r="5839" spans="1:6" x14ac:dyDescent="0.25">
      <c r="A5839" s="140" t="s">
        <v>27</v>
      </c>
      <c r="B5839" s="136">
        <v>44136</v>
      </c>
      <c r="C5839" s="4">
        <v>903</v>
      </c>
      <c r="D5839" s="29">
        <f t="shared" si="521"/>
        <v>86318</v>
      </c>
      <c r="E5839" s="4">
        <v>18</v>
      </c>
      <c r="F5839" s="129">
        <f t="shared" si="519"/>
        <v>1309</v>
      </c>
    </row>
    <row r="5840" spans="1:6" x14ac:dyDescent="0.25">
      <c r="A5840" s="140" t="s">
        <v>37</v>
      </c>
      <c r="B5840" s="136">
        <v>44136</v>
      </c>
      <c r="C5840" s="4">
        <v>4</v>
      </c>
      <c r="D5840" s="29">
        <f t="shared" si="521"/>
        <v>2553</v>
      </c>
      <c r="F5840" s="129">
        <f t="shared" si="519"/>
        <v>47</v>
      </c>
    </row>
    <row r="5841" spans="1:6" x14ac:dyDescent="0.25">
      <c r="A5841" s="140" t="s">
        <v>38</v>
      </c>
      <c r="B5841" s="136">
        <v>44136</v>
      </c>
      <c r="C5841" s="4">
        <v>198</v>
      </c>
      <c r="D5841" s="29">
        <f t="shared" si="521"/>
        <v>16195</v>
      </c>
      <c r="E5841" s="4">
        <v>1</v>
      </c>
      <c r="F5841" s="129">
        <f t="shared" si="519"/>
        <v>278</v>
      </c>
    </row>
    <row r="5842" spans="1:6" x14ac:dyDescent="0.25">
      <c r="A5842" s="140" t="s">
        <v>48</v>
      </c>
      <c r="B5842" s="136">
        <v>44136</v>
      </c>
      <c r="C5842" s="4">
        <v>-2</v>
      </c>
      <c r="D5842" s="29">
        <f t="shared" si="521"/>
        <v>151</v>
      </c>
      <c r="E5842" s="4">
        <v>1</v>
      </c>
      <c r="F5842" s="129">
        <f t="shared" si="519"/>
        <v>2</v>
      </c>
    </row>
    <row r="5843" spans="1:6" x14ac:dyDescent="0.25">
      <c r="A5843" s="140" t="s">
        <v>39</v>
      </c>
      <c r="B5843" s="136">
        <v>44136</v>
      </c>
      <c r="C5843" s="4">
        <v>28</v>
      </c>
      <c r="D5843" s="29">
        <f t="shared" si="521"/>
        <v>17884</v>
      </c>
      <c r="E5843" s="4">
        <v>1</v>
      </c>
      <c r="F5843" s="129">
        <f t="shared" si="519"/>
        <v>812</v>
      </c>
    </row>
    <row r="5844" spans="1:6" x14ac:dyDescent="0.25">
      <c r="A5844" s="140" t="s">
        <v>40</v>
      </c>
      <c r="B5844" s="136">
        <v>44136</v>
      </c>
      <c r="C5844" s="4">
        <v>82</v>
      </c>
      <c r="D5844" s="29">
        <f t="shared" si="521"/>
        <v>3361</v>
      </c>
      <c r="F5844" s="129">
        <f t="shared" si="519"/>
        <v>33</v>
      </c>
    </row>
    <row r="5845" spans="1:6" x14ac:dyDescent="0.25">
      <c r="A5845" s="140" t="s">
        <v>28</v>
      </c>
      <c r="B5845" s="136">
        <v>44136</v>
      </c>
      <c r="C5845" s="4">
        <v>35</v>
      </c>
      <c r="D5845" s="29">
        <f t="shared" si="521"/>
        <v>7604</v>
      </c>
      <c r="F5845" s="129">
        <f t="shared" si="519"/>
        <v>272</v>
      </c>
    </row>
    <row r="5846" spans="1:6" x14ac:dyDescent="0.25">
      <c r="A5846" s="140" t="s">
        <v>24</v>
      </c>
      <c r="B5846" s="136">
        <v>44136</v>
      </c>
      <c r="C5846" s="4">
        <v>207</v>
      </c>
      <c r="D5846" s="29">
        <f t="shared" si="521"/>
        <v>47280</v>
      </c>
      <c r="E5846" s="4">
        <v>1</v>
      </c>
      <c r="F5846" s="129">
        <f t="shared" si="519"/>
        <v>779</v>
      </c>
    </row>
    <row r="5847" spans="1:6" x14ac:dyDescent="0.25">
      <c r="A5847" s="140" t="s">
        <v>30</v>
      </c>
      <c r="B5847" s="136">
        <v>44136</v>
      </c>
      <c r="C5847" s="4">
        <v>17</v>
      </c>
      <c r="D5847" s="29">
        <f t="shared" si="521"/>
        <v>278</v>
      </c>
      <c r="F5847" s="129">
        <f t="shared" si="519"/>
        <v>5</v>
      </c>
    </row>
    <row r="5848" spans="1:6" x14ac:dyDescent="0.25">
      <c r="A5848" s="140" t="s">
        <v>26</v>
      </c>
      <c r="B5848" s="136">
        <v>44136</v>
      </c>
      <c r="C5848" s="4">
        <v>256</v>
      </c>
      <c r="D5848" s="29">
        <f t="shared" si="521"/>
        <v>22494</v>
      </c>
      <c r="E5848" s="4">
        <v>1</v>
      </c>
      <c r="F5848" s="129">
        <f t="shared" si="519"/>
        <v>407</v>
      </c>
    </row>
    <row r="5849" spans="1:6" x14ac:dyDescent="0.25">
      <c r="A5849" s="140" t="s">
        <v>25</v>
      </c>
      <c r="B5849" s="136">
        <v>44136</v>
      </c>
      <c r="C5849" s="4">
        <v>144</v>
      </c>
      <c r="D5849" s="29">
        <f t="shared" si="521"/>
        <v>24137</v>
      </c>
      <c r="E5849" s="4">
        <v>2</v>
      </c>
      <c r="F5849" s="129">
        <f t="shared" si="519"/>
        <v>614</v>
      </c>
    </row>
    <row r="5850" spans="1:6" x14ac:dyDescent="0.25">
      <c r="A5850" s="140" t="s">
        <v>41</v>
      </c>
      <c r="B5850" s="136">
        <v>44136</v>
      </c>
      <c r="C5850" s="4">
        <v>139</v>
      </c>
      <c r="D5850" s="29">
        <f t="shared" si="521"/>
        <v>18885</v>
      </c>
      <c r="E5850" s="4">
        <v>6</v>
      </c>
      <c r="F5850" s="129">
        <f t="shared" si="519"/>
        <v>797</v>
      </c>
    </row>
    <row r="5851" spans="1:6" x14ac:dyDescent="0.25">
      <c r="A5851" s="140" t="s">
        <v>42</v>
      </c>
      <c r="B5851" s="136">
        <v>44136</v>
      </c>
      <c r="C5851" s="4">
        <v>59</v>
      </c>
      <c r="D5851" s="29">
        <f t="shared" si="521"/>
        <v>2425</v>
      </c>
      <c r="F5851" s="129">
        <f t="shared" si="519"/>
        <v>101</v>
      </c>
    </row>
    <row r="5852" spans="1:6" x14ac:dyDescent="0.25">
      <c r="A5852" s="140" t="s">
        <v>43</v>
      </c>
      <c r="B5852" s="136">
        <v>44136</v>
      </c>
      <c r="C5852" s="4">
        <v>248</v>
      </c>
      <c r="D5852" s="29">
        <f t="shared" si="521"/>
        <v>7229</v>
      </c>
      <c r="F5852" s="129">
        <f t="shared" si="519"/>
        <v>54</v>
      </c>
    </row>
    <row r="5853" spans="1:6" x14ac:dyDescent="0.25">
      <c r="A5853" s="140" t="s">
        <v>44</v>
      </c>
      <c r="B5853" s="136">
        <v>44136</v>
      </c>
      <c r="C5853" s="4">
        <v>176</v>
      </c>
      <c r="D5853" s="29">
        <f t="shared" si="521"/>
        <v>9684</v>
      </c>
      <c r="E5853" s="4">
        <v>2</v>
      </c>
      <c r="F5853" s="129">
        <f t="shared" si="519"/>
        <v>135</v>
      </c>
    </row>
    <row r="5854" spans="1:6" x14ac:dyDescent="0.25">
      <c r="A5854" s="140" t="s">
        <v>29</v>
      </c>
      <c r="B5854" s="136">
        <v>44136</v>
      </c>
      <c r="C5854" s="4">
        <v>1170</v>
      </c>
      <c r="D5854" s="29">
        <f t="shared" si="521"/>
        <v>107518</v>
      </c>
      <c r="E5854" s="4">
        <v>17</v>
      </c>
      <c r="F5854" s="129">
        <f t="shared" si="519"/>
        <v>1314</v>
      </c>
    </row>
    <row r="5855" spans="1:6" x14ac:dyDescent="0.25">
      <c r="A5855" s="140" t="s">
        <v>45</v>
      </c>
      <c r="B5855" s="136">
        <v>44136</v>
      </c>
      <c r="C5855" s="4">
        <v>182</v>
      </c>
      <c r="D5855" s="29">
        <f t="shared" si="521"/>
        <v>9981</v>
      </c>
      <c r="E5855" s="4">
        <v>1</v>
      </c>
      <c r="F5855" s="129">
        <f t="shared" si="519"/>
        <v>133</v>
      </c>
    </row>
    <row r="5856" spans="1:6" x14ac:dyDescent="0.25">
      <c r="A5856" s="140" t="s">
        <v>46</v>
      </c>
      <c r="B5856" s="136">
        <v>44136</v>
      </c>
      <c r="C5856" s="4">
        <v>205</v>
      </c>
      <c r="D5856" s="29">
        <f t="shared" si="521"/>
        <v>11581</v>
      </c>
      <c r="E5856" s="4">
        <v>2</v>
      </c>
      <c r="F5856" s="129">
        <f t="shared" si="519"/>
        <v>150</v>
      </c>
    </row>
    <row r="5857" spans="1:6" ht="15.75" thickBot="1" x14ac:dyDescent="0.3">
      <c r="A5857" s="141" t="s">
        <v>47</v>
      </c>
      <c r="B5857" s="136">
        <v>44136</v>
      </c>
      <c r="C5857" s="4">
        <v>453</v>
      </c>
      <c r="D5857" s="132">
        <f>C5857+D5833</f>
        <v>49976</v>
      </c>
      <c r="F5857" s="130">
        <f t="shared" si="519"/>
        <v>772</v>
      </c>
    </row>
    <row r="5858" spans="1:6" x14ac:dyDescent="0.25">
      <c r="A5858" s="64" t="s">
        <v>22</v>
      </c>
      <c r="B5858" s="136">
        <v>44137</v>
      </c>
      <c r="C5858" s="4">
        <v>3022</v>
      </c>
      <c r="D5858" s="131">
        <f t="shared" si="521"/>
        <v>553961</v>
      </c>
      <c r="E5858" s="4">
        <v>204</v>
      </c>
      <c r="F5858" s="128">
        <f t="shared" si="519"/>
        <v>17869</v>
      </c>
    </row>
    <row r="5859" spans="1:6" x14ac:dyDescent="0.25">
      <c r="A5859" s="140" t="s">
        <v>20</v>
      </c>
      <c r="B5859" s="136">
        <v>44137</v>
      </c>
      <c r="C5859" s="4">
        <v>425</v>
      </c>
      <c r="D5859" s="29">
        <f t="shared" si="521"/>
        <v>147884</v>
      </c>
      <c r="E5859" s="4">
        <v>35</v>
      </c>
      <c r="F5859" s="129">
        <f t="shared" si="519"/>
        <v>4809</v>
      </c>
    </row>
    <row r="5860" spans="1:6" x14ac:dyDescent="0.25">
      <c r="A5860" s="140" t="s">
        <v>35</v>
      </c>
      <c r="B5860" s="136">
        <v>44137</v>
      </c>
      <c r="C5860" s="4">
        <v>45</v>
      </c>
      <c r="D5860" s="29">
        <f t="shared" si="521"/>
        <v>980</v>
      </c>
      <c r="F5860" s="129">
        <f t="shared" si="519"/>
        <v>0</v>
      </c>
    </row>
    <row r="5861" spans="1:6" x14ac:dyDescent="0.25">
      <c r="A5861" s="140" t="s">
        <v>21</v>
      </c>
      <c r="B5861" s="136">
        <v>44137</v>
      </c>
      <c r="C5861" s="4">
        <v>73</v>
      </c>
      <c r="D5861" s="29">
        <f t="shared" si="521"/>
        <v>14264</v>
      </c>
      <c r="E5861" s="4">
        <v>2</v>
      </c>
      <c r="F5861" s="129">
        <f t="shared" si="519"/>
        <v>434</v>
      </c>
    </row>
    <row r="5862" spans="1:6" x14ac:dyDescent="0.25">
      <c r="A5862" s="140" t="s">
        <v>36</v>
      </c>
      <c r="B5862" s="136">
        <v>44137</v>
      </c>
      <c r="C5862" s="4">
        <v>316</v>
      </c>
      <c r="D5862" s="29">
        <f t="shared" si="521"/>
        <v>14791</v>
      </c>
      <c r="E5862" s="4">
        <v>5</v>
      </c>
      <c r="F5862" s="129">
        <f t="shared" si="519"/>
        <v>254</v>
      </c>
    </row>
    <row r="5863" spans="1:6" x14ac:dyDescent="0.25">
      <c r="A5863" s="140" t="s">
        <v>27</v>
      </c>
      <c r="B5863" s="136">
        <v>44137</v>
      </c>
      <c r="C5863" s="4">
        <v>633</v>
      </c>
      <c r="D5863" s="29">
        <f t="shared" si="521"/>
        <v>86951</v>
      </c>
      <c r="E5863" s="4">
        <v>27</v>
      </c>
      <c r="F5863" s="129">
        <f t="shared" si="519"/>
        <v>1336</v>
      </c>
    </row>
    <row r="5864" spans="1:6" x14ac:dyDescent="0.25">
      <c r="A5864" s="140" t="s">
        <v>37</v>
      </c>
      <c r="B5864" s="136">
        <v>44137</v>
      </c>
      <c r="C5864" s="4">
        <v>40</v>
      </c>
      <c r="D5864" s="29">
        <f t="shared" si="521"/>
        <v>2593</v>
      </c>
      <c r="F5864" s="129">
        <f t="shared" si="519"/>
        <v>47</v>
      </c>
    </row>
    <row r="5865" spans="1:6" x14ac:dyDescent="0.25">
      <c r="A5865" s="140" t="s">
        <v>38</v>
      </c>
      <c r="B5865" s="136">
        <v>44137</v>
      </c>
      <c r="C5865" s="4">
        <v>231</v>
      </c>
      <c r="D5865" s="29">
        <f t="shared" si="521"/>
        <v>16426</v>
      </c>
      <c r="E5865" s="4">
        <v>9</v>
      </c>
      <c r="F5865" s="129">
        <f t="shared" si="519"/>
        <v>287</v>
      </c>
    </row>
    <row r="5866" spans="1:6" x14ac:dyDescent="0.25">
      <c r="A5866" s="140" t="s">
        <v>48</v>
      </c>
      <c r="B5866" s="136">
        <v>44137</v>
      </c>
      <c r="C5866" s="4">
        <v>7</v>
      </c>
      <c r="D5866" s="29">
        <f t="shared" si="521"/>
        <v>158</v>
      </c>
      <c r="F5866" s="129">
        <f t="shared" ref="F5866:F5930" si="522">E5866+F5842</f>
        <v>2</v>
      </c>
    </row>
    <row r="5867" spans="1:6" x14ac:dyDescent="0.25">
      <c r="A5867" s="140" t="s">
        <v>39</v>
      </c>
      <c r="B5867" s="136">
        <v>44137</v>
      </c>
      <c r="C5867" s="4">
        <v>34</v>
      </c>
      <c r="D5867" s="29">
        <f t="shared" si="521"/>
        <v>17918</v>
      </c>
      <c r="E5867" s="4">
        <v>3</v>
      </c>
      <c r="F5867" s="129">
        <f t="shared" si="522"/>
        <v>815</v>
      </c>
    </row>
    <row r="5868" spans="1:6" x14ac:dyDescent="0.25">
      <c r="A5868" s="140" t="s">
        <v>40</v>
      </c>
      <c r="B5868" s="136">
        <v>44137</v>
      </c>
      <c r="C5868" s="4">
        <v>119</v>
      </c>
      <c r="D5868" s="29">
        <f t="shared" si="521"/>
        <v>3480</v>
      </c>
      <c r="E5868" s="4">
        <v>3</v>
      </c>
      <c r="F5868" s="129">
        <f t="shared" si="522"/>
        <v>36</v>
      </c>
    </row>
    <row r="5869" spans="1:6" x14ac:dyDescent="0.25">
      <c r="A5869" s="140" t="s">
        <v>28</v>
      </c>
      <c r="B5869" s="136">
        <v>44137</v>
      </c>
      <c r="C5869" s="4">
        <v>36</v>
      </c>
      <c r="D5869" s="29">
        <f t="shared" si="521"/>
        <v>7640</v>
      </c>
      <c r="E5869" s="4">
        <v>2</v>
      </c>
      <c r="F5869" s="129">
        <f t="shared" si="522"/>
        <v>274</v>
      </c>
    </row>
    <row r="5870" spans="1:6" x14ac:dyDescent="0.25">
      <c r="A5870" s="140" t="s">
        <v>24</v>
      </c>
      <c r="B5870" s="136">
        <v>44137</v>
      </c>
      <c r="C5870" s="4">
        <v>513</v>
      </c>
      <c r="D5870" s="29">
        <f t="shared" si="521"/>
        <v>47793</v>
      </c>
      <c r="E5870" s="4">
        <v>19</v>
      </c>
      <c r="F5870" s="129">
        <f t="shared" si="522"/>
        <v>798</v>
      </c>
    </row>
    <row r="5871" spans="1:6" x14ac:dyDescent="0.25">
      <c r="A5871" s="140" t="s">
        <v>30</v>
      </c>
      <c r="B5871" s="136">
        <v>44137</v>
      </c>
      <c r="C5871" s="4">
        <v>4</v>
      </c>
      <c r="D5871" s="29">
        <f t="shared" si="521"/>
        <v>282</v>
      </c>
      <c r="F5871" s="129">
        <f t="shared" si="522"/>
        <v>5</v>
      </c>
    </row>
    <row r="5872" spans="1:6" x14ac:dyDescent="0.25">
      <c r="A5872" s="140" t="s">
        <v>26</v>
      </c>
      <c r="B5872" s="136">
        <v>44137</v>
      </c>
      <c r="C5872" s="4">
        <v>250</v>
      </c>
      <c r="D5872" s="29">
        <f t="shared" si="521"/>
        <v>22744</v>
      </c>
      <c r="E5872" s="4">
        <v>2</v>
      </c>
      <c r="F5872" s="129">
        <f t="shared" si="522"/>
        <v>409</v>
      </c>
    </row>
    <row r="5873" spans="1:6" x14ac:dyDescent="0.25">
      <c r="A5873" s="140" t="s">
        <v>25</v>
      </c>
      <c r="B5873" s="136">
        <v>44137</v>
      </c>
      <c r="C5873" s="4">
        <v>275</v>
      </c>
      <c r="D5873" s="29">
        <f t="shared" si="521"/>
        <v>24412</v>
      </c>
      <c r="E5873" s="4">
        <v>17</v>
      </c>
      <c r="F5873" s="129">
        <f t="shared" si="522"/>
        <v>631</v>
      </c>
    </row>
    <row r="5874" spans="1:6" x14ac:dyDescent="0.25">
      <c r="A5874" s="140" t="s">
        <v>41</v>
      </c>
      <c r="B5874" s="136">
        <v>44137</v>
      </c>
      <c r="C5874" s="4">
        <v>64</v>
      </c>
      <c r="D5874" s="29">
        <f t="shared" si="521"/>
        <v>18949</v>
      </c>
      <c r="E5874" s="4">
        <v>7</v>
      </c>
      <c r="F5874" s="129">
        <f t="shared" si="522"/>
        <v>804</v>
      </c>
    </row>
    <row r="5875" spans="1:6" x14ac:dyDescent="0.25">
      <c r="A5875" s="140" t="s">
        <v>42</v>
      </c>
      <c r="B5875" s="136">
        <v>44137</v>
      </c>
      <c r="C5875" s="4">
        <v>304</v>
      </c>
      <c r="D5875" s="29">
        <f t="shared" si="521"/>
        <v>2729</v>
      </c>
      <c r="F5875" s="129">
        <f t="shared" si="522"/>
        <v>101</v>
      </c>
    </row>
    <row r="5876" spans="1:6" x14ac:dyDescent="0.25">
      <c r="A5876" s="140" t="s">
        <v>43</v>
      </c>
      <c r="B5876" s="136">
        <v>44137</v>
      </c>
      <c r="C5876" s="4">
        <v>380</v>
      </c>
      <c r="D5876" s="29">
        <f t="shared" si="521"/>
        <v>7609</v>
      </c>
      <c r="E5876" s="4">
        <v>17</v>
      </c>
      <c r="F5876" s="129">
        <f t="shared" si="522"/>
        <v>71</v>
      </c>
    </row>
    <row r="5877" spans="1:6" x14ac:dyDescent="0.25">
      <c r="A5877" s="140" t="s">
        <v>44</v>
      </c>
      <c r="B5877" s="136">
        <v>44137</v>
      </c>
      <c r="C5877" s="4">
        <v>131</v>
      </c>
      <c r="D5877" s="29">
        <f t="shared" si="521"/>
        <v>9815</v>
      </c>
      <c r="E5877" s="4">
        <v>6</v>
      </c>
      <c r="F5877" s="129">
        <f t="shared" si="522"/>
        <v>141</v>
      </c>
    </row>
    <row r="5878" spans="1:6" x14ac:dyDescent="0.25">
      <c r="A5878" s="140" t="s">
        <v>29</v>
      </c>
      <c r="B5878" s="136">
        <v>44137</v>
      </c>
      <c r="C5878" s="4">
        <v>1793</v>
      </c>
      <c r="D5878" s="29">
        <f t="shared" si="521"/>
        <v>109311</v>
      </c>
      <c r="E5878" s="4">
        <v>75</v>
      </c>
      <c r="F5878" s="129">
        <f t="shared" si="522"/>
        <v>1389</v>
      </c>
    </row>
    <row r="5879" spans="1:6" x14ac:dyDescent="0.25">
      <c r="A5879" s="140" t="s">
        <v>45</v>
      </c>
      <c r="B5879" s="136">
        <v>44137</v>
      </c>
      <c r="C5879" s="4">
        <v>111</v>
      </c>
      <c r="D5879" s="29">
        <f t="shared" si="521"/>
        <v>10092</v>
      </c>
      <c r="E5879" s="4">
        <v>1</v>
      </c>
      <c r="F5879" s="129">
        <f t="shared" si="522"/>
        <v>134</v>
      </c>
    </row>
    <row r="5880" spans="1:6" x14ac:dyDescent="0.25">
      <c r="A5880" s="140" t="s">
        <v>46</v>
      </c>
      <c r="B5880" s="136">
        <v>44137</v>
      </c>
      <c r="C5880" s="4">
        <v>127</v>
      </c>
      <c r="D5880" s="29">
        <f t="shared" si="521"/>
        <v>11708</v>
      </c>
      <c r="E5880" s="4">
        <v>7</v>
      </c>
      <c r="F5880" s="129">
        <f t="shared" si="522"/>
        <v>157</v>
      </c>
    </row>
    <row r="5881" spans="1:6" ht="15.75" thickBot="1" x14ac:dyDescent="0.3">
      <c r="A5881" s="141" t="s">
        <v>47</v>
      </c>
      <c r="B5881" s="136">
        <v>44137</v>
      </c>
      <c r="C5881" s="4">
        <v>666</v>
      </c>
      <c r="D5881" s="132">
        <f>C5881+D5857</f>
        <v>50642</v>
      </c>
      <c r="E5881" s="4">
        <v>41</v>
      </c>
      <c r="F5881" s="130">
        <f t="shared" si="522"/>
        <v>813</v>
      </c>
    </row>
    <row r="5882" spans="1:6" x14ac:dyDescent="0.25">
      <c r="A5882" s="64" t="s">
        <v>22</v>
      </c>
      <c r="B5882" s="136">
        <v>44138</v>
      </c>
      <c r="C5882" s="4">
        <v>3615</v>
      </c>
      <c r="D5882" s="131">
        <f t="shared" si="521"/>
        <v>557576</v>
      </c>
      <c r="E5882" s="4">
        <v>188</v>
      </c>
      <c r="F5882" s="128">
        <f t="shared" si="522"/>
        <v>18057</v>
      </c>
    </row>
    <row r="5883" spans="1:6" x14ac:dyDescent="0.25">
      <c r="A5883" s="140" t="s">
        <v>20</v>
      </c>
      <c r="B5883" s="136">
        <v>44138</v>
      </c>
      <c r="C5883" s="4">
        <v>460</v>
      </c>
      <c r="D5883" s="29">
        <f t="shared" si="521"/>
        <v>148344</v>
      </c>
      <c r="E5883" s="4">
        <v>25</v>
      </c>
      <c r="F5883" s="129">
        <f t="shared" si="522"/>
        <v>4834</v>
      </c>
    </row>
    <row r="5884" spans="1:6" x14ac:dyDescent="0.25">
      <c r="A5884" s="140" t="s">
        <v>35</v>
      </c>
      <c r="B5884" s="136">
        <v>44138</v>
      </c>
      <c r="C5884" s="4">
        <v>31</v>
      </c>
      <c r="D5884" s="29">
        <f t="shared" si="521"/>
        <v>1011</v>
      </c>
      <c r="F5884" s="129">
        <f t="shared" si="522"/>
        <v>0</v>
      </c>
    </row>
    <row r="5885" spans="1:6" x14ac:dyDescent="0.25">
      <c r="A5885" s="140" t="s">
        <v>21</v>
      </c>
      <c r="B5885" s="136">
        <v>44138</v>
      </c>
      <c r="C5885" s="4">
        <v>131</v>
      </c>
      <c r="D5885" s="29">
        <f t="shared" si="521"/>
        <v>14395</v>
      </c>
      <c r="E5885" s="4">
        <v>7</v>
      </c>
      <c r="F5885" s="129">
        <f t="shared" si="522"/>
        <v>441</v>
      </c>
    </row>
    <row r="5886" spans="1:6" x14ac:dyDescent="0.25">
      <c r="A5886" s="140" t="s">
        <v>36</v>
      </c>
      <c r="B5886" s="136">
        <v>44138</v>
      </c>
      <c r="C5886" s="4">
        <v>421</v>
      </c>
      <c r="D5886" s="29">
        <f t="shared" si="521"/>
        <v>15212</v>
      </c>
      <c r="F5886" s="129">
        <f t="shared" si="522"/>
        <v>254</v>
      </c>
    </row>
    <row r="5887" spans="1:6" x14ac:dyDescent="0.25">
      <c r="A5887" s="140" t="s">
        <v>27</v>
      </c>
      <c r="B5887" s="136">
        <v>44138</v>
      </c>
      <c r="C5887" s="4">
        <v>1339</v>
      </c>
      <c r="D5887" s="29">
        <f t="shared" si="521"/>
        <v>88290</v>
      </c>
      <c r="E5887" s="4">
        <v>22</v>
      </c>
      <c r="F5887" s="129">
        <f t="shared" si="522"/>
        <v>1358</v>
      </c>
    </row>
    <row r="5888" spans="1:6" x14ac:dyDescent="0.25">
      <c r="A5888" s="140" t="s">
        <v>37</v>
      </c>
      <c r="B5888" s="136">
        <v>44138</v>
      </c>
      <c r="C5888" s="4">
        <v>26</v>
      </c>
      <c r="D5888" s="29">
        <f t="shared" si="521"/>
        <v>2619</v>
      </c>
      <c r="F5888" s="129">
        <f t="shared" si="522"/>
        <v>47</v>
      </c>
    </row>
    <row r="5889" spans="1:6" x14ac:dyDescent="0.25">
      <c r="A5889" s="140" t="s">
        <v>38</v>
      </c>
      <c r="B5889" s="136">
        <v>44138</v>
      </c>
      <c r="C5889" s="4">
        <v>258</v>
      </c>
      <c r="D5889" s="29">
        <f t="shared" si="521"/>
        <v>16684</v>
      </c>
      <c r="E5889" s="4">
        <v>7</v>
      </c>
      <c r="F5889" s="129">
        <f t="shared" si="522"/>
        <v>294</v>
      </c>
    </row>
    <row r="5890" spans="1:6" x14ac:dyDescent="0.25">
      <c r="A5890" s="140" t="s">
        <v>48</v>
      </c>
      <c r="B5890" s="136">
        <v>44138</v>
      </c>
      <c r="C5890" s="4">
        <v>0</v>
      </c>
      <c r="D5890" s="29">
        <f t="shared" si="521"/>
        <v>158</v>
      </c>
      <c r="F5890" s="129">
        <f t="shared" si="522"/>
        <v>2</v>
      </c>
    </row>
    <row r="5891" spans="1:6" x14ac:dyDescent="0.25">
      <c r="A5891" s="140" t="s">
        <v>39</v>
      </c>
      <c r="B5891" s="136">
        <v>44138</v>
      </c>
      <c r="C5891" s="4">
        <v>22</v>
      </c>
      <c r="D5891" s="29">
        <f t="shared" si="521"/>
        <v>17940</v>
      </c>
      <c r="E5891" s="4">
        <v>2</v>
      </c>
      <c r="F5891" s="129">
        <f t="shared" si="522"/>
        <v>817</v>
      </c>
    </row>
    <row r="5892" spans="1:6" x14ac:dyDescent="0.25">
      <c r="A5892" s="140" t="s">
        <v>40</v>
      </c>
      <c r="B5892" s="136">
        <v>44138</v>
      </c>
      <c r="C5892" s="4">
        <v>84</v>
      </c>
      <c r="D5892" s="29">
        <f t="shared" si="521"/>
        <v>3564</v>
      </c>
      <c r="F5892" s="129">
        <f t="shared" si="522"/>
        <v>36</v>
      </c>
    </row>
    <row r="5893" spans="1:6" x14ac:dyDescent="0.25">
      <c r="A5893" s="140" t="s">
        <v>28</v>
      </c>
      <c r="B5893" s="136">
        <v>44138</v>
      </c>
      <c r="C5893" s="4">
        <v>42</v>
      </c>
      <c r="D5893" s="29">
        <f t="shared" si="521"/>
        <v>7682</v>
      </c>
      <c r="E5893" s="4">
        <v>9</v>
      </c>
      <c r="F5893" s="129">
        <f t="shared" si="522"/>
        <v>283</v>
      </c>
    </row>
    <row r="5894" spans="1:6" x14ac:dyDescent="0.25">
      <c r="A5894" s="140" t="s">
        <v>24</v>
      </c>
      <c r="B5894" s="136">
        <v>44138</v>
      </c>
      <c r="C5894" s="4">
        <v>515</v>
      </c>
      <c r="D5894" s="29">
        <f t="shared" si="521"/>
        <v>48308</v>
      </c>
      <c r="E5894" s="4">
        <v>15</v>
      </c>
      <c r="F5894" s="129">
        <f t="shared" si="522"/>
        <v>813</v>
      </c>
    </row>
    <row r="5895" spans="1:6" x14ac:dyDescent="0.25">
      <c r="A5895" s="140" t="s">
        <v>30</v>
      </c>
      <c r="B5895" s="136">
        <v>44138</v>
      </c>
      <c r="C5895" s="4">
        <v>16</v>
      </c>
      <c r="D5895" s="29">
        <f t="shared" si="521"/>
        <v>298</v>
      </c>
      <c r="E5895" s="4">
        <v>1</v>
      </c>
      <c r="F5895" s="129">
        <f t="shared" si="522"/>
        <v>6</v>
      </c>
    </row>
    <row r="5896" spans="1:6" x14ac:dyDescent="0.25">
      <c r="A5896" s="140" t="s">
        <v>26</v>
      </c>
      <c r="B5896" s="136">
        <v>44138</v>
      </c>
      <c r="C5896" s="4">
        <v>934</v>
      </c>
      <c r="D5896" s="29">
        <f t="shared" si="521"/>
        <v>23678</v>
      </c>
      <c r="E5896" s="4">
        <v>5</v>
      </c>
      <c r="F5896" s="129">
        <f t="shared" si="522"/>
        <v>414</v>
      </c>
    </row>
    <row r="5897" spans="1:6" x14ac:dyDescent="0.25">
      <c r="A5897" s="140" t="s">
        <v>25</v>
      </c>
      <c r="B5897" s="136">
        <v>44138</v>
      </c>
      <c r="C5897" s="4">
        <v>395</v>
      </c>
      <c r="D5897" s="29">
        <f t="shared" si="521"/>
        <v>24807</v>
      </c>
      <c r="E5897" s="4">
        <v>3</v>
      </c>
      <c r="F5897" s="129">
        <f t="shared" si="522"/>
        <v>634</v>
      </c>
    </row>
    <row r="5898" spans="1:6" x14ac:dyDescent="0.25">
      <c r="A5898" s="140" t="s">
        <v>41</v>
      </c>
      <c r="B5898" s="136">
        <v>44138</v>
      </c>
      <c r="C5898" s="4">
        <v>110</v>
      </c>
      <c r="D5898" s="29">
        <f t="shared" ref="D5898:D5904" si="523">C5898+D5874</f>
        <v>19059</v>
      </c>
      <c r="E5898" s="4">
        <v>8</v>
      </c>
      <c r="F5898" s="129">
        <f t="shared" si="522"/>
        <v>812</v>
      </c>
    </row>
    <row r="5899" spans="1:6" x14ac:dyDescent="0.25">
      <c r="A5899" s="140" t="s">
        <v>42</v>
      </c>
      <c r="B5899" s="136">
        <v>44138</v>
      </c>
      <c r="C5899" s="4">
        <v>164</v>
      </c>
      <c r="D5899" s="29">
        <f t="shared" si="523"/>
        <v>2893</v>
      </c>
      <c r="E5899" s="4">
        <v>1</v>
      </c>
      <c r="F5899" s="129">
        <f t="shared" si="522"/>
        <v>102</v>
      </c>
    </row>
    <row r="5900" spans="1:6" x14ac:dyDescent="0.25">
      <c r="A5900" s="140" t="s">
        <v>43</v>
      </c>
      <c r="B5900" s="136">
        <v>44138</v>
      </c>
      <c r="C5900" s="4">
        <v>247</v>
      </c>
      <c r="D5900" s="29">
        <f t="shared" si="523"/>
        <v>7856</v>
      </c>
      <c r="E5900" s="4">
        <v>21</v>
      </c>
      <c r="F5900" s="129">
        <f t="shared" si="522"/>
        <v>92</v>
      </c>
    </row>
    <row r="5901" spans="1:6" x14ac:dyDescent="0.25">
      <c r="A5901" s="140" t="s">
        <v>44</v>
      </c>
      <c r="B5901" s="136">
        <v>44138</v>
      </c>
      <c r="C5901" s="4">
        <v>250</v>
      </c>
      <c r="D5901" s="29">
        <f t="shared" si="523"/>
        <v>10065</v>
      </c>
      <c r="E5901" s="4">
        <v>6</v>
      </c>
      <c r="F5901" s="129">
        <f t="shared" si="522"/>
        <v>147</v>
      </c>
    </row>
    <row r="5902" spans="1:6" x14ac:dyDescent="0.25">
      <c r="A5902" s="140" t="s">
        <v>29</v>
      </c>
      <c r="B5902" s="136">
        <v>44138</v>
      </c>
      <c r="C5902" s="4">
        <v>1764</v>
      </c>
      <c r="D5902" s="29">
        <f t="shared" si="523"/>
        <v>111075</v>
      </c>
      <c r="E5902" s="4">
        <v>85</v>
      </c>
      <c r="F5902" s="129">
        <f t="shared" si="522"/>
        <v>1474</v>
      </c>
    </row>
    <row r="5903" spans="1:6" x14ac:dyDescent="0.25">
      <c r="A5903" s="140" t="s">
        <v>45</v>
      </c>
      <c r="B5903" s="136">
        <v>44138</v>
      </c>
      <c r="C5903" s="4">
        <v>82</v>
      </c>
      <c r="D5903" s="29">
        <f t="shared" si="523"/>
        <v>10174</v>
      </c>
      <c r="E5903" s="4">
        <v>1</v>
      </c>
      <c r="F5903" s="129">
        <f t="shared" si="522"/>
        <v>135</v>
      </c>
    </row>
    <row r="5904" spans="1:6" x14ac:dyDescent="0.25">
      <c r="A5904" s="140" t="s">
        <v>46</v>
      </c>
      <c r="B5904" s="136">
        <v>44138</v>
      </c>
      <c r="C5904" s="4">
        <v>266</v>
      </c>
      <c r="D5904" s="29">
        <f t="shared" si="523"/>
        <v>11974</v>
      </c>
      <c r="E5904" s="4">
        <v>2</v>
      </c>
      <c r="F5904" s="129">
        <f t="shared" si="522"/>
        <v>159</v>
      </c>
    </row>
    <row r="5905" spans="1:6" ht="15.75" thickBot="1" x14ac:dyDescent="0.3">
      <c r="A5905" s="142" t="s">
        <v>47</v>
      </c>
      <c r="B5905" s="138">
        <v>44138</v>
      </c>
      <c r="C5905" s="47">
        <v>973</v>
      </c>
      <c r="D5905" s="85">
        <f>C5905+D5881</f>
        <v>51615</v>
      </c>
      <c r="E5905" s="47">
        <v>21</v>
      </c>
      <c r="F5905" s="139">
        <f t="shared" si="522"/>
        <v>834</v>
      </c>
    </row>
    <row r="5906" spans="1:6" x14ac:dyDescent="0.25">
      <c r="A5906" s="64" t="s">
        <v>22</v>
      </c>
      <c r="B5906" s="49">
        <v>44139</v>
      </c>
      <c r="C5906" s="25">
        <v>3123</v>
      </c>
      <c r="D5906" s="131">
        <f t="shared" ref="D5906:D5969" si="524">C5906+D5882</f>
        <v>560699</v>
      </c>
      <c r="E5906" s="25">
        <v>228</v>
      </c>
      <c r="F5906" s="128">
        <f t="shared" si="522"/>
        <v>18285</v>
      </c>
    </row>
    <row r="5907" spans="1:6" x14ac:dyDescent="0.25">
      <c r="A5907" s="140" t="s">
        <v>20</v>
      </c>
      <c r="B5907" s="136">
        <v>44139</v>
      </c>
      <c r="C5907" s="25">
        <v>476</v>
      </c>
      <c r="D5907" s="29">
        <f t="shared" si="524"/>
        <v>148820</v>
      </c>
      <c r="E5907" s="25">
        <v>20</v>
      </c>
      <c r="F5907" s="129">
        <f t="shared" si="522"/>
        <v>4854</v>
      </c>
    </row>
    <row r="5908" spans="1:6" x14ac:dyDescent="0.25">
      <c r="A5908" s="140" t="s">
        <v>35</v>
      </c>
      <c r="B5908" s="136">
        <v>44139</v>
      </c>
      <c r="C5908" s="25">
        <v>62</v>
      </c>
      <c r="D5908" s="29">
        <f t="shared" si="524"/>
        <v>1073</v>
      </c>
      <c r="E5908" s="25"/>
      <c r="F5908" s="129">
        <f t="shared" si="522"/>
        <v>0</v>
      </c>
    </row>
    <row r="5909" spans="1:6" x14ac:dyDescent="0.25">
      <c r="A5909" s="140" t="s">
        <v>21</v>
      </c>
      <c r="B5909" s="136">
        <v>44139</v>
      </c>
      <c r="C5909" s="25">
        <v>98</v>
      </c>
      <c r="D5909" s="29">
        <f t="shared" si="524"/>
        <v>14493</v>
      </c>
      <c r="E5909" s="25">
        <v>7</v>
      </c>
      <c r="F5909" s="129">
        <f t="shared" si="522"/>
        <v>448</v>
      </c>
    </row>
    <row r="5910" spans="1:6" x14ac:dyDescent="0.25">
      <c r="A5910" s="140" t="s">
        <v>36</v>
      </c>
      <c r="B5910" s="136">
        <v>44139</v>
      </c>
      <c r="C5910" s="25">
        <v>500</v>
      </c>
      <c r="D5910" s="29">
        <f t="shared" si="524"/>
        <v>15712</v>
      </c>
      <c r="E5910" s="25">
        <v>6</v>
      </c>
      <c r="F5910" s="129">
        <f t="shared" si="522"/>
        <v>260</v>
      </c>
    </row>
    <row r="5911" spans="1:6" x14ac:dyDescent="0.25">
      <c r="A5911" s="140" t="s">
        <v>27</v>
      </c>
      <c r="B5911" s="136">
        <v>44139</v>
      </c>
      <c r="C5911" s="25">
        <v>1196</v>
      </c>
      <c r="D5911" s="29">
        <f t="shared" si="524"/>
        <v>89486</v>
      </c>
      <c r="E5911" s="25">
        <v>37</v>
      </c>
      <c r="F5911" s="129">
        <f t="shared" si="522"/>
        <v>1395</v>
      </c>
    </row>
    <row r="5912" spans="1:6" x14ac:dyDescent="0.25">
      <c r="A5912" s="140" t="s">
        <v>37</v>
      </c>
      <c r="B5912" s="136">
        <v>44139</v>
      </c>
      <c r="C5912" s="25">
        <v>14</v>
      </c>
      <c r="D5912" s="29">
        <f t="shared" si="524"/>
        <v>2633</v>
      </c>
      <c r="E5912" s="25">
        <v>2</v>
      </c>
      <c r="F5912" s="129">
        <f t="shared" si="522"/>
        <v>49</v>
      </c>
    </row>
    <row r="5913" spans="1:6" x14ac:dyDescent="0.25">
      <c r="A5913" s="140" t="s">
        <v>38</v>
      </c>
      <c r="B5913" s="136">
        <v>44139</v>
      </c>
      <c r="C5913" s="25">
        <v>325</v>
      </c>
      <c r="D5913" s="29">
        <f t="shared" si="524"/>
        <v>17009</v>
      </c>
      <c r="E5913" s="25">
        <v>7</v>
      </c>
      <c r="F5913" s="129">
        <f t="shared" si="522"/>
        <v>301</v>
      </c>
    </row>
    <row r="5914" spans="1:6" x14ac:dyDescent="0.25">
      <c r="A5914" s="140" t="s">
        <v>48</v>
      </c>
      <c r="B5914" s="136">
        <v>44139</v>
      </c>
      <c r="C5914" s="25">
        <v>5</v>
      </c>
      <c r="D5914" s="29">
        <f t="shared" si="524"/>
        <v>163</v>
      </c>
      <c r="E5914" s="25">
        <v>1</v>
      </c>
      <c r="F5914" s="129">
        <f t="shared" si="522"/>
        <v>3</v>
      </c>
    </row>
    <row r="5915" spans="1:6" x14ac:dyDescent="0.25">
      <c r="A5915" s="140" t="s">
        <v>39</v>
      </c>
      <c r="B5915" s="136">
        <v>44139</v>
      </c>
      <c r="C5915" s="25">
        <v>22</v>
      </c>
      <c r="D5915" s="29">
        <f t="shared" si="524"/>
        <v>17962</v>
      </c>
      <c r="E5915" s="25"/>
      <c r="F5915" s="129">
        <f t="shared" si="522"/>
        <v>817</v>
      </c>
    </row>
    <row r="5916" spans="1:6" x14ac:dyDescent="0.25">
      <c r="A5916" s="140" t="s">
        <v>40</v>
      </c>
      <c r="B5916" s="136">
        <v>44139</v>
      </c>
      <c r="C5916" s="25">
        <v>137</v>
      </c>
      <c r="D5916" s="29">
        <f t="shared" si="524"/>
        <v>3701</v>
      </c>
      <c r="E5916" s="25"/>
      <c r="F5916" s="129">
        <f t="shared" si="522"/>
        <v>36</v>
      </c>
    </row>
    <row r="5917" spans="1:6" x14ac:dyDescent="0.25">
      <c r="A5917" s="140" t="s">
        <v>28</v>
      </c>
      <c r="B5917" s="136">
        <v>44139</v>
      </c>
      <c r="C5917" s="25">
        <v>61</v>
      </c>
      <c r="D5917" s="29">
        <f t="shared" si="524"/>
        <v>7743</v>
      </c>
      <c r="E5917" s="25"/>
      <c r="F5917" s="129">
        <f t="shared" si="522"/>
        <v>283</v>
      </c>
    </row>
    <row r="5918" spans="1:6" x14ac:dyDescent="0.25">
      <c r="A5918" s="140" t="s">
        <v>24</v>
      </c>
      <c r="B5918" s="136">
        <v>44139</v>
      </c>
      <c r="C5918" s="25">
        <v>518</v>
      </c>
      <c r="D5918" s="29">
        <f t="shared" si="524"/>
        <v>48826</v>
      </c>
      <c r="E5918" s="25">
        <v>41</v>
      </c>
      <c r="F5918" s="129">
        <f t="shared" si="522"/>
        <v>854</v>
      </c>
    </row>
    <row r="5919" spans="1:6" x14ac:dyDescent="0.25">
      <c r="A5919" s="140" t="s">
        <v>30</v>
      </c>
      <c r="B5919" s="136">
        <v>44139</v>
      </c>
      <c r="C5919" s="25">
        <v>-11</v>
      </c>
      <c r="D5919" s="29">
        <f t="shared" si="524"/>
        <v>287</v>
      </c>
      <c r="E5919" s="25"/>
      <c r="F5919" s="129">
        <f t="shared" si="522"/>
        <v>6</v>
      </c>
    </row>
    <row r="5920" spans="1:6" x14ac:dyDescent="0.25">
      <c r="A5920" s="140" t="s">
        <v>26</v>
      </c>
      <c r="B5920" s="136">
        <v>44139</v>
      </c>
      <c r="C5920" s="25">
        <v>298</v>
      </c>
      <c r="D5920" s="29">
        <f t="shared" si="524"/>
        <v>23976</v>
      </c>
      <c r="E5920" s="25">
        <v>1</v>
      </c>
      <c r="F5920" s="129">
        <f t="shared" si="522"/>
        <v>415</v>
      </c>
    </row>
    <row r="5921" spans="1:6" x14ac:dyDescent="0.25">
      <c r="A5921" s="140" t="s">
        <v>25</v>
      </c>
      <c r="B5921" s="136">
        <v>44139</v>
      </c>
      <c r="C5921" s="25">
        <v>371</v>
      </c>
      <c r="D5921" s="29">
        <f t="shared" si="524"/>
        <v>25178</v>
      </c>
      <c r="E5921" s="25">
        <v>8</v>
      </c>
      <c r="F5921" s="129">
        <f t="shared" si="522"/>
        <v>642</v>
      </c>
    </row>
    <row r="5922" spans="1:6" x14ac:dyDescent="0.25">
      <c r="A5922" s="140" t="s">
        <v>41</v>
      </c>
      <c r="B5922" s="136">
        <v>44139</v>
      </c>
      <c r="C5922" s="25">
        <v>134</v>
      </c>
      <c r="D5922" s="29">
        <f t="shared" si="524"/>
        <v>19193</v>
      </c>
      <c r="E5922" s="25">
        <v>23</v>
      </c>
      <c r="F5922" s="129">
        <f t="shared" si="522"/>
        <v>835</v>
      </c>
    </row>
    <row r="5923" spans="1:6" x14ac:dyDescent="0.25">
      <c r="A5923" s="140" t="s">
        <v>42</v>
      </c>
      <c r="B5923" s="136">
        <v>44139</v>
      </c>
      <c r="C5923" s="25">
        <v>180</v>
      </c>
      <c r="D5923" s="29">
        <f t="shared" si="524"/>
        <v>3073</v>
      </c>
      <c r="E5923" s="25"/>
      <c r="F5923" s="129">
        <f t="shared" si="522"/>
        <v>102</v>
      </c>
    </row>
    <row r="5924" spans="1:6" x14ac:dyDescent="0.25">
      <c r="A5924" s="140" t="s">
        <v>43</v>
      </c>
      <c r="B5924" s="136">
        <v>44139</v>
      </c>
      <c r="C5924" s="25">
        <v>247</v>
      </c>
      <c r="D5924" s="29">
        <f t="shared" si="524"/>
        <v>8103</v>
      </c>
      <c r="E5924" s="25">
        <v>10</v>
      </c>
      <c r="F5924" s="129">
        <f t="shared" si="522"/>
        <v>102</v>
      </c>
    </row>
    <row r="5925" spans="1:6" x14ac:dyDescent="0.25">
      <c r="A5925" s="140" t="s">
        <v>44</v>
      </c>
      <c r="B5925" s="136">
        <v>44139</v>
      </c>
      <c r="C5925" s="25">
        <v>185</v>
      </c>
      <c r="D5925" s="29">
        <f t="shared" si="524"/>
        <v>10250</v>
      </c>
      <c r="E5925" s="25">
        <v>2</v>
      </c>
      <c r="F5925" s="129">
        <f t="shared" si="522"/>
        <v>149</v>
      </c>
    </row>
    <row r="5926" spans="1:6" x14ac:dyDescent="0.25">
      <c r="A5926" s="140" t="s">
        <v>29</v>
      </c>
      <c r="B5926" s="136">
        <v>44139</v>
      </c>
      <c r="C5926" s="25">
        <v>1543</v>
      </c>
      <c r="D5926" s="29">
        <f t="shared" si="524"/>
        <v>112618</v>
      </c>
      <c r="E5926" s="25">
        <v>56</v>
      </c>
      <c r="F5926" s="129">
        <f t="shared" si="522"/>
        <v>1530</v>
      </c>
    </row>
    <row r="5927" spans="1:6" x14ac:dyDescent="0.25">
      <c r="A5927" s="140" t="s">
        <v>45</v>
      </c>
      <c r="B5927" s="136">
        <v>44139</v>
      </c>
      <c r="C5927" s="25">
        <v>213</v>
      </c>
      <c r="D5927" s="29">
        <f t="shared" si="524"/>
        <v>10387</v>
      </c>
      <c r="E5927" s="25"/>
      <c r="F5927" s="129">
        <f t="shared" si="522"/>
        <v>135</v>
      </c>
    </row>
    <row r="5928" spans="1:6" x14ac:dyDescent="0.25">
      <c r="A5928" s="140" t="s">
        <v>46</v>
      </c>
      <c r="B5928" s="136">
        <v>44139</v>
      </c>
      <c r="C5928" s="25">
        <v>205</v>
      </c>
      <c r="D5928" s="29">
        <f t="shared" si="524"/>
        <v>12179</v>
      </c>
      <c r="E5928" s="25">
        <v>2</v>
      </c>
      <c r="F5928" s="129">
        <f t="shared" si="522"/>
        <v>161</v>
      </c>
    </row>
    <row r="5929" spans="1:6" ht="15.75" thickBot="1" x14ac:dyDescent="0.3">
      <c r="A5929" s="141" t="s">
        <v>47</v>
      </c>
      <c r="B5929" s="145">
        <v>44139</v>
      </c>
      <c r="C5929" s="25">
        <v>750</v>
      </c>
      <c r="D5929" s="132">
        <f>C5929+D5905</f>
        <v>52365</v>
      </c>
      <c r="E5929" s="25">
        <v>17</v>
      </c>
      <c r="F5929" s="130">
        <f t="shared" si="522"/>
        <v>851</v>
      </c>
    </row>
    <row r="5930" spans="1:6" x14ac:dyDescent="0.25">
      <c r="A5930" s="64" t="s">
        <v>22</v>
      </c>
      <c r="B5930" s="138">
        <v>44140</v>
      </c>
      <c r="C5930" s="48">
        <v>3239</v>
      </c>
      <c r="D5930" s="131">
        <f t="shared" si="524"/>
        <v>563938</v>
      </c>
      <c r="E5930" s="48">
        <f>43+38</f>
        <v>81</v>
      </c>
      <c r="F5930" s="128">
        <f t="shared" si="522"/>
        <v>18366</v>
      </c>
    </row>
    <row r="5931" spans="1:6" x14ac:dyDescent="0.25">
      <c r="A5931" s="140" t="s">
        <v>20</v>
      </c>
      <c r="B5931" s="26">
        <v>44140</v>
      </c>
      <c r="C5931" s="4">
        <v>476</v>
      </c>
      <c r="D5931" s="29">
        <f t="shared" si="524"/>
        <v>149296</v>
      </c>
      <c r="E5931" s="4">
        <f>12+1+14</f>
        <v>27</v>
      </c>
      <c r="F5931" s="129">
        <f t="shared" ref="F5931:F5994" si="525">E5931+F5907</f>
        <v>4881</v>
      </c>
    </row>
    <row r="5932" spans="1:6" x14ac:dyDescent="0.25">
      <c r="A5932" s="140" t="s">
        <v>35</v>
      </c>
      <c r="B5932" s="26">
        <v>44140</v>
      </c>
      <c r="C5932" s="4">
        <v>47</v>
      </c>
      <c r="D5932" s="29">
        <f t="shared" si="524"/>
        <v>1120</v>
      </c>
      <c r="F5932" s="129">
        <f t="shared" si="525"/>
        <v>0</v>
      </c>
    </row>
    <row r="5933" spans="1:6" x14ac:dyDescent="0.25">
      <c r="A5933" s="140" t="s">
        <v>21</v>
      </c>
      <c r="B5933" s="26">
        <v>44140</v>
      </c>
      <c r="C5933" s="4">
        <v>145</v>
      </c>
      <c r="D5933" s="29">
        <f t="shared" si="524"/>
        <v>14638</v>
      </c>
      <c r="E5933" s="4">
        <f>4+1</f>
        <v>5</v>
      </c>
      <c r="F5933" s="129">
        <f t="shared" si="525"/>
        <v>453</v>
      </c>
    </row>
    <row r="5934" spans="1:6" x14ac:dyDescent="0.25">
      <c r="A5934" s="140" t="s">
        <v>36</v>
      </c>
      <c r="B5934" s="26">
        <v>44140</v>
      </c>
      <c r="C5934" s="4">
        <v>441</v>
      </c>
      <c r="D5934" s="29">
        <f t="shared" si="524"/>
        <v>16153</v>
      </c>
      <c r="E5934" s="4">
        <f>9+5</f>
        <v>14</v>
      </c>
      <c r="F5934" s="129">
        <f t="shared" si="525"/>
        <v>274</v>
      </c>
    </row>
    <row r="5935" spans="1:6" x14ac:dyDescent="0.25">
      <c r="A5935" s="140" t="s">
        <v>27</v>
      </c>
      <c r="B5935" s="26">
        <v>44140</v>
      </c>
      <c r="C5935" s="4">
        <v>1054</v>
      </c>
      <c r="D5935" s="29">
        <f t="shared" si="524"/>
        <v>90540</v>
      </c>
      <c r="E5935" s="4">
        <f>13+6</f>
        <v>19</v>
      </c>
      <c r="F5935" s="129">
        <f t="shared" si="525"/>
        <v>1414</v>
      </c>
    </row>
    <row r="5936" spans="1:6" x14ac:dyDescent="0.25">
      <c r="A5936" s="140" t="s">
        <v>37</v>
      </c>
      <c r="B5936" s="26">
        <v>44140</v>
      </c>
      <c r="C5936" s="4">
        <v>18</v>
      </c>
      <c r="D5936" s="29">
        <f t="shared" si="524"/>
        <v>2651</v>
      </c>
      <c r="F5936" s="129">
        <f t="shared" si="525"/>
        <v>49</v>
      </c>
    </row>
    <row r="5937" spans="1:6" x14ac:dyDescent="0.25">
      <c r="A5937" s="140" t="s">
        <v>38</v>
      </c>
      <c r="B5937" s="26">
        <v>44140</v>
      </c>
      <c r="C5937" s="4">
        <v>336</v>
      </c>
      <c r="D5937" s="29">
        <f t="shared" si="524"/>
        <v>17345</v>
      </c>
      <c r="E5937" s="4">
        <f>5</f>
        <v>5</v>
      </c>
      <c r="F5937" s="129">
        <f t="shared" si="525"/>
        <v>306</v>
      </c>
    </row>
    <row r="5938" spans="1:6" x14ac:dyDescent="0.25">
      <c r="A5938" s="140" t="s">
        <v>48</v>
      </c>
      <c r="B5938" s="26">
        <v>44140</v>
      </c>
      <c r="C5938" s="4">
        <v>-3</v>
      </c>
      <c r="D5938" s="29">
        <f t="shared" si="524"/>
        <v>160</v>
      </c>
      <c r="F5938" s="129">
        <f t="shared" si="525"/>
        <v>3</v>
      </c>
    </row>
    <row r="5939" spans="1:6" x14ac:dyDescent="0.25">
      <c r="A5939" s="140" t="s">
        <v>39</v>
      </c>
      <c r="B5939" s="26">
        <v>44140</v>
      </c>
      <c r="C5939" s="4">
        <v>13</v>
      </c>
      <c r="D5939" s="29">
        <f t="shared" si="524"/>
        <v>17975</v>
      </c>
      <c r="E5939" s="4">
        <f>4</f>
        <v>4</v>
      </c>
      <c r="F5939" s="129">
        <f t="shared" si="525"/>
        <v>821</v>
      </c>
    </row>
    <row r="5940" spans="1:6" x14ac:dyDescent="0.25">
      <c r="A5940" s="140" t="s">
        <v>40</v>
      </c>
      <c r="B5940" s="26">
        <v>44140</v>
      </c>
      <c r="C5940" s="4">
        <v>111</v>
      </c>
      <c r="D5940" s="29">
        <f t="shared" si="524"/>
        <v>3812</v>
      </c>
      <c r="F5940" s="129">
        <f t="shared" si="525"/>
        <v>36</v>
      </c>
    </row>
    <row r="5941" spans="1:6" x14ac:dyDescent="0.25">
      <c r="A5941" s="140" t="s">
        <v>28</v>
      </c>
      <c r="B5941" s="26">
        <v>44140</v>
      </c>
      <c r="C5941" s="4">
        <v>20</v>
      </c>
      <c r="D5941" s="29">
        <f t="shared" si="524"/>
        <v>7763</v>
      </c>
      <c r="E5941" s="4">
        <f>3+2</f>
        <v>5</v>
      </c>
      <c r="F5941" s="129">
        <f t="shared" si="525"/>
        <v>288</v>
      </c>
    </row>
    <row r="5942" spans="1:6" x14ac:dyDescent="0.25">
      <c r="A5942" s="140" t="s">
        <v>24</v>
      </c>
      <c r="B5942" s="26">
        <v>44140</v>
      </c>
      <c r="C5942" s="4">
        <v>628</v>
      </c>
      <c r="D5942" s="29">
        <f t="shared" si="524"/>
        <v>49454</v>
      </c>
      <c r="E5942" s="4">
        <f>8+5</f>
        <v>13</v>
      </c>
      <c r="F5942" s="129">
        <f t="shared" si="525"/>
        <v>867</v>
      </c>
    </row>
    <row r="5943" spans="1:6" x14ac:dyDescent="0.25">
      <c r="A5943" s="140" t="s">
        <v>30</v>
      </c>
      <c r="B5943" s="26">
        <v>44140</v>
      </c>
      <c r="C5943" s="4">
        <v>18</v>
      </c>
      <c r="D5943" s="29">
        <f t="shared" si="524"/>
        <v>305</v>
      </c>
      <c r="F5943" s="129">
        <f t="shared" si="525"/>
        <v>6</v>
      </c>
    </row>
    <row r="5944" spans="1:6" x14ac:dyDescent="0.25">
      <c r="A5944" s="140" t="s">
        <v>26</v>
      </c>
      <c r="B5944" s="26">
        <v>44140</v>
      </c>
      <c r="C5944" s="4">
        <v>462</v>
      </c>
      <c r="D5944" s="29">
        <f t="shared" si="524"/>
        <v>24438</v>
      </c>
      <c r="F5944" s="129">
        <f t="shared" si="525"/>
        <v>415</v>
      </c>
    </row>
    <row r="5945" spans="1:6" x14ac:dyDescent="0.25">
      <c r="A5945" s="140" t="s">
        <v>25</v>
      </c>
      <c r="B5945" s="26">
        <v>44140</v>
      </c>
      <c r="C5945" s="4">
        <v>355</v>
      </c>
      <c r="D5945" s="29">
        <f t="shared" si="524"/>
        <v>25533</v>
      </c>
      <c r="E5945" s="4">
        <f>4+1</f>
        <v>5</v>
      </c>
      <c r="F5945" s="129">
        <f t="shared" si="525"/>
        <v>647</v>
      </c>
    </row>
    <row r="5946" spans="1:6" x14ac:dyDescent="0.25">
      <c r="A5946" s="140" t="s">
        <v>41</v>
      </c>
      <c r="B5946" s="26">
        <v>44140</v>
      </c>
      <c r="C5946" s="4">
        <v>112</v>
      </c>
      <c r="D5946" s="29">
        <f t="shared" si="524"/>
        <v>19305</v>
      </c>
      <c r="E5946" s="4">
        <f>5+3</f>
        <v>8</v>
      </c>
      <c r="F5946" s="129">
        <f t="shared" si="525"/>
        <v>843</v>
      </c>
    </row>
    <row r="5947" spans="1:6" x14ac:dyDescent="0.25">
      <c r="A5947" s="140" t="s">
        <v>42</v>
      </c>
      <c r="B5947" s="26">
        <v>44140</v>
      </c>
      <c r="C5947" s="4">
        <v>134</v>
      </c>
      <c r="D5947" s="29">
        <f t="shared" si="524"/>
        <v>3207</v>
      </c>
      <c r="F5947" s="129">
        <f t="shared" si="525"/>
        <v>102</v>
      </c>
    </row>
    <row r="5948" spans="1:6" x14ac:dyDescent="0.25">
      <c r="A5948" s="140" t="s">
        <v>43</v>
      </c>
      <c r="B5948" s="26">
        <v>44140</v>
      </c>
      <c r="C5948" s="4">
        <v>293</v>
      </c>
      <c r="D5948" s="29">
        <f t="shared" si="524"/>
        <v>8396</v>
      </c>
      <c r="E5948" s="4">
        <f>3+6</f>
        <v>9</v>
      </c>
      <c r="F5948" s="129">
        <f t="shared" si="525"/>
        <v>111</v>
      </c>
    </row>
    <row r="5949" spans="1:6" x14ac:dyDescent="0.25">
      <c r="A5949" s="140" t="s">
        <v>44</v>
      </c>
      <c r="B5949" s="26">
        <v>44140</v>
      </c>
      <c r="C5949" s="4">
        <v>269</v>
      </c>
      <c r="D5949" s="29">
        <f t="shared" si="524"/>
        <v>10519</v>
      </c>
      <c r="E5949" s="4">
        <f>5+5</f>
        <v>10</v>
      </c>
      <c r="F5949" s="129">
        <f t="shared" si="525"/>
        <v>159</v>
      </c>
    </row>
    <row r="5950" spans="1:6" x14ac:dyDescent="0.25">
      <c r="A5950" s="140" t="s">
        <v>29</v>
      </c>
      <c r="B5950" s="26">
        <v>44140</v>
      </c>
      <c r="C5950" s="4">
        <v>1741</v>
      </c>
      <c r="D5950" s="29">
        <f t="shared" si="524"/>
        <v>114359</v>
      </c>
      <c r="E5950" s="4">
        <f>11+8</f>
        <v>19</v>
      </c>
      <c r="F5950" s="129">
        <f t="shared" si="525"/>
        <v>1549</v>
      </c>
    </row>
    <row r="5951" spans="1:6" x14ac:dyDescent="0.25">
      <c r="A5951" s="140" t="s">
        <v>45</v>
      </c>
      <c r="B5951" s="26">
        <v>44140</v>
      </c>
      <c r="C5951" s="4">
        <v>320</v>
      </c>
      <c r="D5951" s="29">
        <f t="shared" si="524"/>
        <v>10707</v>
      </c>
      <c r="E5951" s="4">
        <v>3</v>
      </c>
      <c r="F5951" s="129">
        <f t="shared" si="525"/>
        <v>138</v>
      </c>
    </row>
    <row r="5952" spans="1:6" x14ac:dyDescent="0.25">
      <c r="A5952" s="140" t="s">
        <v>46</v>
      </c>
      <c r="B5952" s="26">
        <v>44140</v>
      </c>
      <c r="C5952" s="4">
        <v>267</v>
      </c>
      <c r="D5952" s="29">
        <f t="shared" si="524"/>
        <v>12446</v>
      </c>
      <c r="E5952" s="4">
        <f>2</f>
        <v>2</v>
      </c>
      <c r="F5952" s="129">
        <f t="shared" si="525"/>
        <v>163</v>
      </c>
    </row>
    <row r="5953" spans="1:6" ht="15.75" thickBot="1" x14ac:dyDescent="0.3">
      <c r="A5953" s="142" t="s">
        <v>47</v>
      </c>
      <c r="B5953" s="46">
        <v>44140</v>
      </c>
      <c r="C5953" s="47">
        <v>603</v>
      </c>
      <c r="D5953" s="85">
        <f>C5953+D5929</f>
        <v>52968</v>
      </c>
      <c r="E5953" s="47">
        <f>7+11</f>
        <v>18</v>
      </c>
      <c r="F5953" s="139">
        <f t="shared" si="525"/>
        <v>869</v>
      </c>
    </row>
    <row r="5954" spans="1:6" x14ac:dyDescent="0.25">
      <c r="A5954" s="64" t="s">
        <v>22</v>
      </c>
      <c r="B5954" s="49">
        <v>44141</v>
      </c>
      <c r="C5954" s="50">
        <v>3089</v>
      </c>
      <c r="D5954" s="131">
        <f t="shared" si="524"/>
        <v>567027</v>
      </c>
      <c r="E5954" s="50">
        <f>1+74+81</f>
        <v>156</v>
      </c>
      <c r="F5954" s="128">
        <f t="shared" si="525"/>
        <v>18522</v>
      </c>
    </row>
    <row r="5955" spans="1:6" x14ac:dyDescent="0.25">
      <c r="A5955" s="140" t="s">
        <v>20</v>
      </c>
      <c r="B5955" s="26">
        <v>44141</v>
      </c>
      <c r="C5955" s="4">
        <v>641</v>
      </c>
      <c r="D5955" s="29">
        <f t="shared" si="524"/>
        <v>149937</v>
      </c>
      <c r="E5955" s="4">
        <f>1+22+17</f>
        <v>40</v>
      </c>
      <c r="F5955" s="129">
        <f t="shared" si="525"/>
        <v>4921</v>
      </c>
    </row>
    <row r="5956" spans="1:6" x14ac:dyDescent="0.25">
      <c r="A5956" s="140" t="s">
        <v>35</v>
      </c>
      <c r="B5956" s="26">
        <v>44141</v>
      </c>
      <c r="C5956" s="4">
        <v>3</v>
      </c>
      <c r="D5956" s="29">
        <f t="shared" si="524"/>
        <v>1123</v>
      </c>
      <c r="F5956" s="129">
        <f t="shared" si="525"/>
        <v>0</v>
      </c>
    </row>
    <row r="5957" spans="1:6" x14ac:dyDescent="0.25">
      <c r="A5957" s="140" t="s">
        <v>21</v>
      </c>
      <c r="B5957" s="26">
        <v>44141</v>
      </c>
      <c r="C5957" s="4">
        <v>121</v>
      </c>
      <c r="D5957" s="29">
        <f t="shared" si="524"/>
        <v>14759</v>
      </c>
      <c r="E5957" s="4">
        <f>3+2</f>
        <v>5</v>
      </c>
      <c r="F5957" s="129">
        <f t="shared" si="525"/>
        <v>458</v>
      </c>
    </row>
    <row r="5958" spans="1:6" x14ac:dyDescent="0.25">
      <c r="A5958" s="140" t="s">
        <v>36</v>
      </c>
      <c r="B5958" s="26">
        <v>44141</v>
      </c>
      <c r="C5958" s="4">
        <v>392</v>
      </c>
      <c r="D5958" s="29">
        <f t="shared" si="524"/>
        <v>16545</v>
      </c>
      <c r="E5958" s="4">
        <f>1+1</f>
        <v>2</v>
      </c>
      <c r="F5958" s="129">
        <f t="shared" si="525"/>
        <v>276</v>
      </c>
    </row>
    <row r="5959" spans="1:6" x14ac:dyDescent="0.25">
      <c r="A5959" s="140" t="s">
        <v>27</v>
      </c>
      <c r="B5959" s="26">
        <v>44141</v>
      </c>
      <c r="C5959" s="4">
        <v>1258</v>
      </c>
      <c r="D5959" s="29">
        <f t="shared" si="524"/>
        <v>91798</v>
      </c>
      <c r="E5959" s="4">
        <f>21+7</f>
        <v>28</v>
      </c>
      <c r="F5959" s="129">
        <f t="shared" si="525"/>
        <v>1442</v>
      </c>
    </row>
    <row r="5960" spans="1:6" x14ac:dyDescent="0.25">
      <c r="A5960" s="140" t="s">
        <v>37</v>
      </c>
      <c r="B5960" s="26">
        <v>44141</v>
      </c>
      <c r="C5960" s="4">
        <v>106</v>
      </c>
      <c r="D5960" s="29">
        <f t="shared" si="524"/>
        <v>2757</v>
      </c>
      <c r="E5960" s="4">
        <f>5+2</f>
        <v>7</v>
      </c>
      <c r="F5960" s="129">
        <f t="shared" si="525"/>
        <v>56</v>
      </c>
    </row>
    <row r="5961" spans="1:6" x14ac:dyDescent="0.25">
      <c r="A5961" s="140" t="s">
        <v>38</v>
      </c>
      <c r="B5961" s="26">
        <v>44141</v>
      </c>
      <c r="C5961" s="4">
        <v>338</v>
      </c>
      <c r="D5961" s="29">
        <f t="shared" si="524"/>
        <v>17683</v>
      </c>
      <c r="E5961" s="4">
        <f>7+4</f>
        <v>11</v>
      </c>
      <c r="F5961" s="129">
        <f t="shared" si="525"/>
        <v>317</v>
      </c>
    </row>
    <row r="5962" spans="1:6" x14ac:dyDescent="0.25">
      <c r="A5962" s="140" t="s">
        <v>48</v>
      </c>
      <c r="B5962" s="26">
        <v>44141</v>
      </c>
      <c r="C5962" s="4">
        <v>2</v>
      </c>
      <c r="D5962" s="29">
        <f t="shared" si="524"/>
        <v>162</v>
      </c>
      <c r="F5962" s="129">
        <f t="shared" si="525"/>
        <v>3</v>
      </c>
    </row>
    <row r="5963" spans="1:6" x14ac:dyDescent="0.25">
      <c r="A5963" s="140" t="s">
        <v>39</v>
      </c>
      <c r="B5963" s="26">
        <v>44141</v>
      </c>
      <c r="C5963" s="4">
        <v>14</v>
      </c>
      <c r="D5963" s="29">
        <f t="shared" si="524"/>
        <v>17989</v>
      </c>
      <c r="F5963" s="129">
        <f t="shared" si="525"/>
        <v>821</v>
      </c>
    </row>
    <row r="5964" spans="1:6" x14ac:dyDescent="0.25">
      <c r="A5964" s="140" t="s">
        <v>40</v>
      </c>
      <c r="B5964" s="26">
        <v>44141</v>
      </c>
      <c r="C5964" s="4">
        <v>104</v>
      </c>
      <c r="D5964" s="29">
        <f t="shared" si="524"/>
        <v>3916</v>
      </c>
      <c r="F5964" s="129">
        <f t="shared" si="525"/>
        <v>36</v>
      </c>
    </row>
    <row r="5965" spans="1:6" x14ac:dyDescent="0.25">
      <c r="A5965" s="140" t="s">
        <v>28</v>
      </c>
      <c r="B5965" s="26">
        <v>44141</v>
      </c>
      <c r="C5965" s="4">
        <v>18</v>
      </c>
      <c r="D5965" s="29">
        <f t="shared" si="524"/>
        <v>7781</v>
      </c>
      <c r="E5965" s="4">
        <v>1</v>
      </c>
      <c r="F5965" s="129">
        <f t="shared" si="525"/>
        <v>289</v>
      </c>
    </row>
    <row r="5966" spans="1:6" x14ac:dyDescent="0.25">
      <c r="A5966" s="140" t="s">
        <v>24</v>
      </c>
      <c r="B5966" s="26">
        <v>44141</v>
      </c>
      <c r="C5966" s="4">
        <v>626</v>
      </c>
      <c r="D5966" s="29">
        <f t="shared" si="524"/>
        <v>50080</v>
      </c>
      <c r="E5966" s="4">
        <f>15+7</f>
        <v>22</v>
      </c>
      <c r="F5966" s="129">
        <f t="shared" si="525"/>
        <v>889</v>
      </c>
    </row>
    <row r="5967" spans="1:6" x14ac:dyDescent="0.25">
      <c r="A5967" s="140" t="s">
        <v>30</v>
      </c>
      <c r="B5967" s="26">
        <v>44141</v>
      </c>
      <c r="C5967" s="4">
        <v>15</v>
      </c>
      <c r="D5967" s="29">
        <f t="shared" si="524"/>
        <v>320</v>
      </c>
      <c r="F5967" s="129">
        <f t="shared" si="525"/>
        <v>6</v>
      </c>
    </row>
    <row r="5968" spans="1:6" x14ac:dyDescent="0.25">
      <c r="A5968" s="140" t="s">
        <v>26</v>
      </c>
      <c r="B5968" s="26">
        <v>44141</v>
      </c>
      <c r="C5968" s="4">
        <v>310</v>
      </c>
      <c r="D5968" s="29">
        <f t="shared" si="524"/>
        <v>24748</v>
      </c>
      <c r="E5968" s="4">
        <f>4+4</f>
        <v>8</v>
      </c>
      <c r="F5968" s="129">
        <f t="shared" si="525"/>
        <v>423</v>
      </c>
    </row>
    <row r="5969" spans="1:6" x14ac:dyDescent="0.25">
      <c r="A5969" s="140" t="s">
        <v>25</v>
      </c>
      <c r="B5969" s="26">
        <v>44141</v>
      </c>
      <c r="C5969" s="4">
        <v>383</v>
      </c>
      <c r="D5969" s="29">
        <f t="shared" si="524"/>
        <v>25916</v>
      </c>
      <c r="E5969" s="4">
        <f>3+2</f>
        <v>5</v>
      </c>
      <c r="F5969" s="129">
        <f t="shared" si="525"/>
        <v>652</v>
      </c>
    </row>
    <row r="5970" spans="1:6" x14ac:dyDescent="0.25">
      <c r="A5970" s="140" t="s">
        <v>41</v>
      </c>
      <c r="B5970" s="26">
        <v>44141</v>
      </c>
      <c r="C5970" s="4">
        <v>93</v>
      </c>
      <c r="D5970" s="29">
        <f t="shared" ref="D5970:D5976" si="526">C5970+D5946</f>
        <v>19398</v>
      </c>
      <c r="E5970" s="4">
        <f>6+4</f>
        <v>10</v>
      </c>
      <c r="F5970" s="129">
        <f t="shared" si="525"/>
        <v>853</v>
      </c>
    </row>
    <row r="5971" spans="1:6" x14ac:dyDescent="0.25">
      <c r="A5971" s="140" t="s">
        <v>42</v>
      </c>
      <c r="B5971" s="26">
        <v>44141</v>
      </c>
      <c r="C5971" s="4">
        <v>191</v>
      </c>
      <c r="D5971" s="29">
        <f t="shared" si="526"/>
        <v>3398</v>
      </c>
      <c r="F5971" s="129">
        <f t="shared" si="525"/>
        <v>102</v>
      </c>
    </row>
    <row r="5972" spans="1:6" x14ac:dyDescent="0.25">
      <c r="A5972" s="140" t="s">
        <v>43</v>
      </c>
      <c r="B5972" s="26">
        <v>44141</v>
      </c>
      <c r="C5972" s="4">
        <v>468</v>
      </c>
      <c r="D5972" s="29">
        <f t="shared" si="526"/>
        <v>8864</v>
      </c>
      <c r="E5972" s="4">
        <f>9+1</f>
        <v>10</v>
      </c>
      <c r="F5972" s="129">
        <f t="shared" si="525"/>
        <v>121</v>
      </c>
    </row>
    <row r="5973" spans="1:6" x14ac:dyDescent="0.25">
      <c r="A5973" s="140" t="s">
        <v>44</v>
      </c>
      <c r="B5973" s="26">
        <v>44141</v>
      </c>
      <c r="C5973" s="4">
        <v>222</v>
      </c>
      <c r="D5973" s="29">
        <f t="shared" si="526"/>
        <v>10741</v>
      </c>
      <c r="E5973" s="4">
        <f>2+2</f>
        <v>4</v>
      </c>
      <c r="F5973" s="129">
        <f t="shared" si="525"/>
        <v>163</v>
      </c>
    </row>
    <row r="5974" spans="1:6" x14ac:dyDescent="0.25">
      <c r="A5974" s="140" t="s">
        <v>29</v>
      </c>
      <c r="B5974" s="26">
        <v>44141</v>
      </c>
      <c r="C5974" s="4">
        <v>1736</v>
      </c>
      <c r="D5974" s="29">
        <f t="shared" si="526"/>
        <v>116095</v>
      </c>
      <c r="E5974" s="4">
        <f>1+30+22</f>
        <v>53</v>
      </c>
      <c r="F5974" s="129">
        <f t="shared" si="525"/>
        <v>1602</v>
      </c>
    </row>
    <row r="5975" spans="1:6" x14ac:dyDescent="0.25">
      <c r="A5975" s="140" t="s">
        <v>45</v>
      </c>
      <c r="B5975" s="26">
        <v>44141</v>
      </c>
      <c r="C5975" s="4">
        <v>223</v>
      </c>
      <c r="D5975" s="29">
        <f t="shared" si="526"/>
        <v>10930</v>
      </c>
      <c r="E5975" s="4">
        <f>3</f>
        <v>3</v>
      </c>
      <c r="F5975" s="129">
        <f t="shared" si="525"/>
        <v>141</v>
      </c>
    </row>
    <row r="5976" spans="1:6" x14ac:dyDescent="0.25">
      <c r="A5976" s="140" t="s">
        <v>46</v>
      </c>
      <c r="B5976" s="26">
        <v>44141</v>
      </c>
      <c r="C5976" s="4">
        <v>311</v>
      </c>
      <c r="D5976" s="29">
        <f t="shared" si="526"/>
        <v>12757</v>
      </c>
      <c r="F5976" s="129">
        <f t="shared" si="525"/>
        <v>163</v>
      </c>
    </row>
    <row r="5977" spans="1:6" ht="15.75" thickBot="1" x14ac:dyDescent="0.3">
      <c r="A5977" s="142" t="s">
        <v>47</v>
      </c>
      <c r="B5977" s="46">
        <v>44141</v>
      </c>
      <c r="C5977" s="47">
        <v>1122</v>
      </c>
      <c r="D5977" s="85">
        <f>C5977+D5953</f>
        <v>54090</v>
      </c>
      <c r="E5977" s="47">
        <f>3+3</f>
        <v>6</v>
      </c>
      <c r="F5977" s="139">
        <f t="shared" si="525"/>
        <v>875</v>
      </c>
    </row>
    <row r="5978" spans="1:6" x14ac:dyDescent="0.25">
      <c r="A5978" s="64" t="s">
        <v>22</v>
      </c>
      <c r="B5978" s="46">
        <v>44142</v>
      </c>
      <c r="C5978" s="4">
        <v>2161</v>
      </c>
      <c r="D5978" s="131">
        <f t="shared" ref="D5978:D6041" si="527">C5978+D5954</f>
        <v>569188</v>
      </c>
      <c r="E5978" s="4">
        <f>42+33</f>
        <v>75</v>
      </c>
      <c r="F5978" s="128">
        <f t="shared" si="525"/>
        <v>18597</v>
      </c>
    </row>
    <row r="5979" spans="1:6" x14ac:dyDescent="0.25">
      <c r="A5979" s="140" t="s">
        <v>20</v>
      </c>
      <c r="B5979" s="46">
        <v>44142</v>
      </c>
      <c r="C5979" s="4">
        <v>394</v>
      </c>
      <c r="D5979" s="29">
        <f t="shared" si="527"/>
        <v>150331</v>
      </c>
      <c r="E5979" s="4">
        <f>13+11</f>
        <v>24</v>
      </c>
      <c r="F5979" s="129">
        <f t="shared" si="525"/>
        <v>4945</v>
      </c>
    </row>
    <row r="5980" spans="1:6" x14ac:dyDescent="0.25">
      <c r="A5980" s="140" t="s">
        <v>35</v>
      </c>
      <c r="B5980" s="46">
        <v>44142</v>
      </c>
      <c r="C5980" s="4">
        <v>41</v>
      </c>
      <c r="D5980" s="29">
        <f t="shared" si="527"/>
        <v>1164</v>
      </c>
      <c r="E5980" s="4">
        <f>2</f>
        <v>2</v>
      </c>
      <c r="F5980" s="129">
        <f t="shared" si="525"/>
        <v>2</v>
      </c>
    </row>
    <row r="5981" spans="1:6" x14ac:dyDescent="0.25">
      <c r="A5981" s="140" t="s">
        <v>21</v>
      </c>
      <c r="B5981" s="46">
        <v>44142</v>
      </c>
      <c r="C5981" s="4">
        <v>157</v>
      </c>
      <c r="D5981" s="29">
        <f t="shared" si="527"/>
        <v>14916</v>
      </c>
      <c r="E5981" s="4">
        <f>2+4</f>
        <v>6</v>
      </c>
      <c r="F5981" s="129">
        <f t="shared" si="525"/>
        <v>464</v>
      </c>
    </row>
    <row r="5982" spans="1:6" x14ac:dyDescent="0.25">
      <c r="A5982" s="140" t="s">
        <v>36</v>
      </c>
      <c r="B5982" s="46">
        <v>44142</v>
      </c>
      <c r="C5982" s="4">
        <v>231</v>
      </c>
      <c r="D5982" s="29">
        <f t="shared" si="527"/>
        <v>16776</v>
      </c>
      <c r="F5982" s="129">
        <f t="shared" si="525"/>
        <v>276</v>
      </c>
    </row>
    <row r="5983" spans="1:6" x14ac:dyDescent="0.25">
      <c r="A5983" s="140" t="s">
        <v>27</v>
      </c>
      <c r="B5983" s="46">
        <v>44142</v>
      </c>
      <c r="C5983" s="4">
        <v>1006</v>
      </c>
      <c r="D5983" s="29">
        <f t="shared" si="527"/>
        <v>92804</v>
      </c>
      <c r="E5983" s="4">
        <f>6+5</f>
        <v>11</v>
      </c>
      <c r="F5983" s="129">
        <f t="shared" si="525"/>
        <v>1453</v>
      </c>
    </row>
    <row r="5984" spans="1:6" x14ac:dyDescent="0.25">
      <c r="A5984" s="140" t="s">
        <v>37</v>
      </c>
      <c r="B5984" s="46">
        <v>44142</v>
      </c>
      <c r="C5984" s="4">
        <v>76</v>
      </c>
      <c r="D5984" s="29">
        <f t="shared" si="527"/>
        <v>2833</v>
      </c>
      <c r="F5984" s="129">
        <f t="shared" si="525"/>
        <v>56</v>
      </c>
    </row>
    <row r="5985" spans="1:6" x14ac:dyDescent="0.25">
      <c r="A5985" s="140" t="s">
        <v>38</v>
      </c>
      <c r="B5985" s="46">
        <v>44142</v>
      </c>
      <c r="C5985" s="4">
        <v>234</v>
      </c>
      <c r="D5985" s="29">
        <f t="shared" si="527"/>
        <v>17917</v>
      </c>
      <c r="E5985" s="4">
        <f>6+2</f>
        <v>8</v>
      </c>
      <c r="F5985" s="129">
        <f t="shared" si="525"/>
        <v>325</v>
      </c>
    </row>
    <row r="5986" spans="1:6" x14ac:dyDescent="0.25">
      <c r="A5986" s="140" t="s">
        <v>48</v>
      </c>
      <c r="B5986" s="46">
        <v>44142</v>
      </c>
      <c r="C5986" s="4">
        <v>0</v>
      </c>
      <c r="D5986" s="29">
        <f t="shared" si="527"/>
        <v>162</v>
      </c>
      <c r="F5986" s="129">
        <f t="shared" si="525"/>
        <v>3</v>
      </c>
    </row>
    <row r="5987" spans="1:6" x14ac:dyDescent="0.25">
      <c r="A5987" s="140" t="s">
        <v>39</v>
      </c>
      <c r="B5987" s="46">
        <v>44142</v>
      </c>
      <c r="C5987" s="4">
        <v>24</v>
      </c>
      <c r="D5987" s="29">
        <f t="shared" si="527"/>
        <v>18013</v>
      </c>
      <c r="E5987" s="4">
        <f>4</f>
        <v>4</v>
      </c>
      <c r="F5987" s="129">
        <f t="shared" si="525"/>
        <v>825</v>
      </c>
    </row>
    <row r="5988" spans="1:6" x14ac:dyDescent="0.25">
      <c r="A5988" s="140" t="s">
        <v>40</v>
      </c>
      <c r="B5988" s="46">
        <v>44142</v>
      </c>
      <c r="C5988" s="4">
        <v>106</v>
      </c>
      <c r="D5988" s="29">
        <f t="shared" si="527"/>
        <v>4022</v>
      </c>
      <c r="F5988" s="129">
        <f t="shared" si="525"/>
        <v>36</v>
      </c>
    </row>
    <row r="5989" spans="1:6" x14ac:dyDescent="0.25">
      <c r="A5989" s="140" t="s">
        <v>28</v>
      </c>
      <c r="B5989" s="46">
        <v>44142</v>
      </c>
      <c r="C5989" s="4">
        <v>13</v>
      </c>
      <c r="D5989" s="29">
        <f t="shared" si="527"/>
        <v>7794</v>
      </c>
      <c r="F5989" s="129">
        <f t="shared" si="525"/>
        <v>289</v>
      </c>
    </row>
    <row r="5990" spans="1:6" x14ac:dyDescent="0.25">
      <c r="A5990" s="140" t="s">
        <v>24</v>
      </c>
      <c r="B5990" s="46">
        <v>44142</v>
      </c>
      <c r="C5990" s="4">
        <v>354</v>
      </c>
      <c r="D5990" s="29">
        <f t="shared" si="527"/>
        <v>50434</v>
      </c>
      <c r="E5990" s="4">
        <f>14+5</f>
        <v>19</v>
      </c>
      <c r="F5990" s="129">
        <f t="shared" si="525"/>
        <v>908</v>
      </c>
    </row>
    <row r="5991" spans="1:6" x14ac:dyDescent="0.25">
      <c r="A5991" s="140" t="s">
        <v>30</v>
      </c>
      <c r="B5991" s="46">
        <v>44142</v>
      </c>
      <c r="C5991" s="4">
        <v>10</v>
      </c>
      <c r="D5991" s="29">
        <f t="shared" si="527"/>
        <v>330</v>
      </c>
      <c r="F5991" s="129">
        <f t="shared" si="525"/>
        <v>6</v>
      </c>
    </row>
    <row r="5992" spans="1:6" x14ac:dyDescent="0.25">
      <c r="A5992" s="140" t="s">
        <v>26</v>
      </c>
      <c r="B5992" s="46">
        <v>44142</v>
      </c>
      <c r="C5992" s="4">
        <v>352</v>
      </c>
      <c r="D5992" s="29">
        <f t="shared" si="527"/>
        <v>25100</v>
      </c>
      <c r="F5992" s="129">
        <f t="shared" si="525"/>
        <v>423</v>
      </c>
    </row>
    <row r="5993" spans="1:6" x14ac:dyDescent="0.25">
      <c r="A5993" s="140" t="s">
        <v>25</v>
      </c>
      <c r="B5993" s="46">
        <v>44142</v>
      </c>
      <c r="C5993" s="4">
        <v>187</v>
      </c>
      <c r="D5993" s="29">
        <f t="shared" si="527"/>
        <v>26103</v>
      </c>
      <c r="E5993" s="4">
        <f>7+3</f>
        <v>10</v>
      </c>
      <c r="F5993" s="129">
        <f t="shared" si="525"/>
        <v>662</v>
      </c>
    </row>
    <row r="5994" spans="1:6" x14ac:dyDescent="0.25">
      <c r="A5994" s="140" t="s">
        <v>41</v>
      </c>
      <c r="B5994" s="46">
        <v>44142</v>
      </c>
      <c r="C5994" s="4">
        <v>112</v>
      </c>
      <c r="D5994" s="29">
        <f t="shared" si="527"/>
        <v>19510</v>
      </c>
      <c r="E5994" s="4">
        <f>6+7</f>
        <v>13</v>
      </c>
      <c r="F5994" s="129">
        <f t="shared" si="525"/>
        <v>866</v>
      </c>
    </row>
    <row r="5995" spans="1:6" x14ac:dyDescent="0.25">
      <c r="A5995" s="140" t="s">
        <v>42</v>
      </c>
      <c r="B5995" s="46">
        <v>44142</v>
      </c>
      <c r="C5995" s="4">
        <v>138</v>
      </c>
      <c r="D5995" s="29">
        <f t="shared" si="527"/>
        <v>3536</v>
      </c>
      <c r="F5995" s="129">
        <f t="shared" ref="F5995:F6058" si="528">E5995+F5971</f>
        <v>102</v>
      </c>
    </row>
    <row r="5996" spans="1:6" x14ac:dyDescent="0.25">
      <c r="A5996" s="140" t="s">
        <v>43</v>
      </c>
      <c r="B5996" s="46">
        <v>44142</v>
      </c>
      <c r="C5996" s="4">
        <v>153</v>
      </c>
      <c r="D5996" s="29">
        <f t="shared" si="527"/>
        <v>9017</v>
      </c>
      <c r="F5996" s="129">
        <f t="shared" si="528"/>
        <v>121</v>
      </c>
    </row>
    <row r="5997" spans="1:6" x14ac:dyDescent="0.25">
      <c r="A5997" s="140" t="s">
        <v>44</v>
      </c>
      <c r="B5997" s="46">
        <v>44142</v>
      </c>
      <c r="C5997" s="4">
        <v>169</v>
      </c>
      <c r="D5997" s="29">
        <f t="shared" si="527"/>
        <v>10910</v>
      </c>
      <c r="E5997" s="4">
        <f>1</f>
        <v>1</v>
      </c>
      <c r="F5997" s="129">
        <f t="shared" si="528"/>
        <v>164</v>
      </c>
    </row>
    <row r="5998" spans="1:6" x14ac:dyDescent="0.25">
      <c r="A5998" s="140" t="s">
        <v>29</v>
      </c>
      <c r="B5998" s="46">
        <v>44142</v>
      </c>
      <c r="C5998" s="4">
        <v>1328</v>
      </c>
      <c r="D5998" s="29">
        <f t="shared" si="527"/>
        <v>117423</v>
      </c>
      <c r="E5998" s="4">
        <f>20+6</f>
        <v>26</v>
      </c>
      <c r="F5998" s="129">
        <f t="shared" si="528"/>
        <v>1628</v>
      </c>
    </row>
    <row r="5999" spans="1:6" x14ac:dyDescent="0.25">
      <c r="A5999" s="140" t="s">
        <v>45</v>
      </c>
      <c r="B5999" s="46">
        <v>44142</v>
      </c>
      <c r="C5999" s="4">
        <v>226</v>
      </c>
      <c r="D5999" s="29">
        <f t="shared" si="527"/>
        <v>11156</v>
      </c>
      <c r="E5999" s="4">
        <f>1</f>
        <v>1</v>
      </c>
      <c r="F5999" s="129">
        <f t="shared" si="528"/>
        <v>142</v>
      </c>
    </row>
    <row r="6000" spans="1:6" x14ac:dyDescent="0.25">
      <c r="A6000" s="140" t="s">
        <v>46</v>
      </c>
      <c r="B6000" s="46">
        <v>44142</v>
      </c>
      <c r="C6000" s="4">
        <v>201</v>
      </c>
      <c r="D6000" s="29">
        <f t="shared" si="527"/>
        <v>12958</v>
      </c>
      <c r="E6000" s="4">
        <f>3</f>
        <v>3</v>
      </c>
      <c r="F6000" s="129">
        <f t="shared" si="528"/>
        <v>166</v>
      </c>
    </row>
    <row r="6001" spans="1:6" ht="15.75" thickBot="1" x14ac:dyDescent="0.3">
      <c r="A6001" s="142" t="s">
        <v>47</v>
      </c>
      <c r="B6001" s="46">
        <v>44142</v>
      </c>
      <c r="C6001" s="4">
        <v>364</v>
      </c>
      <c r="D6001" s="85">
        <f>C6001+D5977</f>
        <v>54454</v>
      </c>
      <c r="E6001" s="4">
        <f>7+3</f>
        <v>10</v>
      </c>
      <c r="F6001" s="139">
        <f t="shared" si="528"/>
        <v>885</v>
      </c>
    </row>
    <row r="6002" spans="1:6" x14ac:dyDescent="0.25">
      <c r="A6002" s="64" t="s">
        <v>22</v>
      </c>
      <c r="B6002" s="46">
        <v>44143</v>
      </c>
      <c r="C6002" s="4">
        <v>1309</v>
      </c>
      <c r="D6002" s="131">
        <f t="shared" si="527"/>
        <v>570497</v>
      </c>
      <c r="E6002" s="4">
        <f>41+32</f>
        <v>73</v>
      </c>
      <c r="F6002" s="128">
        <f t="shared" si="528"/>
        <v>18670</v>
      </c>
    </row>
    <row r="6003" spans="1:6" x14ac:dyDescent="0.25">
      <c r="A6003" s="140" t="s">
        <v>20</v>
      </c>
      <c r="B6003" s="46">
        <v>44143</v>
      </c>
      <c r="C6003" s="4">
        <v>245</v>
      </c>
      <c r="D6003" s="29">
        <f t="shared" si="527"/>
        <v>150576</v>
      </c>
      <c r="E6003" s="4">
        <f>11+4</f>
        <v>15</v>
      </c>
      <c r="F6003" s="129">
        <f t="shared" si="528"/>
        <v>4960</v>
      </c>
    </row>
    <row r="6004" spans="1:6" x14ac:dyDescent="0.25">
      <c r="A6004" s="140" t="s">
        <v>35</v>
      </c>
      <c r="B6004" s="46">
        <v>44143</v>
      </c>
      <c r="C6004" s="4">
        <v>15</v>
      </c>
      <c r="D6004" s="29">
        <f t="shared" si="527"/>
        <v>1179</v>
      </c>
      <c r="F6004" s="129">
        <f t="shared" si="528"/>
        <v>2</v>
      </c>
    </row>
    <row r="6005" spans="1:6" x14ac:dyDescent="0.25">
      <c r="A6005" s="140" t="s">
        <v>21</v>
      </c>
      <c r="B6005" s="46">
        <v>44143</v>
      </c>
      <c r="C6005" s="4">
        <v>122</v>
      </c>
      <c r="D6005" s="29">
        <f t="shared" si="527"/>
        <v>15038</v>
      </c>
      <c r="E6005" s="4">
        <f>1</f>
        <v>1</v>
      </c>
      <c r="F6005" s="129">
        <f t="shared" si="528"/>
        <v>465</v>
      </c>
    </row>
    <row r="6006" spans="1:6" x14ac:dyDescent="0.25">
      <c r="A6006" s="140" t="s">
        <v>36</v>
      </c>
      <c r="B6006" s="46">
        <v>44143</v>
      </c>
      <c r="C6006" s="4">
        <v>119</v>
      </c>
      <c r="D6006" s="29">
        <f t="shared" si="527"/>
        <v>16895</v>
      </c>
      <c r="F6006" s="129">
        <f t="shared" si="528"/>
        <v>276</v>
      </c>
    </row>
    <row r="6007" spans="1:6" x14ac:dyDescent="0.25">
      <c r="A6007" s="140" t="s">
        <v>27</v>
      </c>
      <c r="B6007" s="46">
        <v>44143</v>
      </c>
      <c r="C6007" s="4">
        <v>775</v>
      </c>
      <c r="D6007" s="29">
        <f t="shared" si="527"/>
        <v>93579</v>
      </c>
      <c r="E6007" s="4">
        <f>18+5</f>
        <v>23</v>
      </c>
      <c r="F6007" s="129">
        <f t="shared" si="528"/>
        <v>1476</v>
      </c>
    </row>
    <row r="6008" spans="1:6" x14ac:dyDescent="0.25">
      <c r="A6008" s="140" t="s">
        <v>37</v>
      </c>
      <c r="B6008" s="46">
        <v>44143</v>
      </c>
      <c r="C6008" s="4">
        <v>77</v>
      </c>
      <c r="D6008" s="29">
        <f t="shared" si="527"/>
        <v>2910</v>
      </c>
      <c r="E6008" s="4">
        <f>1</f>
        <v>1</v>
      </c>
      <c r="F6008" s="129">
        <f t="shared" si="528"/>
        <v>57</v>
      </c>
    </row>
    <row r="6009" spans="1:6" x14ac:dyDescent="0.25">
      <c r="A6009" s="140" t="s">
        <v>38</v>
      </c>
      <c r="B6009" s="46">
        <v>44143</v>
      </c>
      <c r="C6009" s="4">
        <v>187</v>
      </c>
      <c r="D6009" s="29">
        <f t="shared" si="527"/>
        <v>18104</v>
      </c>
      <c r="E6009" s="4">
        <f>2+1</f>
        <v>3</v>
      </c>
      <c r="F6009" s="129">
        <f t="shared" si="528"/>
        <v>328</v>
      </c>
    </row>
    <row r="6010" spans="1:6" x14ac:dyDescent="0.25">
      <c r="A6010" s="140" t="s">
        <v>48</v>
      </c>
      <c r="B6010" s="46">
        <v>44143</v>
      </c>
      <c r="C6010" s="4">
        <v>0</v>
      </c>
      <c r="D6010" s="29">
        <f t="shared" si="527"/>
        <v>162</v>
      </c>
      <c r="F6010" s="129">
        <f t="shared" si="528"/>
        <v>3</v>
      </c>
    </row>
    <row r="6011" spans="1:6" x14ac:dyDescent="0.25">
      <c r="A6011" s="140" t="s">
        <v>39</v>
      </c>
      <c r="B6011" s="46">
        <v>44143</v>
      </c>
      <c r="C6011" s="4">
        <v>12</v>
      </c>
      <c r="D6011" s="29">
        <f t="shared" si="527"/>
        <v>18025</v>
      </c>
      <c r="F6011" s="129">
        <f t="shared" si="528"/>
        <v>825</v>
      </c>
    </row>
    <row r="6012" spans="1:6" x14ac:dyDescent="0.25">
      <c r="A6012" s="140" t="s">
        <v>40</v>
      </c>
      <c r="B6012" s="46">
        <v>44143</v>
      </c>
      <c r="C6012" s="4">
        <v>99</v>
      </c>
      <c r="D6012" s="29">
        <f t="shared" si="527"/>
        <v>4121</v>
      </c>
      <c r="E6012" s="4">
        <f>3+2</f>
        <v>5</v>
      </c>
      <c r="F6012" s="129">
        <f t="shared" si="528"/>
        <v>41</v>
      </c>
    </row>
    <row r="6013" spans="1:6" x14ac:dyDescent="0.25">
      <c r="A6013" s="140" t="s">
        <v>28</v>
      </c>
      <c r="B6013" s="46">
        <v>44143</v>
      </c>
      <c r="C6013" s="4">
        <v>55</v>
      </c>
      <c r="D6013" s="29">
        <f t="shared" si="527"/>
        <v>7849</v>
      </c>
      <c r="E6013" s="4">
        <f>3</f>
        <v>3</v>
      </c>
      <c r="F6013" s="129">
        <f t="shared" si="528"/>
        <v>292</v>
      </c>
    </row>
    <row r="6014" spans="1:6" x14ac:dyDescent="0.25">
      <c r="A6014" s="140" t="s">
        <v>24</v>
      </c>
      <c r="B6014" s="46">
        <v>44143</v>
      </c>
      <c r="C6014" s="4">
        <v>140</v>
      </c>
      <c r="D6014" s="29">
        <f t="shared" si="527"/>
        <v>50574</v>
      </c>
      <c r="E6014" s="4">
        <f>12+4</f>
        <v>16</v>
      </c>
      <c r="F6014" s="129">
        <f t="shared" si="528"/>
        <v>924</v>
      </c>
    </row>
    <row r="6015" spans="1:6" x14ac:dyDescent="0.25">
      <c r="A6015" s="140" t="s">
        <v>30</v>
      </c>
      <c r="B6015" s="46">
        <v>44143</v>
      </c>
      <c r="C6015" s="4">
        <v>3</v>
      </c>
      <c r="D6015" s="29">
        <f t="shared" si="527"/>
        <v>333</v>
      </c>
      <c r="F6015" s="129">
        <f t="shared" si="528"/>
        <v>6</v>
      </c>
    </row>
    <row r="6016" spans="1:6" x14ac:dyDescent="0.25">
      <c r="A6016" s="140" t="s">
        <v>26</v>
      </c>
      <c r="B6016" s="46">
        <v>44143</v>
      </c>
      <c r="C6016" s="4">
        <v>154</v>
      </c>
      <c r="D6016" s="29">
        <f t="shared" si="527"/>
        <v>25254</v>
      </c>
      <c r="F6016" s="129">
        <f t="shared" si="528"/>
        <v>423</v>
      </c>
    </row>
    <row r="6017" spans="1:6" x14ac:dyDescent="0.25">
      <c r="A6017" s="140" t="s">
        <v>25</v>
      </c>
      <c r="B6017" s="46">
        <v>44143</v>
      </c>
      <c r="C6017" s="4">
        <v>126</v>
      </c>
      <c r="D6017" s="29">
        <f t="shared" si="527"/>
        <v>26229</v>
      </c>
      <c r="E6017" s="4">
        <f>1+1</f>
        <v>2</v>
      </c>
      <c r="F6017" s="129">
        <f t="shared" si="528"/>
        <v>664</v>
      </c>
    </row>
    <row r="6018" spans="1:6" x14ac:dyDescent="0.25">
      <c r="A6018" s="140" t="s">
        <v>41</v>
      </c>
      <c r="B6018" s="46">
        <v>44143</v>
      </c>
      <c r="C6018" s="4">
        <v>36</v>
      </c>
      <c r="D6018" s="29">
        <f t="shared" si="527"/>
        <v>19546</v>
      </c>
      <c r="E6018" s="4">
        <f>25+5</f>
        <v>30</v>
      </c>
      <c r="F6018" s="129">
        <f t="shared" si="528"/>
        <v>896</v>
      </c>
    </row>
    <row r="6019" spans="1:6" x14ac:dyDescent="0.25">
      <c r="A6019" s="140" t="s">
        <v>42</v>
      </c>
      <c r="B6019" s="46">
        <v>44143</v>
      </c>
      <c r="C6019" s="4">
        <v>127</v>
      </c>
      <c r="D6019" s="29">
        <f t="shared" si="527"/>
        <v>3663</v>
      </c>
      <c r="F6019" s="129">
        <f t="shared" si="528"/>
        <v>102</v>
      </c>
    </row>
    <row r="6020" spans="1:6" x14ac:dyDescent="0.25">
      <c r="A6020" s="140" t="s">
        <v>43</v>
      </c>
      <c r="B6020" s="46">
        <v>44143</v>
      </c>
      <c r="C6020" s="4">
        <v>54</v>
      </c>
      <c r="D6020" s="29">
        <f t="shared" si="527"/>
        <v>9071</v>
      </c>
      <c r="E6020" s="4">
        <f>1</f>
        <v>1</v>
      </c>
      <c r="F6020" s="129">
        <f t="shared" si="528"/>
        <v>122</v>
      </c>
    </row>
    <row r="6021" spans="1:6" x14ac:dyDescent="0.25">
      <c r="A6021" s="140" t="s">
        <v>44</v>
      </c>
      <c r="B6021" s="46">
        <v>44143</v>
      </c>
      <c r="C6021" s="4">
        <v>176</v>
      </c>
      <c r="D6021" s="29">
        <f t="shared" si="527"/>
        <v>11086</v>
      </c>
      <c r="E6021" s="4">
        <v>1</v>
      </c>
      <c r="F6021" s="129">
        <f t="shared" si="528"/>
        <v>165</v>
      </c>
    </row>
    <row r="6022" spans="1:6" x14ac:dyDescent="0.25">
      <c r="A6022" s="140" t="s">
        <v>29</v>
      </c>
      <c r="B6022" s="46">
        <v>44143</v>
      </c>
      <c r="C6022" s="4">
        <v>879</v>
      </c>
      <c r="D6022" s="29">
        <f t="shared" si="527"/>
        <v>118302</v>
      </c>
      <c r="E6022" s="4">
        <f>17+20</f>
        <v>37</v>
      </c>
      <c r="F6022" s="129">
        <f t="shared" si="528"/>
        <v>1665</v>
      </c>
    </row>
    <row r="6023" spans="1:6" x14ac:dyDescent="0.25">
      <c r="A6023" s="140" t="s">
        <v>45</v>
      </c>
      <c r="B6023" s="46">
        <v>44143</v>
      </c>
      <c r="C6023" s="4">
        <v>170</v>
      </c>
      <c r="D6023" s="29">
        <f t="shared" si="527"/>
        <v>11326</v>
      </c>
      <c r="F6023" s="129">
        <f t="shared" si="528"/>
        <v>142</v>
      </c>
    </row>
    <row r="6024" spans="1:6" x14ac:dyDescent="0.25">
      <c r="A6024" s="140" t="s">
        <v>46</v>
      </c>
      <c r="B6024" s="46">
        <v>44143</v>
      </c>
      <c r="C6024" s="4">
        <v>178</v>
      </c>
      <c r="D6024" s="29">
        <f t="shared" si="527"/>
        <v>13136</v>
      </c>
      <c r="F6024" s="129">
        <f t="shared" si="528"/>
        <v>166</v>
      </c>
    </row>
    <row r="6025" spans="1:6" ht="15.75" thickBot="1" x14ac:dyDescent="0.3">
      <c r="A6025" s="142" t="s">
        <v>47</v>
      </c>
      <c r="B6025" s="46">
        <v>44143</v>
      </c>
      <c r="C6025" s="4">
        <v>273</v>
      </c>
      <c r="D6025" s="85">
        <f>C6025+D6001</f>
        <v>54727</v>
      </c>
      <c r="E6025" s="4">
        <v>1</v>
      </c>
      <c r="F6025" s="139">
        <f t="shared" si="528"/>
        <v>886</v>
      </c>
    </row>
    <row r="6026" spans="1:6" x14ac:dyDescent="0.25">
      <c r="A6026" s="64" t="s">
        <v>22</v>
      </c>
      <c r="B6026" s="46">
        <v>44144</v>
      </c>
      <c r="C6026" s="4">
        <v>2391</v>
      </c>
      <c r="D6026" s="131">
        <f t="shared" si="527"/>
        <v>572888</v>
      </c>
      <c r="E6026" s="4">
        <v>115</v>
      </c>
      <c r="F6026" s="128">
        <f t="shared" si="528"/>
        <v>18785</v>
      </c>
    </row>
    <row r="6027" spans="1:6" x14ac:dyDescent="0.25">
      <c r="A6027" s="140" t="s">
        <v>20</v>
      </c>
      <c r="B6027" s="46">
        <v>44144</v>
      </c>
      <c r="C6027" s="4">
        <v>401</v>
      </c>
      <c r="D6027" s="29">
        <f t="shared" si="527"/>
        <v>150977</v>
      </c>
      <c r="E6027" s="4">
        <v>14</v>
      </c>
      <c r="F6027" s="129">
        <f t="shared" si="528"/>
        <v>4974</v>
      </c>
    </row>
    <row r="6028" spans="1:6" x14ac:dyDescent="0.25">
      <c r="A6028" s="140" t="s">
        <v>35</v>
      </c>
      <c r="B6028" s="46">
        <v>44144</v>
      </c>
      <c r="C6028" s="4">
        <v>45</v>
      </c>
      <c r="D6028" s="29">
        <f t="shared" si="527"/>
        <v>1224</v>
      </c>
      <c r="F6028" s="129">
        <f t="shared" si="528"/>
        <v>2</v>
      </c>
    </row>
    <row r="6029" spans="1:6" x14ac:dyDescent="0.25">
      <c r="A6029" s="140" t="s">
        <v>21</v>
      </c>
      <c r="B6029" s="46">
        <v>44144</v>
      </c>
      <c r="C6029" s="4">
        <v>125</v>
      </c>
      <c r="D6029" s="29">
        <f t="shared" si="527"/>
        <v>15163</v>
      </c>
      <c r="E6029" s="4">
        <v>4</v>
      </c>
      <c r="F6029" s="129">
        <f t="shared" si="528"/>
        <v>469</v>
      </c>
    </row>
    <row r="6030" spans="1:6" x14ac:dyDescent="0.25">
      <c r="A6030" s="140" t="s">
        <v>36</v>
      </c>
      <c r="B6030" s="46">
        <v>44144</v>
      </c>
      <c r="C6030" s="4">
        <v>288</v>
      </c>
      <c r="D6030" s="29">
        <f t="shared" si="527"/>
        <v>17183</v>
      </c>
      <c r="E6030" s="4">
        <v>1</v>
      </c>
      <c r="F6030" s="129">
        <f t="shared" si="528"/>
        <v>277</v>
      </c>
    </row>
    <row r="6031" spans="1:6" x14ac:dyDescent="0.25">
      <c r="A6031" s="140" t="s">
        <v>27</v>
      </c>
      <c r="B6031" s="46">
        <v>44144</v>
      </c>
      <c r="C6031" s="4">
        <v>866</v>
      </c>
      <c r="D6031" s="29">
        <f t="shared" si="527"/>
        <v>94445</v>
      </c>
      <c r="E6031" s="4">
        <v>26</v>
      </c>
      <c r="F6031" s="129">
        <f t="shared" si="528"/>
        <v>1502</v>
      </c>
    </row>
    <row r="6032" spans="1:6" x14ac:dyDescent="0.25">
      <c r="A6032" s="140" t="s">
        <v>37</v>
      </c>
      <c r="B6032" s="46">
        <v>44144</v>
      </c>
      <c r="C6032" s="4">
        <v>137</v>
      </c>
      <c r="D6032" s="29">
        <f t="shared" si="527"/>
        <v>3047</v>
      </c>
      <c r="E6032" s="4">
        <v>4</v>
      </c>
      <c r="F6032" s="129">
        <f t="shared" si="528"/>
        <v>61</v>
      </c>
    </row>
    <row r="6033" spans="1:6" x14ac:dyDescent="0.25">
      <c r="A6033" s="140" t="s">
        <v>38</v>
      </c>
      <c r="B6033" s="46">
        <v>44144</v>
      </c>
      <c r="C6033" s="4">
        <v>156</v>
      </c>
      <c r="D6033" s="29">
        <f t="shared" si="527"/>
        <v>18260</v>
      </c>
      <c r="E6033" s="4">
        <v>8</v>
      </c>
      <c r="F6033" s="129">
        <f t="shared" si="528"/>
        <v>336</v>
      </c>
    </row>
    <row r="6034" spans="1:6" x14ac:dyDescent="0.25">
      <c r="A6034" s="140" t="s">
        <v>48</v>
      </c>
      <c r="B6034" s="46">
        <v>44144</v>
      </c>
      <c r="C6034" s="4">
        <v>-1</v>
      </c>
      <c r="D6034" s="29">
        <f t="shared" si="527"/>
        <v>161</v>
      </c>
      <c r="F6034" s="129">
        <f t="shared" si="528"/>
        <v>3</v>
      </c>
    </row>
    <row r="6035" spans="1:6" x14ac:dyDescent="0.25">
      <c r="A6035" s="140" t="s">
        <v>39</v>
      </c>
      <c r="B6035" s="46">
        <v>44144</v>
      </c>
      <c r="C6035" s="4">
        <v>16</v>
      </c>
      <c r="D6035" s="29">
        <f t="shared" si="527"/>
        <v>18041</v>
      </c>
      <c r="F6035" s="129">
        <f t="shared" si="528"/>
        <v>825</v>
      </c>
    </row>
    <row r="6036" spans="1:6" x14ac:dyDescent="0.25">
      <c r="A6036" s="140" t="s">
        <v>40</v>
      </c>
      <c r="B6036" s="46">
        <v>44144</v>
      </c>
      <c r="C6036" s="4">
        <v>71</v>
      </c>
      <c r="D6036" s="29">
        <f t="shared" si="527"/>
        <v>4192</v>
      </c>
      <c r="F6036" s="129">
        <f t="shared" si="528"/>
        <v>41</v>
      </c>
    </row>
    <row r="6037" spans="1:6" x14ac:dyDescent="0.25">
      <c r="A6037" s="140" t="s">
        <v>28</v>
      </c>
      <c r="B6037" s="46">
        <v>44144</v>
      </c>
      <c r="C6037" s="4">
        <v>21</v>
      </c>
      <c r="D6037" s="29">
        <f t="shared" si="527"/>
        <v>7870</v>
      </c>
      <c r="F6037" s="129">
        <f t="shared" si="528"/>
        <v>292</v>
      </c>
    </row>
    <row r="6038" spans="1:6" x14ac:dyDescent="0.25">
      <c r="A6038" s="140" t="s">
        <v>24</v>
      </c>
      <c r="B6038" s="46">
        <v>44144</v>
      </c>
      <c r="C6038" s="4">
        <v>326</v>
      </c>
      <c r="D6038" s="29">
        <f t="shared" si="527"/>
        <v>50900</v>
      </c>
      <c r="E6038" s="4">
        <v>11</v>
      </c>
      <c r="F6038" s="129">
        <f t="shared" si="528"/>
        <v>935</v>
      </c>
    </row>
    <row r="6039" spans="1:6" x14ac:dyDescent="0.25">
      <c r="A6039" s="140" t="s">
        <v>30</v>
      </c>
      <c r="B6039" s="46">
        <v>44144</v>
      </c>
      <c r="C6039" s="4">
        <v>7</v>
      </c>
      <c r="D6039" s="29">
        <f t="shared" si="527"/>
        <v>340</v>
      </c>
      <c r="E6039" s="4">
        <v>1</v>
      </c>
      <c r="F6039" s="129">
        <f t="shared" si="528"/>
        <v>7</v>
      </c>
    </row>
    <row r="6040" spans="1:6" x14ac:dyDescent="0.25">
      <c r="A6040" s="140" t="s">
        <v>26</v>
      </c>
      <c r="B6040" s="46">
        <v>44144</v>
      </c>
      <c r="C6040" s="4">
        <v>149</v>
      </c>
      <c r="D6040" s="29">
        <f t="shared" si="527"/>
        <v>25403</v>
      </c>
      <c r="E6040" s="4">
        <v>1</v>
      </c>
      <c r="F6040" s="129">
        <f t="shared" si="528"/>
        <v>424</v>
      </c>
    </row>
    <row r="6041" spans="1:6" x14ac:dyDescent="0.25">
      <c r="A6041" s="140" t="s">
        <v>25</v>
      </c>
      <c r="B6041" s="46">
        <v>44144</v>
      </c>
      <c r="C6041" s="4">
        <v>356</v>
      </c>
      <c r="D6041" s="29">
        <f t="shared" si="527"/>
        <v>26585</v>
      </c>
      <c r="E6041" s="4">
        <v>7</v>
      </c>
      <c r="F6041" s="129">
        <f t="shared" si="528"/>
        <v>671</v>
      </c>
    </row>
    <row r="6042" spans="1:6" x14ac:dyDescent="0.25">
      <c r="A6042" s="140" t="s">
        <v>41</v>
      </c>
      <c r="B6042" s="46">
        <v>44144</v>
      </c>
      <c r="C6042" s="4">
        <v>65</v>
      </c>
      <c r="D6042" s="29">
        <f t="shared" ref="D6042:D6048" si="529">C6042+D6018</f>
        <v>19611</v>
      </c>
      <c r="E6042" s="4">
        <v>17</v>
      </c>
      <c r="F6042" s="129">
        <f t="shared" si="528"/>
        <v>913</v>
      </c>
    </row>
    <row r="6043" spans="1:6" x14ac:dyDescent="0.25">
      <c r="A6043" s="140" t="s">
        <v>42</v>
      </c>
      <c r="B6043" s="46">
        <v>44144</v>
      </c>
      <c r="C6043" s="4">
        <v>154</v>
      </c>
      <c r="D6043" s="29">
        <f t="shared" si="529"/>
        <v>3817</v>
      </c>
      <c r="E6043" s="4">
        <v>21</v>
      </c>
      <c r="F6043" s="129">
        <f t="shared" si="528"/>
        <v>123</v>
      </c>
    </row>
    <row r="6044" spans="1:6" x14ac:dyDescent="0.25">
      <c r="A6044" s="140" t="s">
        <v>43</v>
      </c>
      <c r="B6044" s="46">
        <v>44144</v>
      </c>
      <c r="C6044" s="4">
        <v>298</v>
      </c>
      <c r="D6044" s="29">
        <f t="shared" si="529"/>
        <v>9369</v>
      </c>
      <c r="E6044" s="4">
        <v>10</v>
      </c>
      <c r="F6044" s="129">
        <f t="shared" si="528"/>
        <v>132</v>
      </c>
    </row>
    <row r="6045" spans="1:6" x14ac:dyDescent="0.25">
      <c r="A6045" s="140" t="s">
        <v>44</v>
      </c>
      <c r="B6045" s="46">
        <v>44144</v>
      </c>
      <c r="C6045" s="4">
        <v>136</v>
      </c>
      <c r="D6045" s="29">
        <f t="shared" si="529"/>
        <v>11222</v>
      </c>
      <c r="E6045" s="4">
        <v>10</v>
      </c>
      <c r="F6045" s="129">
        <f t="shared" si="528"/>
        <v>175</v>
      </c>
    </row>
    <row r="6046" spans="1:6" x14ac:dyDescent="0.25">
      <c r="A6046" s="140" t="s">
        <v>29</v>
      </c>
      <c r="B6046" s="46">
        <v>44144</v>
      </c>
      <c r="C6046" s="4">
        <v>1291</v>
      </c>
      <c r="D6046" s="29">
        <f t="shared" si="529"/>
        <v>119593</v>
      </c>
      <c r="E6046" s="4">
        <v>60</v>
      </c>
      <c r="F6046" s="129">
        <f t="shared" si="528"/>
        <v>1725</v>
      </c>
    </row>
    <row r="6047" spans="1:6" x14ac:dyDescent="0.25">
      <c r="A6047" s="140" t="s">
        <v>45</v>
      </c>
      <c r="B6047" s="46">
        <v>44144</v>
      </c>
      <c r="C6047" s="4">
        <v>205</v>
      </c>
      <c r="D6047" s="29">
        <f t="shared" si="529"/>
        <v>11531</v>
      </c>
      <c r="E6047" s="4">
        <v>4</v>
      </c>
      <c r="F6047" s="129">
        <f t="shared" si="528"/>
        <v>146</v>
      </c>
    </row>
    <row r="6048" spans="1:6" x14ac:dyDescent="0.25">
      <c r="A6048" s="140" t="s">
        <v>46</v>
      </c>
      <c r="B6048" s="46">
        <v>44144</v>
      </c>
      <c r="C6048" s="4">
        <v>173</v>
      </c>
      <c r="D6048" s="29">
        <f t="shared" si="529"/>
        <v>13309</v>
      </c>
      <c r="E6048" s="4">
        <v>2</v>
      </c>
      <c r="F6048" s="129">
        <f t="shared" si="528"/>
        <v>168</v>
      </c>
    </row>
    <row r="6049" spans="1:6" ht="15.75" thickBot="1" x14ac:dyDescent="0.3">
      <c r="A6049" s="142" t="s">
        <v>47</v>
      </c>
      <c r="B6049" s="46">
        <v>44144</v>
      </c>
      <c r="C6049" s="4">
        <v>641</v>
      </c>
      <c r="D6049" s="85">
        <f>C6049+D6025</f>
        <v>55368</v>
      </c>
      <c r="E6049" s="4">
        <v>33</v>
      </c>
      <c r="F6049" s="139">
        <f t="shared" si="528"/>
        <v>919</v>
      </c>
    </row>
    <row r="6050" spans="1:6" x14ac:dyDescent="0.25">
      <c r="A6050" s="64" t="s">
        <v>22</v>
      </c>
      <c r="B6050" s="46">
        <v>44145</v>
      </c>
      <c r="C6050" s="4">
        <v>3428</v>
      </c>
      <c r="D6050" s="131">
        <f t="shared" ref="D6050:D6113" si="530">C6050+D6026</f>
        <v>576316</v>
      </c>
      <c r="E6050" s="4">
        <v>81</v>
      </c>
      <c r="F6050" s="128">
        <f t="shared" si="528"/>
        <v>18866</v>
      </c>
    </row>
    <row r="6051" spans="1:6" x14ac:dyDescent="0.25">
      <c r="A6051" s="140" t="s">
        <v>20</v>
      </c>
      <c r="B6051" s="46">
        <v>44145</v>
      </c>
      <c r="C6051" s="4">
        <v>560</v>
      </c>
      <c r="D6051" s="29">
        <f t="shared" si="530"/>
        <v>151537</v>
      </c>
      <c r="E6051" s="4">
        <v>16</v>
      </c>
      <c r="F6051" s="129">
        <f t="shared" si="528"/>
        <v>4990</v>
      </c>
    </row>
    <row r="6052" spans="1:6" x14ac:dyDescent="0.25">
      <c r="A6052" s="140" t="s">
        <v>35</v>
      </c>
      <c r="B6052" s="46">
        <v>44145</v>
      </c>
      <c r="C6052" s="4">
        <v>27</v>
      </c>
      <c r="D6052" s="29">
        <f t="shared" si="530"/>
        <v>1251</v>
      </c>
      <c r="F6052" s="129">
        <f t="shared" si="528"/>
        <v>2</v>
      </c>
    </row>
    <row r="6053" spans="1:6" x14ac:dyDescent="0.25">
      <c r="A6053" s="140" t="s">
        <v>21</v>
      </c>
      <c r="B6053" s="46">
        <v>44145</v>
      </c>
      <c r="C6053" s="4">
        <v>144</v>
      </c>
      <c r="D6053" s="29">
        <f t="shared" si="530"/>
        <v>15307</v>
      </c>
      <c r="E6053" s="4">
        <v>6</v>
      </c>
      <c r="F6053" s="129">
        <f t="shared" si="528"/>
        <v>475</v>
      </c>
    </row>
    <row r="6054" spans="1:6" x14ac:dyDescent="0.25">
      <c r="A6054" s="140" t="s">
        <v>36</v>
      </c>
      <c r="B6054" s="46">
        <v>44145</v>
      </c>
      <c r="C6054" s="4">
        <v>511</v>
      </c>
      <c r="D6054" s="29">
        <f t="shared" si="530"/>
        <v>17694</v>
      </c>
      <c r="E6054" s="4">
        <v>13</v>
      </c>
      <c r="F6054" s="129">
        <f t="shared" si="528"/>
        <v>290</v>
      </c>
    </row>
    <row r="6055" spans="1:6" x14ac:dyDescent="0.25">
      <c r="A6055" s="140" t="s">
        <v>27</v>
      </c>
      <c r="B6055" s="46">
        <v>44145</v>
      </c>
      <c r="C6055" s="4">
        <v>1622</v>
      </c>
      <c r="D6055" s="29">
        <f t="shared" si="530"/>
        <v>96067</v>
      </c>
      <c r="E6055" s="4">
        <v>27</v>
      </c>
      <c r="F6055" s="129">
        <f t="shared" si="528"/>
        <v>1529</v>
      </c>
    </row>
    <row r="6056" spans="1:6" x14ac:dyDescent="0.25">
      <c r="A6056" s="140" t="s">
        <v>37</v>
      </c>
      <c r="B6056" s="46">
        <v>44145</v>
      </c>
      <c r="C6056" s="4">
        <v>62</v>
      </c>
      <c r="D6056" s="29">
        <f t="shared" si="530"/>
        <v>3109</v>
      </c>
      <c r="E6056" s="4">
        <v>2</v>
      </c>
      <c r="F6056" s="129">
        <f t="shared" si="528"/>
        <v>63</v>
      </c>
    </row>
    <row r="6057" spans="1:6" x14ac:dyDescent="0.25">
      <c r="A6057" s="140" t="s">
        <v>38</v>
      </c>
      <c r="B6057" s="46">
        <v>44145</v>
      </c>
      <c r="C6057" s="4">
        <v>338</v>
      </c>
      <c r="D6057" s="29">
        <f t="shared" si="530"/>
        <v>18598</v>
      </c>
      <c r="E6057" s="4">
        <v>9</v>
      </c>
      <c r="F6057" s="129">
        <f t="shared" si="528"/>
        <v>345</v>
      </c>
    </row>
    <row r="6058" spans="1:6" x14ac:dyDescent="0.25">
      <c r="A6058" s="140" t="s">
        <v>48</v>
      </c>
      <c r="B6058" s="46">
        <v>44145</v>
      </c>
      <c r="C6058" s="4">
        <v>2</v>
      </c>
      <c r="D6058" s="29">
        <f t="shared" si="530"/>
        <v>163</v>
      </c>
      <c r="F6058" s="129">
        <f t="shared" si="528"/>
        <v>3</v>
      </c>
    </row>
    <row r="6059" spans="1:6" x14ac:dyDescent="0.25">
      <c r="A6059" s="140" t="s">
        <v>39</v>
      </c>
      <c r="B6059" s="46">
        <v>44145</v>
      </c>
      <c r="C6059" s="4">
        <v>24</v>
      </c>
      <c r="D6059" s="29">
        <f t="shared" si="530"/>
        <v>18065</v>
      </c>
      <c r="E6059" s="4">
        <v>7</v>
      </c>
      <c r="F6059" s="129">
        <f t="shared" ref="F6059:F6122" si="531">E6059+F6035</f>
        <v>832</v>
      </c>
    </row>
    <row r="6060" spans="1:6" x14ac:dyDescent="0.25">
      <c r="A6060" s="140" t="s">
        <v>40</v>
      </c>
      <c r="B6060" s="46">
        <v>44145</v>
      </c>
      <c r="C6060" s="4">
        <v>96</v>
      </c>
      <c r="D6060" s="29">
        <f t="shared" si="530"/>
        <v>4288</v>
      </c>
      <c r="E6060" s="4">
        <v>1</v>
      </c>
      <c r="F6060" s="129">
        <f t="shared" si="531"/>
        <v>42</v>
      </c>
    </row>
    <row r="6061" spans="1:6" x14ac:dyDescent="0.25">
      <c r="A6061" s="140" t="s">
        <v>28</v>
      </c>
      <c r="B6061" s="46">
        <v>44145</v>
      </c>
      <c r="C6061" s="4">
        <v>48</v>
      </c>
      <c r="D6061" s="29">
        <f t="shared" si="530"/>
        <v>7918</v>
      </c>
      <c r="F6061" s="129">
        <f t="shared" si="531"/>
        <v>292</v>
      </c>
    </row>
    <row r="6062" spans="1:6" x14ac:dyDescent="0.25">
      <c r="A6062" s="140" t="s">
        <v>24</v>
      </c>
      <c r="B6062" s="46">
        <v>44145</v>
      </c>
      <c r="C6062" s="4">
        <v>520</v>
      </c>
      <c r="D6062" s="29">
        <f t="shared" si="530"/>
        <v>51420</v>
      </c>
      <c r="E6062" s="4">
        <v>16</v>
      </c>
      <c r="F6062" s="129">
        <f t="shared" si="531"/>
        <v>951</v>
      </c>
    </row>
    <row r="6063" spans="1:6" x14ac:dyDescent="0.25">
      <c r="A6063" s="140" t="s">
        <v>30</v>
      </c>
      <c r="B6063" s="46">
        <v>44145</v>
      </c>
      <c r="C6063" s="4">
        <v>21</v>
      </c>
      <c r="D6063" s="29">
        <f t="shared" si="530"/>
        <v>361</v>
      </c>
      <c r="F6063" s="129">
        <f t="shared" si="531"/>
        <v>7</v>
      </c>
    </row>
    <row r="6064" spans="1:6" x14ac:dyDescent="0.25">
      <c r="A6064" s="140" t="s">
        <v>26</v>
      </c>
      <c r="B6064" s="46">
        <v>44145</v>
      </c>
      <c r="C6064" s="4">
        <v>351</v>
      </c>
      <c r="D6064" s="29">
        <f t="shared" si="530"/>
        <v>25754</v>
      </c>
      <c r="E6064" s="4">
        <v>1</v>
      </c>
      <c r="F6064" s="129">
        <f t="shared" si="531"/>
        <v>425</v>
      </c>
    </row>
    <row r="6065" spans="1:6" x14ac:dyDescent="0.25">
      <c r="A6065" s="140" t="s">
        <v>25</v>
      </c>
      <c r="B6065" s="46">
        <v>44145</v>
      </c>
      <c r="C6065" s="4">
        <v>539</v>
      </c>
      <c r="D6065" s="29">
        <f t="shared" si="530"/>
        <v>27124</v>
      </c>
      <c r="E6065" s="4">
        <v>11</v>
      </c>
      <c r="F6065" s="129">
        <f t="shared" si="531"/>
        <v>682</v>
      </c>
    </row>
    <row r="6066" spans="1:6" x14ac:dyDescent="0.25">
      <c r="A6066" s="140" t="s">
        <v>41</v>
      </c>
      <c r="B6066" s="46">
        <v>44145</v>
      </c>
      <c r="C6066" s="4">
        <v>89</v>
      </c>
      <c r="D6066" s="29">
        <f t="shared" si="530"/>
        <v>19700</v>
      </c>
      <c r="E6066" s="4">
        <v>5</v>
      </c>
      <c r="F6066" s="129">
        <f t="shared" si="531"/>
        <v>918</v>
      </c>
    </row>
    <row r="6067" spans="1:6" x14ac:dyDescent="0.25">
      <c r="A6067" s="140" t="s">
        <v>42</v>
      </c>
      <c r="B6067" s="46">
        <v>44145</v>
      </c>
      <c r="C6067" s="4">
        <v>142</v>
      </c>
      <c r="D6067" s="29">
        <f t="shared" si="530"/>
        <v>3959</v>
      </c>
      <c r="F6067" s="129">
        <f t="shared" si="531"/>
        <v>123</v>
      </c>
    </row>
    <row r="6068" spans="1:6" x14ac:dyDescent="0.25">
      <c r="A6068" s="140" t="s">
        <v>43</v>
      </c>
      <c r="B6068" s="46">
        <v>44145</v>
      </c>
      <c r="C6068" s="4">
        <v>452</v>
      </c>
      <c r="D6068" s="29">
        <f t="shared" si="530"/>
        <v>9821</v>
      </c>
      <c r="E6068" s="4">
        <v>2</v>
      </c>
      <c r="F6068" s="129">
        <f t="shared" si="531"/>
        <v>134</v>
      </c>
    </row>
    <row r="6069" spans="1:6" x14ac:dyDescent="0.25">
      <c r="A6069" s="140" t="s">
        <v>44</v>
      </c>
      <c r="B6069" s="46">
        <v>44145</v>
      </c>
      <c r="C6069" s="4">
        <v>257</v>
      </c>
      <c r="D6069" s="29">
        <f t="shared" si="530"/>
        <v>11479</v>
      </c>
      <c r="E6069" s="4">
        <v>5</v>
      </c>
      <c r="F6069" s="129">
        <f t="shared" si="531"/>
        <v>180</v>
      </c>
    </row>
    <row r="6070" spans="1:6" x14ac:dyDescent="0.25">
      <c r="A6070" s="140" t="s">
        <v>29</v>
      </c>
      <c r="B6070" s="46">
        <v>44145</v>
      </c>
      <c r="C6070" s="4">
        <v>1691</v>
      </c>
      <c r="D6070" s="29">
        <f t="shared" si="530"/>
        <v>121284</v>
      </c>
      <c r="E6070" s="4">
        <v>44</v>
      </c>
      <c r="F6070" s="129">
        <f t="shared" si="531"/>
        <v>1769</v>
      </c>
    </row>
    <row r="6071" spans="1:6" x14ac:dyDescent="0.25">
      <c r="A6071" s="140" t="s">
        <v>45</v>
      </c>
      <c r="B6071" s="46">
        <v>44145</v>
      </c>
      <c r="C6071" s="4">
        <v>129</v>
      </c>
      <c r="D6071" s="29">
        <f t="shared" si="530"/>
        <v>11660</v>
      </c>
      <c r="E6071" s="4">
        <v>5</v>
      </c>
      <c r="F6071" s="129">
        <f t="shared" si="531"/>
        <v>151</v>
      </c>
    </row>
    <row r="6072" spans="1:6" x14ac:dyDescent="0.25">
      <c r="A6072" s="140" t="s">
        <v>46</v>
      </c>
      <c r="B6072" s="46">
        <v>44145</v>
      </c>
      <c r="C6072" s="4">
        <v>235</v>
      </c>
      <c r="D6072" s="29">
        <f t="shared" si="530"/>
        <v>13544</v>
      </c>
      <c r="E6072" s="4">
        <v>1</v>
      </c>
      <c r="F6072" s="129">
        <f t="shared" si="531"/>
        <v>169</v>
      </c>
    </row>
    <row r="6073" spans="1:6" ht="15.75" thickBot="1" x14ac:dyDescent="0.3">
      <c r="A6073" s="142" t="s">
        <v>47</v>
      </c>
      <c r="B6073" s="46">
        <v>44145</v>
      </c>
      <c r="C6073" s="4">
        <v>689</v>
      </c>
      <c r="D6073" s="85">
        <f>C6073+D6049</f>
        <v>56057</v>
      </c>
      <c r="E6073" s="4">
        <v>27</v>
      </c>
      <c r="F6073" s="139">
        <f t="shared" si="531"/>
        <v>946</v>
      </c>
    </row>
    <row r="6074" spans="1:6" x14ac:dyDescent="0.25">
      <c r="A6074" s="64" t="s">
        <v>22</v>
      </c>
      <c r="B6074" s="46">
        <v>44146</v>
      </c>
      <c r="C6074" s="4">
        <v>3040</v>
      </c>
      <c r="D6074" s="131">
        <f t="shared" si="530"/>
        <v>579356</v>
      </c>
      <c r="E6074" s="4">
        <v>128</v>
      </c>
      <c r="F6074" s="128">
        <f t="shared" si="531"/>
        <v>18994</v>
      </c>
    </row>
    <row r="6075" spans="1:6" x14ac:dyDescent="0.25">
      <c r="A6075" s="140" t="s">
        <v>20</v>
      </c>
      <c r="B6075" s="46">
        <v>44146</v>
      </c>
      <c r="C6075" s="4">
        <v>549</v>
      </c>
      <c r="D6075" s="29">
        <f t="shared" si="530"/>
        <v>152086</v>
      </c>
      <c r="E6075" s="4">
        <v>10</v>
      </c>
      <c r="F6075" s="129">
        <f t="shared" si="531"/>
        <v>5000</v>
      </c>
    </row>
    <row r="6076" spans="1:6" x14ac:dyDescent="0.25">
      <c r="A6076" s="140" t="s">
        <v>35</v>
      </c>
      <c r="B6076" s="46">
        <v>44146</v>
      </c>
      <c r="C6076" s="4">
        <v>51</v>
      </c>
      <c r="D6076" s="29">
        <f t="shared" si="530"/>
        <v>1302</v>
      </c>
      <c r="F6076" s="129">
        <f t="shared" si="531"/>
        <v>2</v>
      </c>
    </row>
    <row r="6077" spans="1:6" x14ac:dyDescent="0.25">
      <c r="A6077" s="140" t="s">
        <v>21</v>
      </c>
      <c r="B6077" s="46">
        <v>44146</v>
      </c>
      <c r="C6077" s="4">
        <v>205</v>
      </c>
      <c r="D6077" s="29">
        <f t="shared" si="530"/>
        <v>15512</v>
      </c>
      <c r="E6077" s="4">
        <v>2</v>
      </c>
      <c r="F6077" s="129">
        <f t="shared" si="531"/>
        <v>477</v>
      </c>
    </row>
    <row r="6078" spans="1:6" x14ac:dyDescent="0.25">
      <c r="A6078" s="140" t="s">
        <v>36</v>
      </c>
      <c r="B6078" s="46">
        <v>44146</v>
      </c>
      <c r="C6078" s="4">
        <v>354</v>
      </c>
      <c r="D6078" s="29">
        <f t="shared" si="530"/>
        <v>18048</v>
      </c>
      <c r="E6078" s="4">
        <v>7</v>
      </c>
      <c r="F6078" s="129">
        <f t="shared" si="531"/>
        <v>297</v>
      </c>
    </row>
    <row r="6079" spans="1:6" x14ac:dyDescent="0.25">
      <c r="A6079" s="140" t="s">
        <v>27</v>
      </c>
      <c r="B6079" s="46">
        <v>44146</v>
      </c>
      <c r="C6079" s="4">
        <v>1361</v>
      </c>
      <c r="D6079" s="29">
        <f t="shared" si="530"/>
        <v>97428</v>
      </c>
      <c r="E6079" s="4">
        <v>28</v>
      </c>
      <c r="F6079" s="129">
        <f t="shared" si="531"/>
        <v>1557</v>
      </c>
    </row>
    <row r="6080" spans="1:6" x14ac:dyDescent="0.25">
      <c r="A6080" s="140" t="s">
        <v>37</v>
      </c>
      <c r="B6080" s="46">
        <v>44146</v>
      </c>
      <c r="C6080" s="4">
        <v>135</v>
      </c>
      <c r="D6080" s="29">
        <f t="shared" si="530"/>
        <v>3244</v>
      </c>
      <c r="F6080" s="129">
        <f t="shared" si="531"/>
        <v>63</v>
      </c>
    </row>
    <row r="6081" spans="1:6" x14ac:dyDescent="0.25">
      <c r="A6081" s="140" t="s">
        <v>38</v>
      </c>
      <c r="B6081" s="46">
        <v>44146</v>
      </c>
      <c r="C6081" s="4">
        <v>357</v>
      </c>
      <c r="D6081" s="29">
        <f t="shared" si="530"/>
        <v>18955</v>
      </c>
      <c r="E6081" s="4">
        <v>4</v>
      </c>
      <c r="F6081" s="129">
        <f t="shared" si="531"/>
        <v>349</v>
      </c>
    </row>
    <row r="6082" spans="1:6" x14ac:dyDescent="0.25">
      <c r="A6082" s="140" t="s">
        <v>48</v>
      </c>
      <c r="B6082" s="46">
        <v>44146</v>
      </c>
      <c r="C6082" s="4">
        <v>2</v>
      </c>
      <c r="D6082" s="29">
        <f t="shared" si="530"/>
        <v>165</v>
      </c>
      <c r="F6082" s="129">
        <f t="shared" si="531"/>
        <v>3</v>
      </c>
    </row>
    <row r="6083" spans="1:6" x14ac:dyDescent="0.25">
      <c r="A6083" s="140" t="s">
        <v>39</v>
      </c>
      <c r="B6083" s="46">
        <v>44146</v>
      </c>
      <c r="C6083" s="4">
        <v>10</v>
      </c>
      <c r="D6083" s="29">
        <f t="shared" si="530"/>
        <v>18075</v>
      </c>
      <c r="F6083" s="129">
        <f t="shared" si="531"/>
        <v>832</v>
      </c>
    </row>
    <row r="6084" spans="1:6" x14ac:dyDescent="0.25">
      <c r="A6084" s="140" t="s">
        <v>40</v>
      </c>
      <c r="B6084" s="46">
        <v>44146</v>
      </c>
      <c r="C6084" s="4">
        <v>92</v>
      </c>
      <c r="D6084" s="29">
        <f t="shared" si="530"/>
        <v>4380</v>
      </c>
      <c r="E6084" s="4">
        <v>4</v>
      </c>
      <c r="F6084" s="129">
        <f t="shared" si="531"/>
        <v>46</v>
      </c>
    </row>
    <row r="6085" spans="1:6" x14ac:dyDescent="0.25">
      <c r="A6085" s="140" t="s">
        <v>28</v>
      </c>
      <c r="B6085" s="46">
        <v>44146</v>
      </c>
      <c r="C6085" s="4">
        <v>41</v>
      </c>
      <c r="D6085" s="29">
        <f t="shared" si="530"/>
        <v>7959</v>
      </c>
      <c r="F6085" s="129">
        <f t="shared" si="531"/>
        <v>292</v>
      </c>
    </row>
    <row r="6086" spans="1:6" x14ac:dyDescent="0.25">
      <c r="A6086" s="140" t="s">
        <v>24</v>
      </c>
      <c r="B6086" s="46">
        <v>44146</v>
      </c>
      <c r="C6086" s="4">
        <v>474</v>
      </c>
      <c r="D6086" s="29">
        <f t="shared" si="530"/>
        <v>51894</v>
      </c>
      <c r="E6086" s="4">
        <v>41</v>
      </c>
      <c r="F6086" s="129">
        <f t="shared" si="531"/>
        <v>992</v>
      </c>
    </row>
    <row r="6087" spans="1:6" x14ac:dyDescent="0.25">
      <c r="A6087" s="140" t="s">
        <v>30</v>
      </c>
      <c r="B6087" s="46">
        <v>44146</v>
      </c>
      <c r="C6087" s="4">
        <v>-2</v>
      </c>
      <c r="D6087" s="29">
        <f t="shared" si="530"/>
        <v>359</v>
      </c>
      <c r="F6087" s="129">
        <f t="shared" si="531"/>
        <v>7</v>
      </c>
    </row>
    <row r="6088" spans="1:6" x14ac:dyDescent="0.25">
      <c r="A6088" s="140" t="s">
        <v>26</v>
      </c>
      <c r="B6088" s="46">
        <v>44146</v>
      </c>
      <c r="C6088" s="4">
        <v>129</v>
      </c>
      <c r="D6088" s="29">
        <f t="shared" si="530"/>
        <v>25883</v>
      </c>
      <c r="E6088" s="4">
        <v>42</v>
      </c>
      <c r="F6088" s="129">
        <f t="shared" si="531"/>
        <v>467</v>
      </c>
    </row>
    <row r="6089" spans="1:6" x14ac:dyDescent="0.25">
      <c r="A6089" s="140" t="s">
        <v>25</v>
      </c>
      <c r="B6089" s="46">
        <v>44146</v>
      </c>
      <c r="C6089" s="4">
        <v>207</v>
      </c>
      <c r="D6089" s="29">
        <f t="shared" si="530"/>
        <v>27331</v>
      </c>
      <c r="E6089" s="4">
        <v>6</v>
      </c>
      <c r="F6089" s="129">
        <f t="shared" si="531"/>
        <v>688</v>
      </c>
    </row>
    <row r="6090" spans="1:6" x14ac:dyDescent="0.25">
      <c r="A6090" s="140" t="s">
        <v>41</v>
      </c>
      <c r="B6090" s="46">
        <v>44146</v>
      </c>
      <c r="C6090" s="4">
        <v>93</v>
      </c>
      <c r="D6090" s="29">
        <f t="shared" si="530"/>
        <v>19793</v>
      </c>
      <c r="E6090" s="4">
        <v>7</v>
      </c>
      <c r="F6090" s="129">
        <f t="shared" si="531"/>
        <v>925</v>
      </c>
    </row>
    <row r="6091" spans="1:6" x14ac:dyDescent="0.25">
      <c r="A6091" s="140" t="s">
        <v>42</v>
      </c>
      <c r="B6091" s="46">
        <v>44146</v>
      </c>
      <c r="C6091" s="4">
        <v>157</v>
      </c>
      <c r="D6091" s="29">
        <f t="shared" si="530"/>
        <v>4116</v>
      </c>
      <c r="F6091" s="129">
        <f t="shared" si="531"/>
        <v>123</v>
      </c>
    </row>
    <row r="6092" spans="1:6" x14ac:dyDescent="0.25">
      <c r="A6092" s="140" t="s">
        <v>43</v>
      </c>
      <c r="B6092" s="46">
        <v>44146</v>
      </c>
      <c r="C6092" s="4">
        <v>363</v>
      </c>
      <c r="D6092" s="29">
        <f t="shared" si="530"/>
        <v>10184</v>
      </c>
      <c r="E6092" s="4">
        <v>5</v>
      </c>
      <c r="F6092" s="129">
        <f t="shared" si="531"/>
        <v>139</v>
      </c>
    </row>
    <row r="6093" spans="1:6" x14ac:dyDescent="0.25">
      <c r="A6093" s="140" t="s">
        <v>44</v>
      </c>
      <c r="B6093" s="46">
        <v>44146</v>
      </c>
      <c r="C6093" s="4">
        <v>305</v>
      </c>
      <c r="D6093" s="29">
        <f t="shared" si="530"/>
        <v>11784</v>
      </c>
      <c r="E6093" s="4">
        <v>2</v>
      </c>
      <c r="F6093" s="129">
        <f t="shared" si="531"/>
        <v>182</v>
      </c>
    </row>
    <row r="6094" spans="1:6" x14ac:dyDescent="0.25">
      <c r="A6094" s="140" t="s">
        <v>29</v>
      </c>
      <c r="B6094" s="46">
        <v>44146</v>
      </c>
      <c r="C6094" s="4">
        <v>1545</v>
      </c>
      <c r="D6094" s="29">
        <f t="shared" si="530"/>
        <v>122829</v>
      </c>
      <c r="E6094" s="4">
        <v>47</v>
      </c>
      <c r="F6094" s="129">
        <f t="shared" si="531"/>
        <v>1816</v>
      </c>
    </row>
    <row r="6095" spans="1:6" x14ac:dyDescent="0.25">
      <c r="A6095" s="140" t="s">
        <v>45</v>
      </c>
      <c r="B6095" s="46">
        <v>44146</v>
      </c>
      <c r="C6095" s="4">
        <v>252</v>
      </c>
      <c r="D6095" s="29">
        <f t="shared" si="530"/>
        <v>11912</v>
      </c>
      <c r="F6095" s="129">
        <f t="shared" si="531"/>
        <v>151</v>
      </c>
    </row>
    <row r="6096" spans="1:6" x14ac:dyDescent="0.25">
      <c r="A6096" s="140" t="s">
        <v>46</v>
      </c>
      <c r="B6096" s="46">
        <v>44146</v>
      </c>
      <c r="C6096" s="4">
        <v>123</v>
      </c>
      <c r="D6096" s="29">
        <f t="shared" si="530"/>
        <v>13667</v>
      </c>
      <c r="E6096" s="4">
        <v>3</v>
      </c>
      <c r="F6096" s="129">
        <f t="shared" si="531"/>
        <v>172</v>
      </c>
    </row>
    <row r="6097" spans="1:6" ht="15.75" thickBot="1" x14ac:dyDescent="0.3">
      <c r="A6097" s="142" t="s">
        <v>47</v>
      </c>
      <c r="B6097" s="46">
        <v>44146</v>
      </c>
      <c r="C6097" s="4">
        <v>1037</v>
      </c>
      <c r="D6097" s="85">
        <f>C6097+D6073</f>
        <v>57094</v>
      </c>
      <c r="E6097" s="4">
        <v>12</v>
      </c>
      <c r="F6097" s="139">
        <f t="shared" si="531"/>
        <v>958</v>
      </c>
    </row>
    <row r="6098" spans="1:6" x14ac:dyDescent="0.25">
      <c r="A6098" s="64" t="s">
        <v>22</v>
      </c>
      <c r="B6098" s="46">
        <v>44147</v>
      </c>
      <c r="C6098" s="4">
        <v>3391</v>
      </c>
      <c r="D6098" s="131">
        <f t="shared" si="530"/>
        <v>582747</v>
      </c>
      <c r="E6098" s="4">
        <v>68</v>
      </c>
      <c r="F6098" s="128">
        <f t="shared" si="531"/>
        <v>19062</v>
      </c>
    </row>
    <row r="6099" spans="1:6" x14ac:dyDescent="0.25">
      <c r="A6099" s="140" t="s">
        <v>20</v>
      </c>
      <c r="B6099" s="46">
        <v>44147</v>
      </c>
      <c r="C6099" s="4">
        <v>499</v>
      </c>
      <c r="D6099" s="29">
        <f t="shared" si="530"/>
        <v>152585</v>
      </c>
      <c r="E6099" s="4">
        <v>19</v>
      </c>
      <c r="F6099" s="129">
        <f t="shared" si="531"/>
        <v>5019</v>
      </c>
    </row>
    <row r="6100" spans="1:6" x14ac:dyDescent="0.25">
      <c r="A6100" s="140" t="s">
        <v>35</v>
      </c>
      <c r="B6100" s="46">
        <v>44147</v>
      </c>
      <c r="C6100" s="4">
        <v>26</v>
      </c>
      <c r="D6100" s="29">
        <f t="shared" si="530"/>
        <v>1328</v>
      </c>
      <c r="E6100" s="4">
        <v>2</v>
      </c>
      <c r="F6100" s="129">
        <f t="shared" si="531"/>
        <v>4</v>
      </c>
    </row>
    <row r="6101" spans="1:6" x14ac:dyDescent="0.25">
      <c r="A6101" s="140" t="s">
        <v>21</v>
      </c>
      <c r="B6101" s="46">
        <v>44147</v>
      </c>
      <c r="C6101" s="4">
        <v>203</v>
      </c>
      <c r="D6101" s="29">
        <f t="shared" si="530"/>
        <v>15715</v>
      </c>
      <c r="E6101" s="4">
        <v>5</v>
      </c>
      <c r="F6101" s="129">
        <f t="shared" si="531"/>
        <v>482</v>
      </c>
    </row>
    <row r="6102" spans="1:6" x14ac:dyDescent="0.25">
      <c r="A6102" s="140" t="s">
        <v>36</v>
      </c>
      <c r="B6102" s="46">
        <v>44147</v>
      </c>
      <c r="C6102" s="4">
        <v>342</v>
      </c>
      <c r="D6102" s="29">
        <f t="shared" si="530"/>
        <v>18390</v>
      </c>
      <c r="E6102" s="4">
        <v>13</v>
      </c>
      <c r="F6102" s="129">
        <f t="shared" si="531"/>
        <v>310</v>
      </c>
    </row>
    <row r="6103" spans="1:6" x14ac:dyDescent="0.25">
      <c r="A6103" s="140" t="s">
        <v>27</v>
      </c>
      <c r="B6103" s="46">
        <v>44147</v>
      </c>
      <c r="C6103" s="4">
        <v>1432</v>
      </c>
      <c r="D6103" s="29">
        <f t="shared" si="530"/>
        <v>98860</v>
      </c>
      <c r="E6103" s="4">
        <v>26</v>
      </c>
      <c r="F6103" s="129">
        <f t="shared" si="531"/>
        <v>1583</v>
      </c>
    </row>
    <row r="6104" spans="1:6" x14ac:dyDescent="0.25">
      <c r="A6104" s="140" t="s">
        <v>37</v>
      </c>
      <c r="B6104" s="46">
        <v>44147</v>
      </c>
      <c r="C6104" s="4">
        <v>171</v>
      </c>
      <c r="D6104" s="29">
        <f t="shared" si="530"/>
        <v>3415</v>
      </c>
      <c r="E6104" s="4">
        <v>2</v>
      </c>
      <c r="F6104" s="129">
        <f t="shared" si="531"/>
        <v>65</v>
      </c>
    </row>
    <row r="6105" spans="1:6" x14ac:dyDescent="0.25">
      <c r="A6105" s="140" t="s">
        <v>38</v>
      </c>
      <c r="B6105" s="46">
        <v>44147</v>
      </c>
      <c r="C6105" s="4">
        <v>308</v>
      </c>
      <c r="D6105" s="29">
        <f t="shared" si="530"/>
        <v>19263</v>
      </c>
      <c r="E6105" s="4">
        <v>9</v>
      </c>
      <c r="F6105" s="129">
        <f t="shared" si="531"/>
        <v>358</v>
      </c>
    </row>
    <row r="6106" spans="1:6" x14ac:dyDescent="0.25">
      <c r="A6106" s="140" t="s">
        <v>48</v>
      </c>
      <c r="B6106" s="46">
        <v>44147</v>
      </c>
      <c r="C6106" s="4">
        <v>1</v>
      </c>
      <c r="D6106" s="29">
        <f t="shared" si="530"/>
        <v>166</v>
      </c>
      <c r="E6106" s="4">
        <v>0</v>
      </c>
      <c r="F6106" s="129">
        <f t="shared" si="531"/>
        <v>3</v>
      </c>
    </row>
    <row r="6107" spans="1:6" x14ac:dyDescent="0.25">
      <c r="A6107" s="140" t="s">
        <v>39</v>
      </c>
      <c r="B6107" s="46">
        <v>44147</v>
      </c>
      <c r="C6107" s="4">
        <v>20</v>
      </c>
      <c r="D6107" s="29">
        <f t="shared" si="530"/>
        <v>18095</v>
      </c>
      <c r="E6107" s="4">
        <v>4</v>
      </c>
      <c r="F6107" s="129">
        <f t="shared" si="531"/>
        <v>836</v>
      </c>
    </row>
    <row r="6108" spans="1:6" x14ac:dyDescent="0.25">
      <c r="A6108" s="140" t="s">
        <v>40</v>
      </c>
      <c r="B6108" s="46">
        <v>44147</v>
      </c>
      <c r="C6108" s="4">
        <v>86</v>
      </c>
      <c r="D6108" s="29">
        <f t="shared" si="530"/>
        <v>4466</v>
      </c>
      <c r="E6108" s="4">
        <v>2</v>
      </c>
      <c r="F6108" s="129">
        <f t="shared" si="531"/>
        <v>48</v>
      </c>
    </row>
    <row r="6109" spans="1:6" x14ac:dyDescent="0.25">
      <c r="A6109" s="140" t="s">
        <v>28</v>
      </c>
      <c r="B6109" s="46">
        <v>44147</v>
      </c>
      <c r="C6109" s="4">
        <v>48</v>
      </c>
      <c r="D6109" s="29">
        <f t="shared" si="530"/>
        <v>8007</v>
      </c>
      <c r="E6109" s="4">
        <v>6</v>
      </c>
      <c r="F6109" s="129">
        <f t="shared" si="531"/>
        <v>298</v>
      </c>
    </row>
    <row r="6110" spans="1:6" x14ac:dyDescent="0.25">
      <c r="A6110" s="140" t="s">
        <v>24</v>
      </c>
      <c r="B6110" s="46">
        <v>44147</v>
      </c>
      <c r="C6110" s="4">
        <v>380</v>
      </c>
      <c r="D6110" s="29">
        <f t="shared" si="530"/>
        <v>52274</v>
      </c>
      <c r="E6110" s="4">
        <v>7</v>
      </c>
      <c r="F6110" s="129">
        <f t="shared" si="531"/>
        <v>999</v>
      </c>
    </row>
    <row r="6111" spans="1:6" x14ac:dyDescent="0.25">
      <c r="A6111" s="140" t="s">
        <v>30</v>
      </c>
      <c r="B6111" s="46">
        <v>44147</v>
      </c>
      <c r="C6111" s="4">
        <v>0</v>
      </c>
      <c r="D6111" s="29">
        <f t="shared" si="530"/>
        <v>359</v>
      </c>
      <c r="F6111" s="129">
        <f t="shared" si="531"/>
        <v>7</v>
      </c>
    </row>
    <row r="6112" spans="1:6" x14ac:dyDescent="0.25">
      <c r="A6112" s="140" t="s">
        <v>26</v>
      </c>
      <c r="B6112" s="46">
        <v>44147</v>
      </c>
      <c r="C6112" s="4">
        <v>355</v>
      </c>
      <c r="D6112" s="29">
        <f t="shared" si="530"/>
        <v>26238</v>
      </c>
      <c r="E6112" s="4">
        <v>17</v>
      </c>
      <c r="F6112" s="129">
        <f t="shared" si="531"/>
        <v>484</v>
      </c>
    </row>
    <row r="6113" spans="1:6" x14ac:dyDescent="0.25">
      <c r="A6113" s="140" t="s">
        <v>25</v>
      </c>
      <c r="B6113" s="46">
        <v>44147</v>
      </c>
      <c r="C6113" s="4">
        <v>429</v>
      </c>
      <c r="D6113" s="29">
        <f t="shared" si="530"/>
        <v>27760</v>
      </c>
      <c r="E6113" s="4">
        <v>8</v>
      </c>
      <c r="F6113" s="129">
        <f t="shared" si="531"/>
        <v>696</v>
      </c>
    </row>
    <row r="6114" spans="1:6" x14ac:dyDescent="0.25">
      <c r="A6114" s="140" t="s">
        <v>41</v>
      </c>
      <c r="B6114" s="46">
        <v>44147</v>
      </c>
      <c r="C6114" s="4">
        <v>116</v>
      </c>
      <c r="D6114" s="29">
        <f t="shared" ref="D6114:D6120" si="532">C6114+D6090</f>
        <v>19909</v>
      </c>
      <c r="E6114" s="4">
        <v>1</v>
      </c>
      <c r="F6114" s="129">
        <f t="shared" si="531"/>
        <v>926</v>
      </c>
    </row>
    <row r="6115" spans="1:6" x14ac:dyDescent="0.25">
      <c r="A6115" s="140" t="s">
        <v>42</v>
      </c>
      <c r="B6115" s="46">
        <v>44147</v>
      </c>
      <c r="C6115" s="4">
        <v>118</v>
      </c>
      <c r="D6115" s="29">
        <f t="shared" si="532"/>
        <v>4234</v>
      </c>
      <c r="F6115" s="129">
        <f t="shared" si="531"/>
        <v>123</v>
      </c>
    </row>
    <row r="6116" spans="1:6" x14ac:dyDescent="0.25">
      <c r="A6116" s="140" t="s">
        <v>43</v>
      </c>
      <c r="B6116" s="46">
        <v>44147</v>
      </c>
      <c r="C6116" s="4">
        <v>346</v>
      </c>
      <c r="D6116" s="29">
        <f t="shared" si="532"/>
        <v>10530</v>
      </c>
      <c r="E6116" s="4">
        <v>6</v>
      </c>
      <c r="F6116" s="129">
        <f t="shared" si="531"/>
        <v>145</v>
      </c>
    </row>
    <row r="6117" spans="1:6" x14ac:dyDescent="0.25">
      <c r="A6117" s="140" t="s">
        <v>44</v>
      </c>
      <c r="B6117" s="46">
        <v>44147</v>
      </c>
      <c r="C6117" s="4">
        <v>260</v>
      </c>
      <c r="D6117" s="29">
        <f t="shared" si="532"/>
        <v>12044</v>
      </c>
      <c r="E6117" s="4">
        <v>3</v>
      </c>
      <c r="F6117" s="129">
        <f t="shared" si="531"/>
        <v>185</v>
      </c>
    </row>
    <row r="6118" spans="1:6" x14ac:dyDescent="0.25">
      <c r="A6118" s="140" t="s">
        <v>29</v>
      </c>
      <c r="B6118" s="46">
        <v>44147</v>
      </c>
      <c r="C6118" s="4">
        <v>1597</v>
      </c>
      <c r="D6118" s="29">
        <f t="shared" si="532"/>
        <v>124426</v>
      </c>
      <c r="E6118" s="4">
        <v>33</v>
      </c>
      <c r="F6118" s="129">
        <f t="shared" si="531"/>
        <v>1849</v>
      </c>
    </row>
    <row r="6119" spans="1:6" x14ac:dyDescent="0.25">
      <c r="A6119" s="140" t="s">
        <v>45</v>
      </c>
      <c r="B6119" s="46">
        <v>44147</v>
      </c>
      <c r="C6119" s="4">
        <v>188</v>
      </c>
      <c r="D6119" s="29">
        <f t="shared" si="532"/>
        <v>12100</v>
      </c>
      <c r="E6119" s="4">
        <v>1</v>
      </c>
      <c r="F6119" s="129">
        <f t="shared" si="531"/>
        <v>152</v>
      </c>
    </row>
    <row r="6120" spans="1:6" x14ac:dyDescent="0.25">
      <c r="A6120" s="140" t="s">
        <v>46</v>
      </c>
      <c r="B6120" s="46">
        <v>44147</v>
      </c>
      <c r="C6120" s="4">
        <v>214</v>
      </c>
      <c r="D6120" s="29">
        <f t="shared" si="532"/>
        <v>13881</v>
      </c>
      <c r="E6120" s="4">
        <v>16</v>
      </c>
      <c r="F6120" s="129">
        <f t="shared" si="531"/>
        <v>188</v>
      </c>
    </row>
    <row r="6121" spans="1:6" ht="15.75" thickBot="1" x14ac:dyDescent="0.3">
      <c r="A6121" s="142" t="s">
        <v>47</v>
      </c>
      <c r="B6121" s="46">
        <v>44147</v>
      </c>
      <c r="C6121" s="4">
        <v>633</v>
      </c>
      <c r="D6121" s="85">
        <f>C6121+D6097</f>
        <v>57727</v>
      </c>
      <c r="E6121" s="4">
        <v>2</v>
      </c>
      <c r="F6121" s="139">
        <f t="shared" si="531"/>
        <v>960</v>
      </c>
    </row>
    <row r="6122" spans="1:6" x14ac:dyDescent="0.25">
      <c r="A6122" s="64" t="s">
        <v>22</v>
      </c>
      <c r="B6122" s="46">
        <v>44148</v>
      </c>
      <c r="C6122" s="4">
        <v>2761</v>
      </c>
      <c r="D6122" s="131">
        <f t="shared" ref="D6122:D6185" si="533">C6122+D6098</f>
        <v>585508</v>
      </c>
      <c r="E6122" s="4">
        <f>53+34</f>
        <v>87</v>
      </c>
      <c r="F6122" s="128">
        <f t="shared" si="531"/>
        <v>19149</v>
      </c>
    </row>
    <row r="6123" spans="1:6" x14ac:dyDescent="0.25">
      <c r="A6123" s="140" t="s">
        <v>20</v>
      </c>
      <c r="B6123" s="46">
        <v>44148</v>
      </c>
      <c r="C6123" s="4">
        <v>397</v>
      </c>
      <c r="D6123" s="29">
        <f t="shared" si="533"/>
        <v>152982</v>
      </c>
      <c r="E6123" s="4">
        <f>13+3</f>
        <v>16</v>
      </c>
      <c r="F6123" s="129">
        <f t="shared" ref="F6123:F6186" si="534">E6123+F6099</f>
        <v>5035</v>
      </c>
    </row>
    <row r="6124" spans="1:6" x14ac:dyDescent="0.25">
      <c r="A6124" s="140" t="s">
        <v>35</v>
      </c>
      <c r="B6124" s="46">
        <v>44148</v>
      </c>
      <c r="C6124" s="4">
        <v>59</v>
      </c>
      <c r="D6124" s="29">
        <f t="shared" si="533"/>
        <v>1387</v>
      </c>
      <c r="E6124" s="4">
        <f>1+2</f>
        <v>3</v>
      </c>
      <c r="F6124" s="129">
        <f t="shared" si="534"/>
        <v>7</v>
      </c>
    </row>
    <row r="6125" spans="1:6" x14ac:dyDescent="0.25">
      <c r="A6125" s="140" t="s">
        <v>21</v>
      </c>
      <c r="B6125" s="46">
        <v>44148</v>
      </c>
      <c r="C6125" s="4">
        <v>258</v>
      </c>
      <c r="D6125" s="29">
        <f t="shared" si="533"/>
        <v>15973</v>
      </c>
      <c r="E6125" s="4">
        <f>2</f>
        <v>2</v>
      </c>
      <c r="F6125" s="129">
        <f t="shared" si="534"/>
        <v>484</v>
      </c>
    </row>
    <row r="6126" spans="1:6" x14ac:dyDescent="0.25">
      <c r="A6126" s="140" t="s">
        <v>36</v>
      </c>
      <c r="B6126" s="46">
        <v>44148</v>
      </c>
      <c r="C6126" s="4">
        <v>367</v>
      </c>
      <c r="D6126" s="29">
        <f t="shared" si="533"/>
        <v>18757</v>
      </c>
      <c r="E6126" s="4">
        <v>8</v>
      </c>
      <c r="F6126" s="129">
        <f t="shared" si="534"/>
        <v>318</v>
      </c>
    </row>
    <row r="6127" spans="1:6" x14ac:dyDescent="0.25">
      <c r="A6127" s="140" t="s">
        <v>27</v>
      </c>
      <c r="B6127" s="46">
        <v>44148</v>
      </c>
      <c r="C6127" s="4">
        <v>1631</v>
      </c>
      <c r="D6127" s="29">
        <f t="shared" si="533"/>
        <v>100491</v>
      </c>
      <c r="E6127" s="4">
        <f>15+14</f>
        <v>29</v>
      </c>
      <c r="F6127" s="129">
        <f t="shared" si="534"/>
        <v>1612</v>
      </c>
    </row>
    <row r="6128" spans="1:6" x14ac:dyDescent="0.25">
      <c r="A6128" s="140" t="s">
        <v>37</v>
      </c>
      <c r="B6128" s="46">
        <v>44148</v>
      </c>
      <c r="C6128" s="4">
        <v>64</v>
      </c>
      <c r="D6128" s="29">
        <f t="shared" si="533"/>
        <v>3479</v>
      </c>
      <c r="E6128" s="4">
        <f>3</f>
        <v>3</v>
      </c>
      <c r="F6128" s="129">
        <f t="shared" si="534"/>
        <v>68</v>
      </c>
    </row>
    <row r="6129" spans="1:6" x14ac:dyDescent="0.25">
      <c r="A6129" s="140" t="s">
        <v>38</v>
      </c>
      <c r="B6129" s="46">
        <v>44148</v>
      </c>
      <c r="C6129" s="4">
        <v>297</v>
      </c>
      <c r="D6129" s="29">
        <f t="shared" si="533"/>
        <v>19560</v>
      </c>
      <c r="E6129" s="4">
        <f>2+3</f>
        <v>5</v>
      </c>
      <c r="F6129" s="129">
        <f t="shared" si="534"/>
        <v>363</v>
      </c>
    </row>
    <row r="6130" spans="1:6" x14ac:dyDescent="0.25">
      <c r="A6130" s="140" t="s">
        <v>48</v>
      </c>
      <c r="B6130" s="46">
        <v>44148</v>
      </c>
      <c r="C6130" s="4">
        <v>1</v>
      </c>
      <c r="D6130" s="29">
        <f t="shared" si="533"/>
        <v>167</v>
      </c>
      <c r="F6130" s="129">
        <f t="shared" si="534"/>
        <v>3</v>
      </c>
    </row>
    <row r="6131" spans="1:6" x14ac:dyDescent="0.25">
      <c r="A6131" s="140" t="s">
        <v>39</v>
      </c>
      <c r="B6131" s="46">
        <v>44148</v>
      </c>
      <c r="C6131" s="4">
        <v>30</v>
      </c>
      <c r="D6131" s="29">
        <f t="shared" si="533"/>
        <v>18125</v>
      </c>
      <c r="E6131" s="4">
        <f>1</f>
        <v>1</v>
      </c>
      <c r="F6131" s="129">
        <f t="shared" si="534"/>
        <v>837</v>
      </c>
    </row>
    <row r="6132" spans="1:6" x14ac:dyDescent="0.25">
      <c r="A6132" s="140" t="s">
        <v>40</v>
      </c>
      <c r="B6132" s="46">
        <v>44148</v>
      </c>
      <c r="C6132" s="4">
        <v>82</v>
      </c>
      <c r="D6132" s="29">
        <f t="shared" si="533"/>
        <v>4548</v>
      </c>
      <c r="E6132" s="4">
        <f>1</f>
        <v>1</v>
      </c>
      <c r="F6132" s="129">
        <f t="shared" si="534"/>
        <v>49</v>
      </c>
    </row>
    <row r="6133" spans="1:6" x14ac:dyDescent="0.25">
      <c r="A6133" s="140" t="s">
        <v>28</v>
      </c>
      <c r="B6133" s="46">
        <v>44148</v>
      </c>
      <c r="C6133" s="4">
        <v>69</v>
      </c>
      <c r="D6133" s="29">
        <f t="shared" si="533"/>
        <v>8076</v>
      </c>
      <c r="F6133" s="129">
        <f t="shared" si="534"/>
        <v>298</v>
      </c>
    </row>
    <row r="6134" spans="1:6" x14ac:dyDescent="0.25">
      <c r="A6134" s="140" t="s">
        <v>24</v>
      </c>
      <c r="B6134" s="46">
        <v>44148</v>
      </c>
      <c r="C6134" s="4">
        <v>425</v>
      </c>
      <c r="D6134" s="29">
        <f t="shared" si="533"/>
        <v>52699</v>
      </c>
      <c r="E6134" s="4">
        <f>6+2</f>
        <v>8</v>
      </c>
      <c r="F6134" s="129">
        <f t="shared" si="534"/>
        <v>1007</v>
      </c>
    </row>
    <row r="6135" spans="1:6" x14ac:dyDescent="0.25">
      <c r="A6135" s="140" t="s">
        <v>30</v>
      </c>
      <c r="B6135" s="46">
        <v>44148</v>
      </c>
      <c r="C6135" s="4">
        <v>9</v>
      </c>
      <c r="D6135" s="29">
        <f t="shared" si="533"/>
        <v>368</v>
      </c>
      <c r="F6135" s="129">
        <f t="shared" si="534"/>
        <v>7</v>
      </c>
    </row>
    <row r="6136" spans="1:6" x14ac:dyDescent="0.25">
      <c r="A6136" s="140" t="s">
        <v>26</v>
      </c>
      <c r="B6136" s="46">
        <v>44148</v>
      </c>
      <c r="C6136" s="4">
        <v>255</v>
      </c>
      <c r="D6136" s="29">
        <f t="shared" si="533"/>
        <v>26493</v>
      </c>
      <c r="E6136" s="4">
        <f>24+8</f>
        <v>32</v>
      </c>
      <c r="F6136" s="129">
        <f t="shared" si="534"/>
        <v>516</v>
      </c>
    </row>
    <row r="6137" spans="1:6" x14ac:dyDescent="0.25">
      <c r="A6137" s="140" t="s">
        <v>25</v>
      </c>
      <c r="B6137" s="46">
        <v>44148</v>
      </c>
      <c r="C6137" s="4">
        <v>335</v>
      </c>
      <c r="D6137" s="29">
        <f t="shared" si="533"/>
        <v>28095</v>
      </c>
      <c r="E6137" s="4">
        <f>5+3</f>
        <v>8</v>
      </c>
      <c r="F6137" s="129">
        <f t="shared" si="534"/>
        <v>704</v>
      </c>
    </row>
    <row r="6138" spans="1:6" x14ac:dyDescent="0.25">
      <c r="A6138" s="140" t="s">
        <v>41</v>
      </c>
      <c r="B6138" s="46">
        <v>44148</v>
      </c>
      <c r="C6138" s="4">
        <v>157</v>
      </c>
      <c r="D6138" s="29">
        <f t="shared" si="533"/>
        <v>20066</v>
      </c>
      <c r="E6138" s="4">
        <f>1+2</f>
        <v>3</v>
      </c>
      <c r="F6138" s="129">
        <f t="shared" si="534"/>
        <v>929</v>
      </c>
    </row>
    <row r="6139" spans="1:6" x14ac:dyDescent="0.25">
      <c r="A6139" s="140" t="s">
        <v>42</v>
      </c>
      <c r="B6139" s="46">
        <v>44148</v>
      </c>
      <c r="C6139" s="4">
        <v>98</v>
      </c>
      <c r="D6139" s="29">
        <f t="shared" si="533"/>
        <v>4332</v>
      </c>
      <c r="E6139" s="4">
        <f>10+3</f>
        <v>13</v>
      </c>
      <c r="F6139" s="129">
        <f t="shared" si="534"/>
        <v>136</v>
      </c>
    </row>
    <row r="6140" spans="1:6" x14ac:dyDescent="0.25">
      <c r="A6140" s="140" t="s">
        <v>43</v>
      </c>
      <c r="B6140" s="46">
        <v>44148</v>
      </c>
      <c r="C6140" s="4">
        <v>465</v>
      </c>
      <c r="D6140" s="29">
        <f t="shared" si="533"/>
        <v>10995</v>
      </c>
      <c r="E6140" s="4">
        <f>4+3</f>
        <v>7</v>
      </c>
      <c r="F6140" s="129">
        <f t="shared" si="534"/>
        <v>152</v>
      </c>
    </row>
    <row r="6141" spans="1:6" x14ac:dyDescent="0.25">
      <c r="A6141" s="140" t="s">
        <v>44</v>
      </c>
      <c r="B6141" s="46">
        <v>44148</v>
      </c>
      <c r="C6141" s="4">
        <v>265</v>
      </c>
      <c r="D6141" s="29">
        <f t="shared" si="533"/>
        <v>12309</v>
      </c>
      <c r="E6141" s="4">
        <f>1</f>
        <v>1</v>
      </c>
      <c r="F6141" s="129">
        <f t="shared" si="534"/>
        <v>186</v>
      </c>
    </row>
    <row r="6142" spans="1:6" x14ac:dyDescent="0.25">
      <c r="A6142" s="140" t="s">
        <v>29</v>
      </c>
      <c r="B6142" s="46">
        <v>44148</v>
      </c>
      <c r="C6142" s="4">
        <v>1683</v>
      </c>
      <c r="D6142" s="29">
        <f t="shared" si="533"/>
        <v>126109</v>
      </c>
      <c r="E6142" s="4">
        <f>6+2</f>
        <v>8</v>
      </c>
      <c r="F6142" s="129">
        <f t="shared" si="534"/>
        <v>1857</v>
      </c>
    </row>
    <row r="6143" spans="1:6" x14ac:dyDescent="0.25">
      <c r="A6143" s="140" t="s">
        <v>45</v>
      </c>
      <c r="B6143" s="46">
        <v>44148</v>
      </c>
      <c r="C6143" s="4">
        <v>504</v>
      </c>
      <c r="D6143" s="29">
        <f t="shared" si="533"/>
        <v>12604</v>
      </c>
      <c r="E6143" s="4">
        <f>3</f>
        <v>3</v>
      </c>
      <c r="F6143" s="129">
        <f t="shared" si="534"/>
        <v>155</v>
      </c>
    </row>
    <row r="6144" spans="1:6" x14ac:dyDescent="0.25">
      <c r="A6144" s="140" t="s">
        <v>46</v>
      </c>
      <c r="B6144" s="46">
        <v>44148</v>
      </c>
      <c r="C6144" s="4">
        <v>171</v>
      </c>
      <c r="D6144" s="29">
        <f t="shared" si="533"/>
        <v>14052</v>
      </c>
      <c r="E6144" s="4">
        <f>5+1</f>
        <v>6</v>
      </c>
      <c r="F6144" s="129">
        <f t="shared" si="534"/>
        <v>194</v>
      </c>
    </row>
    <row r="6145" spans="1:6" ht="15.75" thickBot="1" x14ac:dyDescent="0.3">
      <c r="A6145" s="142" t="s">
        <v>47</v>
      </c>
      <c r="B6145" s="46">
        <v>44148</v>
      </c>
      <c r="C6145" s="4">
        <v>1476</v>
      </c>
      <c r="D6145" s="85">
        <f>C6145+D6121</f>
        <v>59203</v>
      </c>
      <c r="E6145" s="4">
        <f>7+4</f>
        <v>11</v>
      </c>
      <c r="F6145" s="139">
        <f t="shared" si="534"/>
        <v>971</v>
      </c>
    </row>
    <row r="6146" spans="1:6" x14ac:dyDescent="0.25">
      <c r="A6146" s="64" t="s">
        <v>22</v>
      </c>
      <c r="B6146" s="46">
        <v>44149</v>
      </c>
      <c r="C6146" s="4">
        <v>2300</v>
      </c>
      <c r="D6146" s="131">
        <f t="shared" si="533"/>
        <v>587808</v>
      </c>
      <c r="E6146" s="4">
        <f>105+72</f>
        <v>177</v>
      </c>
      <c r="F6146" s="128">
        <f t="shared" si="534"/>
        <v>19326</v>
      </c>
    </row>
    <row r="6147" spans="1:6" x14ac:dyDescent="0.25">
      <c r="A6147" s="140" t="s">
        <v>20</v>
      </c>
      <c r="B6147" s="46">
        <v>44149</v>
      </c>
      <c r="C6147" s="4">
        <v>506</v>
      </c>
      <c r="D6147" s="29">
        <f t="shared" si="533"/>
        <v>153488</v>
      </c>
      <c r="E6147" s="4">
        <f>6+8</f>
        <v>14</v>
      </c>
      <c r="F6147" s="129">
        <f t="shared" si="534"/>
        <v>5049</v>
      </c>
    </row>
    <row r="6148" spans="1:6" x14ac:dyDescent="0.25">
      <c r="A6148" s="140" t="s">
        <v>35</v>
      </c>
      <c r="B6148" s="46">
        <v>44149</v>
      </c>
      <c r="C6148" s="4">
        <v>34</v>
      </c>
      <c r="D6148" s="29">
        <f t="shared" si="533"/>
        <v>1421</v>
      </c>
      <c r="F6148" s="129">
        <f t="shared" si="534"/>
        <v>7</v>
      </c>
    </row>
    <row r="6149" spans="1:6" x14ac:dyDescent="0.25">
      <c r="A6149" s="140" t="s">
        <v>21</v>
      </c>
      <c r="B6149" s="46">
        <v>44149</v>
      </c>
      <c r="C6149" s="4">
        <v>215</v>
      </c>
      <c r="D6149" s="29">
        <f t="shared" si="533"/>
        <v>16188</v>
      </c>
      <c r="E6149" s="4">
        <f>2</f>
        <v>2</v>
      </c>
      <c r="F6149" s="129">
        <f t="shared" si="534"/>
        <v>486</v>
      </c>
    </row>
    <row r="6150" spans="1:6" x14ac:dyDescent="0.25">
      <c r="A6150" s="140" t="s">
        <v>36</v>
      </c>
      <c r="B6150" s="46">
        <v>44149</v>
      </c>
      <c r="C6150" s="4">
        <v>275</v>
      </c>
      <c r="D6150" s="29">
        <f t="shared" si="533"/>
        <v>19032</v>
      </c>
      <c r="E6150" s="4">
        <f>1+1</f>
        <v>2</v>
      </c>
      <c r="F6150" s="129">
        <f t="shared" si="534"/>
        <v>320</v>
      </c>
    </row>
    <row r="6151" spans="1:6" x14ac:dyDescent="0.25">
      <c r="A6151" s="140" t="s">
        <v>27</v>
      </c>
      <c r="B6151" s="46">
        <v>44149</v>
      </c>
      <c r="C6151" s="4">
        <v>1139</v>
      </c>
      <c r="D6151" s="29">
        <f t="shared" si="533"/>
        <v>101630</v>
      </c>
      <c r="E6151" s="4">
        <f>8+11</f>
        <v>19</v>
      </c>
      <c r="F6151" s="129">
        <f t="shared" si="534"/>
        <v>1631</v>
      </c>
    </row>
    <row r="6152" spans="1:6" x14ac:dyDescent="0.25">
      <c r="A6152" s="140" t="s">
        <v>37</v>
      </c>
      <c r="B6152" s="46">
        <v>44149</v>
      </c>
      <c r="C6152" s="4">
        <v>144</v>
      </c>
      <c r="D6152" s="29">
        <f t="shared" si="533"/>
        <v>3623</v>
      </c>
      <c r="E6152" s="4">
        <f>1</f>
        <v>1</v>
      </c>
      <c r="F6152" s="129">
        <f t="shared" si="534"/>
        <v>69</v>
      </c>
    </row>
    <row r="6153" spans="1:6" x14ac:dyDescent="0.25">
      <c r="A6153" s="140" t="s">
        <v>38</v>
      </c>
      <c r="B6153" s="46">
        <v>44149</v>
      </c>
      <c r="C6153" s="4">
        <v>306</v>
      </c>
      <c r="D6153" s="29">
        <f t="shared" si="533"/>
        <v>19866</v>
      </c>
      <c r="E6153" s="4">
        <f>5+2</f>
        <v>7</v>
      </c>
      <c r="F6153" s="129">
        <f t="shared" si="534"/>
        <v>370</v>
      </c>
    </row>
    <row r="6154" spans="1:6" x14ac:dyDescent="0.25">
      <c r="A6154" s="140" t="s">
        <v>48</v>
      </c>
      <c r="B6154" s="46">
        <v>44149</v>
      </c>
      <c r="C6154" s="4">
        <v>1</v>
      </c>
      <c r="D6154" s="29">
        <f t="shared" si="533"/>
        <v>168</v>
      </c>
      <c r="F6154" s="129">
        <f t="shared" si="534"/>
        <v>3</v>
      </c>
    </row>
    <row r="6155" spans="1:6" x14ac:dyDescent="0.25">
      <c r="A6155" s="140" t="s">
        <v>39</v>
      </c>
      <c r="B6155" s="46">
        <v>44149</v>
      </c>
      <c r="C6155" s="4">
        <v>22</v>
      </c>
      <c r="D6155" s="29">
        <f t="shared" si="533"/>
        <v>18147</v>
      </c>
      <c r="E6155" s="4">
        <f>1</f>
        <v>1</v>
      </c>
      <c r="F6155" s="129">
        <f t="shared" si="534"/>
        <v>838</v>
      </c>
    </row>
    <row r="6156" spans="1:6" x14ac:dyDescent="0.25">
      <c r="A6156" s="140" t="s">
        <v>40</v>
      </c>
      <c r="B6156" s="46">
        <v>44149</v>
      </c>
      <c r="C6156" s="4">
        <v>95</v>
      </c>
      <c r="D6156" s="29">
        <f t="shared" si="533"/>
        <v>4643</v>
      </c>
      <c r="F6156" s="129">
        <f t="shared" si="534"/>
        <v>49</v>
      </c>
    </row>
    <row r="6157" spans="1:6" x14ac:dyDescent="0.25">
      <c r="A6157" s="140" t="s">
        <v>28</v>
      </c>
      <c r="B6157" s="46">
        <v>44149</v>
      </c>
      <c r="C6157" s="4">
        <v>80</v>
      </c>
      <c r="D6157" s="29">
        <f t="shared" si="533"/>
        <v>8156</v>
      </c>
      <c r="F6157" s="129">
        <f t="shared" si="534"/>
        <v>298</v>
      </c>
    </row>
    <row r="6158" spans="1:6" x14ac:dyDescent="0.25">
      <c r="A6158" s="140" t="s">
        <v>24</v>
      </c>
      <c r="B6158" s="46">
        <v>44149</v>
      </c>
      <c r="C6158" s="4">
        <v>294</v>
      </c>
      <c r="D6158" s="29">
        <f t="shared" si="533"/>
        <v>52993</v>
      </c>
      <c r="E6158" s="4">
        <f>1+2</f>
        <v>3</v>
      </c>
      <c r="F6158" s="129">
        <f t="shared" si="534"/>
        <v>1010</v>
      </c>
    </row>
    <row r="6159" spans="1:6" x14ac:dyDescent="0.25">
      <c r="A6159" s="140" t="s">
        <v>30</v>
      </c>
      <c r="B6159" s="46">
        <v>44149</v>
      </c>
      <c r="C6159" s="4">
        <v>4</v>
      </c>
      <c r="D6159" s="29">
        <f t="shared" si="533"/>
        <v>372</v>
      </c>
      <c r="F6159" s="129">
        <f t="shared" si="534"/>
        <v>7</v>
      </c>
    </row>
    <row r="6160" spans="1:6" x14ac:dyDescent="0.25">
      <c r="A6160" s="140" t="s">
        <v>26</v>
      </c>
      <c r="B6160" s="46">
        <v>44149</v>
      </c>
      <c r="C6160" s="4">
        <v>181</v>
      </c>
      <c r="D6160" s="29">
        <f t="shared" si="533"/>
        <v>26674</v>
      </c>
      <c r="F6160" s="129">
        <f t="shared" si="534"/>
        <v>516</v>
      </c>
    </row>
    <row r="6161" spans="1:6" x14ac:dyDescent="0.25">
      <c r="A6161" s="140" t="s">
        <v>25</v>
      </c>
      <c r="B6161" s="46">
        <v>44149</v>
      </c>
      <c r="C6161" s="4">
        <v>217</v>
      </c>
      <c r="D6161" s="29">
        <f t="shared" si="533"/>
        <v>28312</v>
      </c>
      <c r="E6161" s="4">
        <f>4+3</f>
        <v>7</v>
      </c>
      <c r="F6161" s="129">
        <f t="shared" si="534"/>
        <v>711</v>
      </c>
    </row>
    <row r="6162" spans="1:6" x14ac:dyDescent="0.25">
      <c r="A6162" s="140" t="s">
        <v>41</v>
      </c>
      <c r="B6162" s="46">
        <v>44149</v>
      </c>
      <c r="C6162" s="4">
        <v>59</v>
      </c>
      <c r="D6162" s="29">
        <f t="shared" si="533"/>
        <v>20125</v>
      </c>
      <c r="E6162" s="4">
        <f>3+2</f>
        <v>5</v>
      </c>
      <c r="F6162" s="129">
        <f t="shared" si="534"/>
        <v>934</v>
      </c>
    </row>
    <row r="6163" spans="1:6" x14ac:dyDescent="0.25">
      <c r="A6163" s="140" t="s">
        <v>42</v>
      </c>
      <c r="B6163" s="46">
        <v>44149</v>
      </c>
      <c r="C6163" s="4">
        <v>88</v>
      </c>
      <c r="D6163" s="29">
        <f t="shared" si="533"/>
        <v>4420</v>
      </c>
      <c r="F6163" s="129">
        <f t="shared" si="534"/>
        <v>136</v>
      </c>
    </row>
    <row r="6164" spans="1:6" x14ac:dyDescent="0.25">
      <c r="A6164" s="140" t="s">
        <v>43</v>
      </c>
      <c r="B6164" s="46">
        <v>44149</v>
      </c>
      <c r="C6164" s="4">
        <v>199</v>
      </c>
      <c r="D6164" s="29">
        <f t="shared" si="533"/>
        <v>11194</v>
      </c>
      <c r="F6164" s="129">
        <f t="shared" si="534"/>
        <v>152</v>
      </c>
    </row>
    <row r="6165" spans="1:6" x14ac:dyDescent="0.25">
      <c r="A6165" s="140" t="s">
        <v>44</v>
      </c>
      <c r="B6165" s="46">
        <v>44149</v>
      </c>
      <c r="C6165" s="4">
        <v>160</v>
      </c>
      <c r="D6165" s="29">
        <f t="shared" si="533"/>
        <v>12469</v>
      </c>
      <c r="E6165" s="4">
        <f>1</f>
        <v>1</v>
      </c>
      <c r="F6165" s="129">
        <f t="shared" si="534"/>
        <v>187</v>
      </c>
    </row>
    <row r="6166" spans="1:6" x14ac:dyDescent="0.25">
      <c r="A6166" s="140" t="s">
        <v>29</v>
      </c>
      <c r="B6166" s="46">
        <v>44149</v>
      </c>
      <c r="C6166" s="4">
        <v>1339</v>
      </c>
      <c r="D6166" s="29">
        <f t="shared" si="533"/>
        <v>127448</v>
      </c>
      <c r="E6166" s="4">
        <f>7+5</f>
        <v>12</v>
      </c>
      <c r="F6166" s="129">
        <f t="shared" si="534"/>
        <v>1869</v>
      </c>
    </row>
    <row r="6167" spans="1:6" x14ac:dyDescent="0.25">
      <c r="A6167" s="140" t="s">
        <v>45</v>
      </c>
      <c r="B6167" s="46">
        <v>44149</v>
      </c>
      <c r="C6167" s="4">
        <v>264</v>
      </c>
      <c r="D6167" s="29">
        <f t="shared" si="533"/>
        <v>12868</v>
      </c>
      <c r="E6167" s="4">
        <f>2</f>
        <v>2</v>
      </c>
      <c r="F6167" s="129">
        <f t="shared" si="534"/>
        <v>157</v>
      </c>
    </row>
    <row r="6168" spans="1:6" x14ac:dyDescent="0.25">
      <c r="A6168" s="140" t="s">
        <v>46</v>
      </c>
      <c r="B6168" s="46">
        <v>44149</v>
      </c>
      <c r="C6168" s="4">
        <v>120</v>
      </c>
      <c r="D6168" s="29">
        <f t="shared" si="533"/>
        <v>14172</v>
      </c>
      <c r="E6168" s="4">
        <f>1</f>
        <v>1</v>
      </c>
      <c r="F6168" s="129">
        <f t="shared" si="534"/>
        <v>195</v>
      </c>
    </row>
    <row r="6169" spans="1:6" ht="15.75" thickBot="1" x14ac:dyDescent="0.3">
      <c r="A6169" s="142" t="s">
        <v>47</v>
      </c>
      <c r="B6169" s="46">
        <v>44149</v>
      </c>
      <c r="C6169" s="4">
        <v>426</v>
      </c>
      <c r="D6169" s="85">
        <f>C6169+D6145</f>
        <v>59629</v>
      </c>
      <c r="E6169" s="4">
        <f>3+5</f>
        <v>8</v>
      </c>
      <c r="F6169" s="139">
        <f t="shared" si="534"/>
        <v>979</v>
      </c>
    </row>
    <row r="6170" spans="1:6" x14ac:dyDescent="0.25">
      <c r="A6170" s="64" t="s">
        <v>22</v>
      </c>
      <c r="B6170" s="46">
        <v>44150</v>
      </c>
      <c r="C6170" s="4">
        <v>1446</v>
      </c>
      <c r="D6170" s="131">
        <f t="shared" si="533"/>
        <v>589254</v>
      </c>
      <c r="E6170" s="4">
        <f>37+32</f>
        <v>69</v>
      </c>
      <c r="F6170" s="128">
        <f t="shared" si="534"/>
        <v>19395</v>
      </c>
    </row>
    <row r="6171" spans="1:6" x14ac:dyDescent="0.25">
      <c r="A6171" s="140" t="s">
        <v>20</v>
      </c>
      <c r="B6171" s="46">
        <v>44150</v>
      </c>
      <c r="C6171" s="4">
        <v>297</v>
      </c>
      <c r="D6171" s="29">
        <f t="shared" si="533"/>
        <v>153785</v>
      </c>
      <c r="E6171" s="4">
        <f>3+2</f>
        <v>5</v>
      </c>
      <c r="F6171" s="129">
        <f t="shared" si="534"/>
        <v>5054</v>
      </c>
    </row>
    <row r="6172" spans="1:6" x14ac:dyDescent="0.25">
      <c r="A6172" s="140" t="s">
        <v>35</v>
      </c>
      <c r="B6172" s="46">
        <v>44150</v>
      </c>
      <c r="C6172" s="4">
        <v>45</v>
      </c>
      <c r="D6172" s="29">
        <f t="shared" si="533"/>
        <v>1466</v>
      </c>
      <c r="F6172" s="129">
        <f t="shared" si="534"/>
        <v>7</v>
      </c>
    </row>
    <row r="6173" spans="1:6" x14ac:dyDescent="0.25">
      <c r="A6173" s="140" t="s">
        <v>21</v>
      </c>
      <c r="B6173" s="46">
        <v>44150</v>
      </c>
      <c r="C6173" s="4">
        <v>130</v>
      </c>
      <c r="D6173" s="29">
        <f t="shared" si="533"/>
        <v>16318</v>
      </c>
      <c r="E6173" s="4">
        <f>2+2</f>
        <v>4</v>
      </c>
      <c r="F6173" s="129">
        <f t="shared" si="534"/>
        <v>490</v>
      </c>
    </row>
    <row r="6174" spans="1:6" x14ac:dyDescent="0.25">
      <c r="A6174" s="140" t="s">
        <v>36</v>
      </c>
      <c r="B6174" s="46">
        <v>44150</v>
      </c>
      <c r="C6174" s="4">
        <v>159</v>
      </c>
      <c r="D6174" s="29">
        <f t="shared" si="533"/>
        <v>19191</v>
      </c>
      <c r="E6174" s="4">
        <v>2</v>
      </c>
      <c r="F6174" s="129">
        <f t="shared" si="534"/>
        <v>322</v>
      </c>
    </row>
    <row r="6175" spans="1:6" x14ac:dyDescent="0.25">
      <c r="A6175" s="140" t="s">
        <v>27</v>
      </c>
      <c r="B6175" s="46">
        <v>44150</v>
      </c>
      <c r="C6175" s="4">
        <v>832</v>
      </c>
      <c r="D6175" s="29">
        <f t="shared" si="533"/>
        <v>102462</v>
      </c>
      <c r="E6175" s="4">
        <f>9+5</f>
        <v>14</v>
      </c>
      <c r="F6175" s="129">
        <f t="shared" si="534"/>
        <v>1645</v>
      </c>
    </row>
    <row r="6176" spans="1:6" x14ac:dyDescent="0.25">
      <c r="A6176" s="140" t="s">
        <v>37</v>
      </c>
      <c r="B6176" s="46">
        <v>44150</v>
      </c>
      <c r="C6176" s="4">
        <v>93</v>
      </c>
      <c r="D6176" s="29">
        <f t="shared" si="533"/>
        <v>3716</v>
      </c>
      <c r="F6176" s="129">
        <f t="shared" si="534"/>
        <v>69</v>
      </c>
    </row>
    <row r="6177" spans="1:6" x14ac:dyDescent="0.25">
      <c r="A6177" s="140" t="s">
        <v>38</v>
      </c>
      <c r="B6177" s="46">
        <v>44150</v>
      </c>
      <c r="C6177" s="4">
        <v>180</v>
      </c>
      <c r="D6177" s="29">
        <f t="shared" si="533"/>
        <v>20046</v>
      </c>
      <c r="E6177" s="4">
        <f>1+2</f>
        <v>3</v>
      </c>
      <c r="F6177" s="129">
        <f t="shared" si="534"/>
        <v>373</v>
      </c>
    </row>
    <row r="6178" spans="1:6" x14ac:dyDescent="0.25">
      <c r="A6178" s="140" t="s">
        <v>48</v>
      </c>
      <c r="B6178" s="46">
        <v>44150</v>
      </c>
      <c r="C6178" s="4">
        <v>0</v>
      </c>
      <c r="D6178" s="29">
        <f t="shared" si="533"/>
        <v>168</v>
      </c>
      <c r="F6178" s="129">
        <f t="shared" si="534"/>
        <v>3</v>
      </c>
    </row>
    <row r="6179" spans="1:6" x14ac:dyDescent="0.25">
      <c r="A6179" s="140" t="s">
        <v>39</v>
      </c>
      <c r="B6179" s="46">
        <v>44150</v>
      </c>
      <c r="C6179" s="4">
        <v>21</v>
      </c>
      <c r="D6179" s="29">
        <f t="shared" si="533"/>
        <v>18168</v>
      </c>
      <c r="F6179" s="129">
        <f t="shared" si="534"/>
        <v>838</v>
      </c>
    </row>
    <row r="6180" spans="1:6" x14ac:dyDescent="0.25">
      <c r="A6180" s="140" t="s">
        <v>40</v>
      </c>
      <c r="B6180" s="46">
        <v>44150</v>
      </c>
      <c r="C6180" s="4">
        <v>65</v>
      </c>
      <c r="D6180" s="29">
        <f t="shared" si="533"/>
        <v>4708</v>
      </c>
      <c r="F6180" s="129">
        <f t="shared" si="534"/>
        <v>49</v>
      </c>
    </row>
    <row r="6181" spans="1:6" x14ac:dyDescent="0.25">
      <c r="A6181" s="140" t="s">
        <v>28</v>
      </c>
      <c r="B6181" s="46">
        <v>44150</v>
      </c>
      <c r="C6181" s="4">
        <v>24</v>
      </c>
      <c r="D6181" s="29">
        <f t="shared" si="533"/>
        <v>8180</v>
      </c>
      <c r="F6181" s="129">
        <f t="shared" si="534"/>
        <v>298</v>
      </c>
    </row>
    <row r="6182" spans="1:6" x14ac:dyDescent="0.25">
      <c r="A6182" s="140" t="s">
        <v>24</v>
      </c>
      <c r="B6182" s="46">
        <v>44150</v>
      </c>
      <c r="C6182" s="4">
        <v>94</v>
      </c>
      <c r="D6182" s="29">
        <f t="shared" si="533"/>
        <v>53087</v>
      </c>
      <c r="E6182" s="4">
        <f>2</f>
        <v>2</v>
      </c>
      <c r="F6182" s="129">
        <f t="shared" si="534"/>
        <v>1012</v>
      </c>
    </row>
    <row r="6183" spans="1:6" x14ac:dyDescent="0.25">
      <c r="A6183" s="140" t="s">
        <v>30</v>
      </c>
      <c r="B6183" s="46">
        <v>44150</v>
      </c>
      <c r="C6183" s="4">
        <v>3</v>
      </c>
      <c r="D6183" s="29">
        <f t="shared" si="533"/>
        <v>375</v>
      </c>
      <c r="F6183" s="129">
        <f t="shared" si="534"/>
        <v>7</v>
      </c>
    </row>
    <row r="6184" spans="1:6" x14ac:dyDescent="0.25">
      <c r="A6184" s="140" t="s">
        <v>26</v>
      </c>
      <c r="B6184" s="46">
        <v>44150</v>
      </c>
      <c r="C6184" s="4">
        <v>234</v>
      </c>
      <c r="D6184" s="29">
        <f t="shared" si="533"/>
        <v>26908</v>
      </c>
      <c r="E6184" s="4">
        <v>2</v>
      </c>
      <c r="F6184" s="129">
        <f t="shared" si="534"/>
        <v>518</v>
      </c>
    </row>
    <row r="6185" spans="1:6" x14ac:dyDescent="0.25">
      <c r="A6185" s="140" t="s">
        <v>25</v>
      </c>
      <c r="B6185" s="46">
        <v>44150</v>
      </c>
      <c r="C6185" s="4">
        <v>132</v>
      </c>
      <c r="D6185" s="29">
        <f t="shared" si="533"/>
        <v>28444</v>
      </c>
      <c r="E6185" s="4">
        <f>4+2</f>
        <v>6</v>
      </c>
      <c r="F6185" s="129">
        <f t="shared" si="534"/>
        <v>717</v>
      </c>
    </row>
    <row r="6186" spans="1:6" x14ac:dyDescent="0.25">
      <c r="A6186" s="140" t="s">
        <v>41</v>
      </c>
      <c r="B6186" s="46">
        <v>44150</v>
      </c>
      <c r="C6186" s="4">
        <v>67</v>
      </c>
      <c r="D6186" s="29">
        <f t="shared" ref="D6186:D6192" si="535">C6186+D6162</f>
        <v>20192</v>
      </c>
      <c r="F6186" s="129">
        <f t="shared" si="534"/>
        <v>934</v>
      </c>
    </row>
    <row r="6187" spans="1:6" x14ac:dyDescent="0.25">
      <c r="A6187" s="140" t="s">
        <v>42</v>
      </c>
      <c r="B6187" s="46">
        <v>44150</v>
      </c>
      <c r="C6187" s="4">
        <v>29</v>
      </c>
      <c r="D6187" s="29">
        <f t="shared" si="535"/>
        <v>4449</v>
      </c>
      <c r="F6187" s="129">
        <f t="shared" ref="F6187:F6250" si="536">E6187+F6163</f>
        <v>136</v>
      </c>
    </row>
    <row r="6188" spans="1:6" x14ac:dyDescent="0.25">
      <c r="A6188" s="140" t="s">
        <v>43</v>
      </c>
      <c r="B6188" s="46">
        <v>44150</v>
      </c>
      <c r="C6188" s="4">
        <v>180</v>
      </c>
      <c r="D6188" s="29">
        <f t="shared" si="535"/>
        <v>11374</v>
      </c>
      <c r="F6188" s="129">
        <f t="shared" si="536"/>
        <v>152</v>
      </c>
    </row>
    <row r="6189" spans="1:6" x14ac:dyDescent="0.25">
      <c r="A6189" s="140" t="s">
        <v>44</v>
      </c>
      <c r="B6189" s="46">
        <v>44150</v>
      </c>
      <c r="C6189" s="4">
        <v>186</v>
      </c>
      <c r="D6189" s="29">
        <f t="shared" si="535"/>
        <v>12655</v>
      </c>
      <c r="E6189" s="4">
        <f>3+1</f>
        <v>4</v>
      </c>
      <c r="F6189" s="129">
        <f t="shared" si="536"/>
        <v>191</v>
      </c>
    </row>
    <row r="6190" spans="1:6" x14ac:dyDescent="0.25">
      <c r="A6190" s="140" t="s">
        <v>29</v>
      </c>
      <c r="B6190" s="46">
        <v>44150</v>
      </c>
      <c r="C6190" s="4">
        <v>685</v>
      </c>
      <c r="D6190" s="29">
        <f t="shared" si="535"/>
        <v>128133</v>
      </c>
      <c r="E6190" s="4">
        <f>4+5</f>
        <v>9</v>
      </c>
      <c r="F6190" s="129">
        <f t="shared" si="536"/>
        <v>1878</v>
      </c>
    </row>
    <row r="6191" spans="1:6" x14ac:dyDescent="0.25">
      <c r="A6191" s="140" t="s">
        <v>45</v>
      </c>
      <c r="B6191" s="46">
        <v>44150</v>
      </c>
      <c r="C6191" s="4">
        <v>251</v>
      </c>
      <c r="D6191" s="29">
        <f t="shared" si="535"/>
        <v>13119</v>
      </c>
      <c r="F6191" s="129">
        <f t="shared" si="536"/>
        <v>157</v>
      </c>
    </row>
    <row r="6192" spans="1:6" x14ac:dyDescent="0.25">
      <c r="A6192" s="140" t="s">
        <v>46</v>
      </c>
      <c r="B6192" s="46">
        <v>44150</v>
      </c>
      <c r="C6192" s="4">
        <v>89</v>
      </c>
      <c r="D6192" s="29">
        <f t="shared" si="535"/>
        <v>14261</v>
      </c>
      <c r="E6192" s="4">
        <f>1</f>
        <v>1</v>
      </c>
      <c r="F6192" s="129">
        <f t="shared" si="536"/>
        <v>196</v>
      </c>
    </row>
    <row r="6193" spans="1:6" ht="15.75" thickBot="1" x14ac:dyDescent="0.3">
      <c r="A6193" s="142" t="s">
        <v>47</v>
      </c>
      <c r="B6193" s="46">
        <v>44150</v>
      </c>
      <c r="C6193" s="4">
        <v>403</v>
      </c>
      <c r="D6193" s="85">
        <f>C6193+D6169</f>
        <v>60032</v>
      </c>
      <c r="F6193" s="139">
        <f t="shared" si="536"/>
        <v>979</v>
      </c>
    </row>
    <row r="6194" spans="1:6" x14ac:dyDescent="0.25">
      <c r="A6194" s="64" t="s">
        <v>22</v>
      </c>
      <c r="B6194" s="46">
        <v>44151</v>
      </c>
      <c r="C6194" s="4">
        <v>2190</v>
      </c>
      <c r="D6194" s="131">
        <f t="shared" ref="D6194:D6257" si="537">C6194+D6170</f>
        <v>591444</v>
      </c>
      <c r="E6194" s="4">
        <f>65+40</f>
        <v>105</v>
      </c>
      <c r="F6194" s="128">
        <f t="shared" si="536"/>
        <v>19500</v>
      </c>
    </row>
    <row r="6195" spans="1:6" x14ac:dyDescent="0.25">
      <c r="A6195" s="140" t="s">
        <v>20</v>
      </c>
      <c r="B6195" s="46">
        <v>44151</v>
      </c>
      <c r="C6195" s="4">
        <v>383</v>
      </c>
      <c r="D6195" s="29">
        <f t="shared" si="537"/>
        <v>154168</v>
      </c>
      <c r="E6195" s="4">
        <f>11+8</f>
        <v>19</v>
      </c>
      <c r="F6195" s="129">
        <f t="shared" si="536"/>
        <v>5073</v>
      </c>
    </row>
    <row r="6196" spans="1:6" x14ac:dyDescent="0.25">
      <c r="A6196" s="140" t="s">
        <v>35</v>
      </c>
      <c r="B6196" s="46">
        <v>44151</v>
      </c>
      <c r="C6196" s="4">
        <v>98</v>
      </c>
      <c r="D6196" s="29">
        <f t="shared" si="537"/>
        <v>1564</v>
      </c>
      <c r="F6196" s="129">
        <f t="shared" si="536"/>
        <v>7</v>
      </c>
    </row>
    <row r="6197" spans="1:6" x14ac:dyDescent="0.25">
      <c r="A6197" s="140" t="s">
        <v>21</v>
      </c>
      <c r="B6197" s="46">
        <v>44151</v>
      </c>
      <c r="C6197" s="4">
        <v>150</v>
      </c>
      <c r="D6197" s="29">
        <f t="shared" si="537"/>
        <v>16468</v>
      </c>
      <c r="E6197" s="4">
        <f>10+3</f>
        <v>13</v>
      </c>
      <c r="F6197" s="129">
        <f t="shared" si="536"/>
        <v>503</v>
      </c>
    </row>
    <row r="6198" spans="1:6" x14ac:dyDescent="0.25">
      <c r="A6198" s="140" t="s">
        <v>36</v>
      </c>
      <c r="B6198" s="46">
        <v>44151</v>
      </c>
      <c r="C6198" s="4">
        <v>212</v>
      </c>
      <c r="D6198" s="29">
        <f t="shared" si="537"/>
        <v>19403</v>
      </c>
      <c r="E6198" s="4">
        <f>1+1</f>
        <v>2</v>
      </c>
      <c r="F6198" s="129">
        <f t="shared" si="536"/>
        <v>324</v>
      </c>
    </row>
    <row r="6199" spans="1:6" x14ac:dyDescent="0.25">
      <c r="A6199" s="140" t="s">
        <v>27</v>
      </c>
      <c r="B6199" s="46">
        <v>44151</v>
      </c>
      <c r="C6199" s="4">
        <v>701</v>
      </c>
      <c r="D6199" s="29">
        <f t="shared" si="537"/>
        <v>103163</v>
      </c>
      <c r="E6199" s="4">
        <f>19+8</f>
        <v>27</v>
      </c>
      <c r="F6199" s="129">
        <f t="shared" si="536"/>
        <v>1672</v>
      </c>
    </row>
    <row r="6200" spans="1:6" x14ac:dyDescent="0.25">
      <c r="A6200" s="140" t="s">
        <v>37</v>
      </c>
      <c r="B6200" s="46">
        <v>44151</v>
      </c>
      <c r="C6200" s="4">
        <v>122</v>
      </c>
      <c r="D6200" s="29">
        <f t="shared" si="537"/>
        <v>3838</v>
      </c>
      <c r="F6200" s="129">
        <f t="shared" si="536"/>
        <v>69</v>
      </c>
    </row>
    <row r="6201" spans="1:6" x14ac:dyDescent="0.25">
      <c r="A6201" s="140" t="s">
        <v>38</v>
      </c>
      <c r="B6201" s="46">
        <v>44151</v>
      </c>
      <c r="C6201" s="4">
        <v>157</v>
      </c>
      <c r="D6201" s="29">
        <f t="shared" si="537"/>
        <v>20203</v>
      </c>
      <c r="E6201" s="4">
        <f>6+5</f>
        <v>11</v>
      </c>
      <c r="F6201" s="129">
        <f t="shared" si="536"/>
        <v>384</v>
      </c>
    </row>
    <row r="6202" spans="1:6" x14ac:dyDescent="0.25">
      <c r="A6202" s="140" t="s">
        <v>48</v>
      </c>
      <c r="B6202" s="46">
        <v>44151</v>
      </c>
      <c r="C6202" s="4">
        <v>2</v>
      </c>
      <c r="D6202" s="29">
        <f t="shared" si="537"/>
        <v>170</v>
      </c>
      <c r="F6202" s="129">
        <f t="shared" si="536"/>
        <v>3</v>
      </c>
    </row>
    <row r="6203" spans="1:6" x14ac:dyDescent="0.25">
      <c r="A6203" s="140" t="s">
        <v>39</v>
      </c>
      <c r="B6203" s="46">
        <v>44151</v>
      </c>
      <c r="C6203" s="4">
        <v>24</v>
      </c>
      <c r="D6203" s="29">
        <f t="shared" si="537"/>
        <v>18192</v>
      </c>
      <c r="F6203" s="129">
        <f t="shared" si="536"/>
        <v>838</v>
      </c>
    </row>
    <row r="6204" spans="1:6" x14ac:dyDescent="0.25">
      <c r="A6204" s="140" t="s">
        <v>40</v>
      </c>
      <c r="B6204" s="46">
        <v>44151</v>
      </c>
      <c r="C6204" s="4">
        <v>61</v>
      </c>
      <c r="D6204" s="29">
        <f t="shared" si="537"/>
        <v>4769</v>
      </c>
      <c r="E6204" s="4">
        <f>1+1</f>
        <v>2</v>
      </c>
      <c r="F6204" s="129">
        <f t="shared" si="536"/>
        <v>51</v>
      </c>
    </row>
    <row r="6205" spans="1:6" x14ac:dyDescent="0.25">
      <c r="A6205" s="140" t="s">
        <v>28</v>
      </c>
      <c r="B6205" s="46">
        <v>44151</v>
      </c>
      <c r="C6205" s="4">
        <v>45</v>
      </c>
      <c r="D6205" s="29">
        <f t="shared" si="537"/>
        <v>8225</v>
      </c>
      <c r="E6205" s="4">
        <f>1</f>
        <v>1</v>
      </c>
      <c r="F6205" s="129">
        <f t="shared" si="536"/>
        <v>299</v>
      </c>
    </row>
    <row r="6206" spans="1:6" x14ac:dyDescent="0.25">
      <c r="A6206" s="140" t="s">
        <v>24</v>
      </c>
      <c r="B6206" s="46">
        <v>44151</v>
      </c>
      <c r="C6206" s="4">
        <v>429</v>
      </c>
      <c r="D6206" s="29">
        <f t="shared" si="537"/>
        <v>53516</v>
      </c>
      <c r="E6206" s="4">
        <f>1+3+6</f>
        <v>10</v>
      </c>
      <c r="F6206" s="129">
        <f t="shared" si="536"/>
        <v>1022</v>
      </c>
    </row>
    <row r="6207" spans="1:6" x14ac:dyDescent="0.25">
      <c r="A6207" s="140" t="s">
        <v>30</v>
      </c>
      <c r="B6207" s="46">
        <v>44151</v>
      </c>
      <c r="C6207" s="4">
        <v>16</v>
      </c>
      <c r="D6207" s="29">
        <f t="shared" si="537"/>
        <v>391</v>
      </c>
      <c r="F6207" s="129">
        <f t="shared" si="536"/>
        <v>7</v>
      </c>
    </row>
    <row r="6208" spans="1:6" x14ac:dyDescent="0.25">
      <c r="A6208" s="140" t="s">
        <v>26</v>
      </c>
      <c r="B6208" s="46">
        <v>44151</v>
      </c>
      <c r="C6208" s="4">
        <v>403</v>
      </c>
      <c r="D6208" s="29">
        <f t="shared" si="537"/>
        <v>27311</v>
      </c>
      <c r="E6208" s="4">
        <f>4+1</f>
        <v>5</v>
      </c>
      <c r="F6208" s="129">
        <f t="shared" si="536"/>
        <v>523</v>
      </c>
    </row>
    <row r="6209" spans="1:6" x14ac:dyDescent="0.25">
      <c r="A6209" s="140" t="s">
        <v>25</v>
      </c>
      <c r="B6209" s="46">
        <v>44151</v>
      </c>
      <c r="C6209" s="4">
        <v>198</v>
      </c>
      <c r="D6209" s="29">
        <f t="shared" si="537"/>
        <v>28642</v>
      </c>
      <c r="E6209" s="4">
        <f>2+7</f>
        <v>9</v>
      </c>
      <c r="F6209" s="129">
        <f t="shared" si="536"/>
        <v>726</v>
      </c>
    </row>
    <row r="6210" spans="1:6" x14ac:dyDescent="0.25">
      <c r="A6210" s="140" t="s">
        <v>41</v>
      </c>
      <c r="B6210" s="46">
        <v>44151</v>
      </c>
      <c r="C6210" s="4">
        <v>43</v>
      </c>
      <c r="D6210" s="29">
        <f t="shared" si="537"/>
        <v>20235</v>
      </c>
      <c r="E6210" s="4">
        <f>3+2</f>
        <v>5</v>
      </c>
      <c r="F6210" s="129">
        <f t="shared" si="536"/>
        <v>939</v>
      </c>
    </row>
    <row r="6211" spans="1:6" x14ac:dyDescent="0.25">
      <c r="A6211" s="140" t="s">
        <v>42</v>
      </c>
      <c r="B6211" s="46">
        <v>44151</v>
      </c>
      <c r="C6211" s="4">
        <v>67</v>
      </c>
      <c r="D6211" s="29">
        <f t="shared" si="537"/>
        <v>4516</v>
      </c>
      <c r="E6211" s="4">
        <f>4+3</f>
        <v>7</v>
      </c>
      <c r="F6211" s="129">
        <f t="shared" si="536"/>
        <v>143</v>
      </c>
    </row>
    <row r="6212" spans="1:6" x14ac:dyDescent="0.25">
      <c r="A6212" s="140" t="s">
        <v>43</v>
      </c>
      <c r="B6212" s="46">
        <v>44151</v>
      </c>
      <c r="C6212" s="4">
        <v>234</v>
      </c>
      <c r="D6212" s="29">
        <f t="shared" si="537"/>
        <v>11608</v>
      </c>
      <c r="F6212" s="129">
        <f t="shared" si="536"/>
        <v>152</v>
      </c>
    </row>
    <row r="6213" spans="1:6" x14ac:dyDescent="0.25">
      <c r="A6213" s="140" t="s">
        <v>44</v>
      </c>
      <c r="B6213" s="46">
        <v>44151</v>
      </c>
      <c r="C6213" s="4">
        <v>123</v>
      </c>
      <c r="D6213" s="29">
        <f t="shared" si="537"/>
        <v>12778</v>
      </c>
      <c r="E6213" s="4">
        <f>1+1</f>
        <v>2</v>
      </c>
      <c r="F6213" s="129">
        <f t="shared" si="536"/>
        <v>193</v>
      </c>
    </row>
    <row r="6214" spans="1:6" x14ac:dyDescent="0.25">
      <c r="A6214" s="140" t="s">
        <v>29</v>
      </c>
      <c r="B6214" s="46">
        <v>44151</v>
      </c>
      <c r="C6214" s="4">
        <v>1319</v>
      </c>
      <c r="D6214" s="29">
        <f t="shared" si="537"/>
        <v>129452</v>
      </c>
      <c r="E6214" s="4">
        <f>11+25</f>
        <v>36</v>
      </c>
      <c r="F6214" s="129">
        <f t="shared" si="536"/>
        <v>1914</v>
      </c>
    </row>
    <row r="6215" spans="1:6" x14ac:dyDescent="0.25">
      <c r="A6215" s="140" t="s">
        <v>45</v>
      </c>
      <c r="B6215" s="46">
        <v>44151</v>
      </c>
      <c r="C6215" s="4">
        <v>192</v>
      </c>
      <c r="D6215" s="29">
        <f t="shared" si="537"/>
        <v>13311</v>
      </c>
      <c r="E6215" s="4">
        <f>2+1</f>
        <v>3</v>
      </c>
      <c r="F6215" s="129">
        <f t="shared" si="536"/>
        <v>160</v>
      </c>
    </row>
    <row r="6216" spans="1:6" x14ac:dyDescent="0.25">
      <c r="A6216" s="140" t="s">
        <v>46</v>
      </c>
      <c r="B6216" s="46">
        <v>44151</v>
      </c>
      <c r="C6216" s="4">
        <v>144</v>
      </c>
      <c r="D6216" s="29">
        <f t="shared" si="537"/>
        <v>14405</v>
      </c>
      <c r="E6216" s="4">
        <f>3+6</f>
        <v>9</v>
      </c>
      <c r="F6216" s="129">
        <f t="shared" si="536"/>
        <v>205</v>
      </c>
    </row>
    <row r="6217" spans="1:6" ht="15.75" thickBot="1" x14ac:dyDescent="0.3">
      <c r="A6217" s="142" t="s">
        <v>47</v>
      </c>
      <c r="B6217" s="46">
        <v>44151</v>
      </c>
      <c r="C6217" s="4">
        <v>580</v>
      </c>
      <c r="D6217" s="85">
        <f>C6217+D6193</f>
        <v>60612</v>
      </c>
      <c r="E6217" s="4">
        <f>17+9</f>
        <v>26</v>
      </c>
      <c r="F6217" s="139">
        <f t="shared" si="536"/>
        <v>1005</v>
      </c>
    </row>
    <row r="6218" spans="1:6" x14ac:dyDescent="0.25">
      <c r="A6218" s="64" t="s">
        <v>22</v>
      </c>
      <c r="B6218" s="46">
        <v>44152</v>
      </c>
      <c r="C6218" s="4">
        <v>2804</v>
      </c>
      <c r="D6218" s="131">
        <f t="shared" si="537"/>
        <v>594248</v>
      </c>
      <c r="E6218" s="4">
        <f>3+91+73</f>
        <v>167</v>
      </c>
      <c r="F6218" s="128">
        <f t="shared" si="536"/>
        <v>19667</v>
      </c>
    </row>
    <row r="6219" spans="1:6" x14ac:dyDescent="0.25">
      <c r="A6219" s="140" t="s">
        <v>20</v>
      </c>
      <c r="B6219" s="46">
        <v>44152</v>
      </c>
      <c r="C6219" s="4">
        <v>428</v>
      </c>
      <c r="D6219" s="29">
        <f t="shared" si="537"/>
        <v>154596</v>
      </c>
      <c r="E6219" s="4">
        <f>5+6</f>
        <v>11</v>
      </c>
      <c r="F6219" s="129">
        <f t="shared" si="536"/>
        <v>5084</v>
      </c>
    </row>
    <row r="6220" spans="1:6" x14ac:dyDescent="0.25">
      <c r="A6220" s="140" t="s">
        <v>35</v>
      </c>
      <c r="B6220" s="46">
        <v>44152</v>
      </c>
      <c r="C6220" s="4">
        <v>17</v>
      </c>
      <c r="D6220" s="29">
        <f t="shared" si="537"/>
        <v>1581</v>
      </c>
      <c r="F6220" s="129">
        <f t="shared" si="536"/>
        <v>7</v>
      </c>
    </row>
    <row r="6221" spans="1:6" x14ac:dyDescent="0.25">
      <c r="A6221" s="140" t="s">
        <v>21</v>
      </c>
      <c r="B6221" s="46">
        <v>44152</v>
      </c>
      <c r="C6221" s="4">
        <v>259</v>
      </c>
      <c r="D6221" s="29">
        <f t="shared" si="537"/>
        <v>16727</v>
      </c>
      <c r="E6221" s="4">
        <f>8+5</f>
        <v>13</v>
      </c>
      <c r="F6221" s="129">
        <f t="shared" si="536"/>
        <v>516</v>
      </c>
    </row>
    <row r="6222" spans="1:6" x14ac:dyDescent="0.25">
      <c r="A6222" s="140" t="s">
        <v>36</v>
      </c>
      <c r="B6222" s="46">
        <v>44152</v>
      </c>
      <c r="C6222" s="4">
        <v>344</v>
      </c>
      <c r="D6222" s="29">
        <f t="shared" si="537"/>
        <v>19747</v>
      </c>
      <c r="E6222" s="4">
        <f>6+2</f>
        <v>8</v>
      </c>
      <c r="F6222" s="129">
        <f t="shared" si="536"/>
        <v>332</v>
      </c>
    </row>
    <row r="6223" spans="1:6" x14ac:dyDescent="0.25">
      <c r="A6223" s="140" t="s">
        <v>27</v>
      </c>
      <c r="B6223" s="46">
        <v>44152</v>
      </c>
      <c r="C6223" s="4">
        <v>1309</v>
      </c>
      <c r="D6223" s="29">
        <f t="shared" si="537"/>
        <v>104472</v>
      </c>
      <c r="E6223" s="4">
        <f>21+6</f>
        <v>27</v>
      </c>
      <c r="F6223" s="129">
        <f t="shared" si="536"/>
        <v>1699</v>
      </c>
    </row>
    <row r="6224" spans="1:6" x14ac:dyDescent="0.25">
      <c r="A6224" s="140" t="s">
        <v>37</v>
      </c>
      <c r="B6224" s="46">
        <v>44152</v>
      </c>
      <c r="C6224" s="4">
        <v>138</v>
      </c>
      <c r="D6224" s="29">
        <f t="shared" si="537"/>
        <v>3976</v>
      </c>
      <c r="E6224" s="4">
        <f>8+3</f>
        <v>11</v>
      </c>
      <c r="F6224" s="129">
        <f t="shared" si="536"/>
        <v>80</v>
      </c>
    </row>
    <row r="6225" spans="1:6" x14ac:dyDescent="0.25">
      <c r="A6225" s="140" t="s">
        <v>38</v>
      </c>
      <c r="B6225" s="46">
        <v>44152</v>
      </c>
      <c r="C6225" s="4">
        <v>348</v>
      </c>
      <c r="D6225" s="29">
        <f t="shared" si="537"/>
        <v>20551</v>
      </c>
      <c r="E6225" s="4">
        <f>4+4</f>
        <v>8</v>
      </c>
      <c r="F6225" s="129">
        <f t="shared" si="536"/>
        <v>392</v>
      </c>
    </row>
    <row r="6226" spans="1:6" x14ac:dyDescent="0.25">
      <c r="A6226" s="140" t="s">
        <v>48</v>
      </c>
      <c r="B6226" s="46">
        <v>44152</v>
      </c>
      <c r="C6226" s="4">
        <v>0</v>
      </c>
      <c r="D6226" s="29">
        <f t="shared" si="537"/>
        <v>170</v>
      </c>
      <c r="F6226" s="129">
        <f t="shared" si="536"/>
        <v>3</v>
      </c>
    </row>
    <row r="6227" spans="1:6" x14ac:dyDescent="0.25">
      <c r="A6227" s="140" t="s">
        <v>39</v>
      </c>
      <c r="B6227" s="46">
        <v>44152</v>
      </c>
      <c r="C6227" s="4">
        <v>21</v>
      </c>
      <c r="D6227" s="29">
        <f t="shared" si="537"/>
        <v>18213</v>
      </c>
      <c r="E6227" s="4">
        <f>1</f>
        <v>1</v>
      </c>
      <c r="F6227" s="129">
        <f t="shared" si="536"/>
        <v>839</v>
      </c>
    </row>
    <row r="6228" spans="1:6" x14ac:dyDescent="0.25">
      <c r="A6228" s="140" t="s">
        <v>40</v>
      </c>
      <c r="B6228" s="46">
        <v>44152</v>
      </c>
      <c r="C6228" s="4">
        <v>65</v>
      </c>
      <c r="D6228" s="29">
        <f t="shared" si="537"/>
        <v>4834</v>
      </c>
      <c r="E6228" s="4">
        <f>5+6</f>
        <v>11</v>
      </c>
      <c r="F6228" s="129">
        <f t="shared" si="536"/>
        <v>62</v>
      </c>
    </row>
    <row r="6229" spans="1:6" x14ac:dyDescent="0.25">
      <c r="A6229" s="140" t="s">
        <v>28</v>
      </c>
      <c r="B6229" s="46">
        <v>44152</v>
      </c>
      <c r="C6229" s="4">
        <v>18</v>
      </c>
      <c r="D6229" s="29">
        <f t="shared" si="537"/>
        <v>8243</v>
      </c>
      <c r="E6229" s="4">
        <f>1</f>
        <v>1</v>
      </c>
      <c r="F6229" s="129">
        <f t="shared" si="536"/>
        <v>300</v>
      </c>
    </row>
    <row r="6230" spans="1:6" x14ac:dyDescent="0.25">
      <c r="A6230" s="140" t="s">
        <v>24</v>
      </c>
      <c r="B6230" s="46">
        <v>44152</v>
      </c>
      <c r="C6230" s="4">
        <v>396</v>
      </c>
      <c r="D6230" s="29">
        <f t="shared" si="537"/>
        <v>53912</v>
      </c>
      <c r="E6230" s="4">
        <f>4+3</f>
        <v>7</v>
      </c>
      <c r="F6230" s="129">
        <f t="shared" si="536"/>
        <v>1029</v>
      </c>
    </row>
    <row r="6231" spans="1:6" x14ac:dyDescent="0.25">
      <c r="A6231" s="140" t="s">
        <v>30</v>
      </c>
      <c r="B6231" s="46">
        <v>44152</v>
      </c>
      <c r="C6231" s="4">
        <v>6</v>
      </c>
      <c r="D6231" s="29">
        <f t="shared" si="537"/>
        <v>397</v>
      </c>
      <c r="F6231" s="129">
        <f t="shared" si="536"/>
        <v>7</v>
      </c>
    </row>
    <row r="6232" spans="1:6" x14ac:dyDescent="0.25">
      <c r="A6232" s="140" t="s">
        <v>26</v>
      </c>
      <c r="B6232" s="46">
        <v>44152</v>
      </c>
      <c r="C6232" s="4">
        <v>999</v>
      </c>
      <c r="D6232" s="29">
        <f t="shared" si="537"/>
        <v>28310</v>
      </c>
      <c r="E6232" s="4">
        <f>18+11</f>
        <v>29</v>
      </c>
      <c r="F6232" s="129">
        <f t="shared" si="536"/>
        <v>552</v>
      </c>
    </row>
    <row r="6233" spans="1:6" x14ac:dyDescent="0.25">
      <c r="A6233" s="140" t="s">
        <v>25</v>
      </c>
      <c r="B6233" s="46">
        <v>44152</v>
      </c>
      <c r="C6233" s="4">
        <v>295</v>
      </c>
      <c r="D6233" s="29">
        <f t="shared" si="537"/>
        <v>28937</v>
      </c>
      <c r="E6233" s="4">
        <f>2+3</f>
        <v>5</v>
      </c>
      <c r="F6233" s="129">
        <f t="shared" si="536"/>
        <v>731</v>
      </c>
    </row>
    <row r="6234" spans="1:6" x14ac:dyDescent="0.25">
      <c r="A6234" s="140" t="s">
        <v>41</v>
      </c>
      <c r="B6234" s="46">
        <v>44152</v>
      </c>
      <c r="C6234" s="4">
        <v>92</v>
      </c>
      <c r="D6234" s="29">
        <f t="shared" si="537"/>
        <v>20327</v>
      </c>
      <c r="E6234" s="4">
        <f>3+1</f>
        <v>4</v>
      </c>
      <c r="F6234" s="129">
        <f t="shared" si="536"/>
        <v>943</v>
      </c>
    </row>
    <row r="6235" spans="1:6" x14ac:dyDescent="0.25">
      <c r="A6235" s="140" t="s">
        <v>42</v>
      </c>
      <c r="B6235" s="46">
        <v>44152</v>
      </c>
      <c r="C6235" s="4">
        <v>172</v>
      </c>
      <c r="D6235" s="29">
        <f t="shared" si="537"/>
        <v>4688</v>
      </c>
      <c r="F6235" s="129">
        <f t="shared" si="536"/>
        <v>143</v>
      </c>
    </row>
    <row r="6236" spans="1:6" x14ac:dyDescent="0.25">
      <c r="A6236" s="140" t="s">
        <v>43</v>
      </c>
      <c r="B6236" s="46">
        <v>44152</v>
      </c>
      <c r="C6236" s="4">
        <v>233</v>
      </c>
      <c r="D6236" s="29">
        <f t="shared" si="537"/>
        <v>11841</v>
      </c>
      <c r="E6236" s="4">
        <f>3+2</f>
        <v>5</v>
      </c>
      <c r="F6236" s="129">
        <f t="shared" si="536"/>
        <v>157</v>
      </c>
    </row>
    <row r="6237" spans="1:6" x14ac:dyDescent="0.25">
      <c r="A6237" s="140" t="s">
        <v>44</v>
      </c>
      <c r="B6237" s="46">
        <v>44152</v>
      </c>
      <c r="C6237" s="4">
        <v>267</v>
      </c>
      <c r="D6237" s="29">
        <f t="shared" si="537"/>
        <v>13045</v>
      </c>
      <c r="E6237" s="4">
        <f>13+5</f>
        <v>18</v>
      </c>
      <c r="F6237" s="129">
        <f t="shared" si="536"/>
        <v>211</v>
      </c>
    </row>
    <row r="6238" spans="1:6" x14ac:dyDescent="0.25">
      <c r="A6238" s="140" t="s">
        <v>29</v>
      </c>
      <c r="B6238" s="46">
        <v>44152</v>
      </c>
      <c r="C6238" s="4">
        <v>1477</v>
      </c>
      <c r="D6238" s="29">
        <f t="shared" si="537"/>
        <v>130929</v>
      </c>
      <c r="E6238" s="4">
        <f>14+19</f>
        <v>33</v>
      </c>
      <c r="F6238" s="129">
        <f t="shared" si="536"/>
        <v>1947</v>
      </c>
    </row>
    <row r="6239" spans="1:6" x14ac:dyDescent="0.25">
      <c r="A6239" s="140" t="s">
        <v>45</v>
      </c>
      <c r="B6239" s="46">
        <v>44152</v>
      </c>
      <c r="C6239" s="4">
        <v>113</v>
      </c>
      <c r="D6239" s="29">
        <f t="shared" si="537"/>
        <v>13424</v>
      </c>
      <c r="E6239" s="4">
        <f>3</f>
        <v>3</v>
      </c>
      <c r="F6239" s="129">
        <f t="shared" si="536"/>
        <v>163</v>
      </c>
    </row>
    <row r="6240" spans="1:6" x14ac:dyDescent="0.25">
      <c r="A6240" s="140" t="s">
        <v>46</v>
      </c>
      <c r="B6240" s="46">
        <v>44152</v>
      </c>
      <c r="C6240" s="4">
        <v>132</v>
      </c>
      <c r="D6240" s="29">
        <f t="shared" si="537"/>
        <v>14537</v>
      </c>
      <c r="E6240" s="4">
        <f>2</f>
        <v>2</v>
      </c>
      <c r="F6240" s="129">
        <f t="shared" si="536"/>
        <v>207</v>
      </c>
    </row>
    <row r="6241" spans="1:6" ht="15.75" thickBot="1" x14ac:dyDescent="0.3">
      <c r="A6241" s="142" t="s">
        <v>47</v>
      </c>
      <c r="B6241" s="46">
        <v>44152</v>
      </c>
      <c r="C6241" s="4">
        <v>688</v>
      </c>
      <c r="D6241" s="85">
        <f>C6241+D6217</f>
        <v>61300</v>
      </c>
      <c r="E6241" s="4">
        <f>9+6</f>
        <v>15</v>
      </c>
      <c r="F6241" s="139">
        <f t="shared" si="536"/>
        <v>1020</v>
      </c>
    </row>
    <row r="6242" spans="1:6" x14ac:dyDescent="0.25">
      <c r="A6242" s="64" t="s">
        <v>22</v>
      </c>
      <c r="B6242" s="46">
        <v>44153</v>
      </c>
      <c r="C6242" s="4">
        <v>2826</v>
      </c>
      <c r="D6242" s="131">
        <f t="shared" si="537"/>
        <v>597074</v>
      </c>
      <c r="E6242" s="4">
        <f>39+29</f>
        <v>68</v>
      </c>
      <c r="F6242" s="128">
        <f t="shared" si="536"/>
        <v>19735</v>
      </c>
    </row>
    <row r="6243" spans="1:6" x14ac:dyDescent="0.25">
      <c r="A6243" s="140" t="s">
        <v>20</v>
      </c>
      <c r="B6243" s="46">
        <v>44153</v>
      </c>
      <c r="C6243" s="4">
        <v>384</v>
      </c>
      <c r="D6243" s="29">
        <f t="shared" si="537"/>
        <v>154980</v>
      </c>
      <c r="E6243" s="4">
        <f>8+13</f>
        <v>21</v>
      </c>
      <c r="F6243" s="129">
        <f t="shared" si="536"/>
        <v>5105</v>
      </c>
    </row>
    <row r="6244" spans="1:6" x14ac:dyDescent="0.25">
      <c r="A6244" s="140" t="s">
        <v>35</v>
      </c>
      <c r="B6244" s="46">
        <v>44153</v>
      </c>
      <c r="C6244" s="4">
        <v>23</v>
      </c>
      <c r="D6244" s="29">
        <f t="shared" si="537"/>
        <v>1604</v>
      </c>
      <c r="E6244" s="4">
        <v>1</v>
      </c>
      <c r="F6244" s="129">
        <f t="shared" si="536"/>
        <v>8</v>
      </c>
    </row>
    <row r="6245" spans="1:6" x14ac:dyDescent="0.25">
      <c r="A6245" s="140" t="s">
        <v>21</v>
      </c>
      <c r="B6245" s="46">
        <v>44153</v>
      </c>
      <c r="C6245" s="4">
        <v>230</v>
      </c>
      <c r="D6245" s="29">
        <f t="shared" si="537"/>
        <v>16957</v>
      </c>
      <c r="E6245" s="4">
        <f>2+1</f>
        <v>3</v>
      </c>
      <c r="F6245" s="129">
        <f t="shared" si="536"/>
        <v>519</v>
      </c>
    </row>
    <row r="6246" spans="1:6" x14ac:dyDescent="0.25">
      <c r="A6246" s="140" t="s">
        <v>36</v>
      </c>
      <c r="B6246" s="46">
        <v>44153</v>
      </c>
      <c r="C6246" s="4">
        <v>366</v>
      </c>
      <c r="D6246" s="29">
        <f t="shared" si="537"/>
        <v>20113</v>
      </c>
      <c r="E6246" s="4">
        <f>5+2</f>
        <v>7</v>
      </c>
      <c r="F6246" s="129">
        <f t="shared" si="536"/>
        <v>339</v>
      </c>
    </row>
    <row r="6247" spans="1:6" x14ac:dyDescent="0.25">
      <c r="A6247" s="140" t="s">
        <v>27</v>
      </c>
      <c r="B6247" s="46">
        <v>44153</v>
      </c>
      <c r="C6247" s="4">
        <v>1381</v>
      </c>
      <c r="D6247" s="29">
        <f t="shared" si="537"/>
        <v>105853</v>
      </c>
      <c r="E6247" s="4">
        <f>19+12</f>
        <v>31</v>
      </c>
      <c r="F6247" s="129">
        <f t="shared" si="536"/>
        <v>1730</v>
      </c>
    </row>
    <row r="6248" spans="1:6" x14ac:dyDescent="0.25">
      <c r="A6248" s="140" t="s">
        <v>37</v>
      </c>
      <c r="B6248" s="46">
        <v>44153</v>
      </c>
      <c r="C6248" s="4">
        <v>272</v>
      </c>
      <c r="D6248" s="29">
        <f t="shared" si="537"/>
        <v>4248</v>
      </c>
      <c r="E6248" s="4">
        <f>3+3</f>
        <v>6</v>
      </c>
      <c r="F6248" s="129">
        <f t="shared" si="536"/>
        <v>86</v>
      </c>
    </row>
    <row r="6249" spans="1:6" x14ac:dyDescent="0.25">
      <c r="A6249" s="140" t="s">
        <v>38</v>
      </c>
      <c r="B6249" s="46">
        <v>44153</v>
      </c>
      <c r="C6249" s="4">
        <v>374</v>
      </c>
      <c r="D6249" s="29">
        <f t="shared" si="537"/>
        <v>20925</v>
      </c>
      <c r="E6249" s="4">
        <v>4</v>
      </c>
      <c r="F6249" s="129">
        <f t="shared" si="536"/>
        <v>396</v>
      </c>
    </row>
    <row r="6250" spans="1:6" x14ac:dyDescent="0.25">
      <c r="A6250" s="140" t="s">
        <v>48</v>
      </c>
      <c r="B6250" s="46">
        <v>44153</v>
      </c>
      <c r="C6250" s="4">
        <v>3</v>
      </c>
      <c r="D6250" s="29">
        <f t="shared" si="537"/>
        <v>173</v>
      </c>
      <c r="F6250" s="129">
        <f t="shared" si="536"/>
        <v>3</v>
      </c>
    </row>
    <row r="6251" spans="1:6" x14ac:dyDescent="0.25">
      <c r="A6251" s="140" t="s">
        <v>39</v>
      </c>
      <c r="B6251" s="46">
        <v>44153</v>
      </c>
      <c r="C6251" s="4">
        <v>27</v>
      </c>
      <c r="D6251" s="29">
        <f t="shared" si="537"/>
        <v>18240</v>
      </c>
      <c r="E6251" s="4">
        <f>1</f>
        <v>1</v>
      </c>
      <c r="F6251" s="129">
        <f t="shared" ref="F6251:F6314" si="538">E6251+F6227</f>
        <v>840</v>
      </c>
    </row>
    <row r="6252" spans="1:6" x14ac:dyDescent="0.25">
      <c r="A6252" s="140" t="s">
        <v>40</v>
      </c>
      <c r="B6252" s="46">
        <v>44153</v>
      </c>
      <c r="C6252" s="4">
        <v>75</v>
      </c>
      <c r="D6252" s="29">
        <f t="shared" si="537"/>
        <v>4909</v>
      </c>
      <c r="E6252" s="4">
        <f>2</f>
        <v>2</v>
      </c>
      <c r="F6252" s="129">
        <f t="shared" si="538"/>
        <v>64</v>
      </c>
    </row>
    <row r="6253" spans="1:6" x14ac:dyDescent="0.25">
      <c r="A6253" s="140" t="s">
        <v>28</v>
      </c>
      <c r="B6253" s="46">
        <v>44153</v>
      </c>
      <c r="C6253" s="4">
        <v>51</v>
      </c>
      <c r="D6253" s="29">
        <f t="shared" si="537"/>
        <v>8294</v>
      </c>
      <c r="E6253" s="4">
        <f>1</f>
        <v>1</v>
      </c>
      <c r="F6253" s="129">
        <f t="shared" si="538"/>
        <v>301</v>
      </c>
    </row>
    <row r="6254" spans="1:6" x14ac:dyDescent="0.25">
      <c r="A6254" s="140" t="s">
        <v>24</v>
      </c>
      <c r="B6254" s="46">
        <v>44153</v>
      </c>
      <c r="C6254" s="4">
        <v>339</v>
      </c>
      <c r="D6254" s="29">
        <f t="shared" si="537"/>
        <v>54251</v>
      </c>
      <c r="E6254" s="4">
        <f>15+9</f>
        <v>24</v>
      </c>
      <c r="F6254" s="129">
        <f t="shared" si="538"/>
        <v>1053</v>
      </c>
    </row>
    <row r="6255" spans="1:6" x14ac:dyDescent="0.25">
      <c r="A6255" s="140" t="s">
        <v>30</v>
      </c>
      <c r="B6255" s="46">
        <v>44153</v>
      </c>
      <c r="C6255" s="4">
        <v>10</v>
      </c>
      <c r="D6255" s="29">
        <f t="shared" si="537"/>
        <v>407</v>
      </c>
      <c r="F6255" s="129">
        <f t="shared" si="538"/>
        <v>7</v>
      </c>
    </row>
    <row r="6256" spans="1:6" x14ac:dyDescent="0.25">
      <c r="A6256" s="140" t="s">
        <v>26</v>
      </c>
      <c r="B6256" s="46">
        <v>44153</v>
      </c>
      <c r="C6256" s="4">
        <v>348</v>
      </c>
      <c r="D6256" s="29">
        <f t="shared" si="537"/>
        <v>28658</v>
      </c>
      <c r="E6256" s="4">
        <f>7+7</f>
        <v>14</v>
      </c>
      <c r="F6256" s="129">
        <f t="shared" si="538"/>
        <v>566</v>
      </c>
    </row>
    <row r="6257" spans="1:6" x14ac:dyDescent="0.25">
      <c r="A6257" s="140" t="s">
        <v>25</v>
      </c>
      <c r="B6257" s="46">
        <v>44153</v>
      </c>
      <c r="C6257" s="4">
        <v>299</v>
      </c>
      <c r="D6257" s="29">
        <f t="shared" si="537"/>
        <v>29236</v>
      </c>
      <c r="E6257" s="4">
        <f>4+4</f>
        <v>8</v>
      </c>
      <c r="F6257" s="129">
        <f t="shared" si="538"/>
        <v>739</v>
      </c>
    </row>
    <row r="6258" spans="1:6" x14ac:dyDescent="0.25">
      <c r="A6258" s="140" t="s">
        <v>41</v>
      </c>
      <c r="B6258" s="46">
        <v>44153</v>
      </c>
      <c r="C6258" s="4">
        <v>112</v>
      </c>
      <c r="D6258" s="29">
        <f t="shared" ref="D6258:D6264" si="539">C6258+D6234</f>
        <v>20439</v>
      </c>
      <c r="E6258" s="4">
        <f>5+4</f>
        <v>9</v>
      </c>
      <c r="F6258" s="129">
        <f t="shared" si="538"/>
        <v>952</v>
      </c>
    </row>
    <row r="6259" spans="1:6" x14ac:dyDescent="0.25">
      <c r="A6259" s="140" t="s">
        <v>42</v>
      </c>
      <c r="B6259" s="46">
        <v>44153</v>
      </c>
      <c r="C6259" s="4">
        <v>174</v>
      </c>
      <c r="D6259" s="29">
        <f t="shared" si="539"/>
        <v>4862</v>
      </c>
      <c r="F6259" s="129">
        <f t="shared" si="538"/>
        <v>143</v>
      </c>
    </row>
    <row r="6260" spans="1:6" x14ac:dyDescent="0.25">
      <c r="A6260" s="140" t="s">
        <v>43</v>
      </c>
      <c r="B6260" s="46">
        <v>44153</v>
      </c>
      <c r="C6260" s="4">
        <v>219</v>
      </c>
      <c r="D6260" s="29">
        <f t="shared" si="539"/>
        <v>12060</v>
      </c>
      <c r="E6260" s="4">
        <f>4+2</f>
        <v>6</v>
      </c>
      <c r="F6260" s="129">
        <f t="shared" si="538"/>
        <v>163</v>
      </c>
    </row>
    <row r="6261" spans="1:6" x14ac:dyDescent="0.25">
      <c r="A6261" s="140" t="s">
        <v>44</v>
      </c>
      <c r="B6261" s="46">
        <v>44153</v>
      </c>
      <c r="C6261" s="4">
        <v>268</v>
      </c>
      <c r="D6261" s="29">
        <f t="shared" si="539"/>
        <v>13313</v>
      </c>
      <c r="E6261" s="4">
        <f>4+2</f>
        <v>6</v>
      </c>
      <c r="F6261" s="129">
        <f t="shared" si="538"/>
        <v>217</v>
      </c>
    </row>
    <row r="6262" spans="1:6" x14ac:dyDescent="0.25">
      <c r="A6262" s="140" t="s">
        <v>29</v>
      </c>
      <c r="B6262" s="46">
        <v>44153</v>
      </c>
      <c r="C6262" s="4">
        <v>1657</v>
      </c>
      <c r="D6262" s="29">
        <f t="shared" si="539"/>
        <v>132586</v>
      </c>
      <c r="E6262" s="4">
        <f>13+10</f>
        <v>23</v>
      </c>
      <c r="F6262" s="129">
        <f t="shared" si="538"/>
        <v>1970</v>
      </c>
    </row>
    <row r="6263" spans="1:6" x14ac:dyDescent="0.25">
      <c r="A6263" s="140" t="s">
        <v>45</v>
      </c>
      <c r="B6263" s="46">
        <v>44153</v>
      </c>
      <c r="C6263" s="4">
        <v>229</v>
      </c>
      <c r="D6263" s="29">
        <f t="shared" si="539"/>
        <v>13653</v>
      </c>
      <c r="F6263" s="129">
        <f t="shared" si="538"/>
        <v>163</v>
      </c>
    </row>
    <row r="6264" spans="1:6" x14ac:dyDescent="0.25">
      <c r="A6264" s="140" t="s">
        <v>46</v>
      </c>
      <c r="B6264" s="46">
        <v>44153</v>
      </c>
      <c r="C6264" s="4">
        <v>132</v>
      </c>
      <c r="D6264" s="29">
        <f t="shared" si="539"/>
        <v>14669</v>
      </c>
      <c r="E6264" s="4">
        <f>2+2</f>
        <v>4</v>
      </c>
      <c r="F6264" s="129">
        <f t="shared" si="538"/>
        <v>211</v>
      </c>
    </row>
    <row r="6265" spans="1:6" ht="15.75" thickBot="1" x14ac:dyDescent="0.3">
      <c r="A6265" s="142" t="s">
        <v>47</v>
      </c>
      <c r="B6265" s="46">
        <v>44153</v>
      </c>
      <c r="C6265" s="47">
        <v>533</v>
      </c>
      <c r="D6265" s="85">
        <f>C6265+D6241</f>
        <v>61833</v>
      </c>
      <c r="E6265" s="47">
        <v>1</v>
      </c>
      <c r="F6265" s="139">
        <f t="shared" si="538"/>
        <v>1021</v>
      </c>
    </row>
    <row r="6266" spans="1:6" x14ac:dyDescent="0.25">
      <c r="A6266" s="64" t="s">
        <v>22</v>
      </c>
      <c r="B6266" s="202">
        <v>44154</v>
      </c>
      <c r="C6266" s="50">
        <v>2743</v>
      </c>
      <c r="D6266" s="131">
        <f t="shared" ref="D6266:D6329" si="540">C6266+D6242</f>
        <v>599817</v>
      </c>
      <c r="E6266" s="50">
        <f>29+18</f>
        <v>47</v>
      </c>
      <c r="F6266" s="128">
        <f t="shared" si="538"/>
        <v>19782</v>
      </c>
    </row>
    <row r="6267" spans="1:6" x14ac:dyDescent="0.25">
      <c r="A6267" s="140" t="s">
        <v>20</v>
      </c>
      <c r="B6267" s="46">
        <v>44154</v>
      </c>
      <c r="C6267" s="4">
        <v>479</v>
      </c>
      <c r="D6267" s="29">
        <f t="shared" si="540"/>
        <v>155459</v>
      </c>
      <c r="E6267" s="4">
        <f>1+3</f>
        <v>4</v>
      </c>
      <c r="F6267" s="129">
        <f t="shared" si="538"/>
        <v>5109</v>
      </c>
    </row>
    <row r="6268" spans="1:6" x14ac:dyDescent="0.25">
      <c r="A6268" s="140" t="s">
        <v>35</v>
      </c>
      <c r="B6268" s="46">
        <v>44154</v>
      </c>
      <c r="C6268" s="4">
        <v>30</v>
      </c>
      <c r="D6268" s="29">
        <f t="shared" si="540"/>
        <v>1634</v>
      </c>
      <c r="F6268" s="129">
        <f t="shared" si="538"/>
        <v>8</v>
      </c>
    </row>
    <row r="6269" spans="1:6" x14ac:dyDescent="0.25">
      <c r="A6269" s="140" t="s">
        <v>21</v>
      </c>
      <c r="B6269" s="46">
        <v>44154</v>
      </c>
      <c r="C6269" s="4">
        <v>290</v>
      </c>
      <c r="D6269" s="29">
        <f t="shared" si="540"/>
        <v>17247</v>
      </c>
      <c r="E6269" s="4">
        <v>1</v>
      </c>
      <c r="F6269" s="129">
        <f t="shared" si="538"/>
        <v>520</v>
      </c>
    </row>
    <row r="6270" spans="1:6" x14ac:dyDescent="0.25">
      <c r="A6270" s="140" t="s">
        <v>36</v>
      </c>
      <c r="B6270" s="46">
        <v>44154</v>
      </c>
      <c r="C6270" s="4">
        <v>324</v>
      </c>
      <c r="D6270" s="29">
        <f t="shared" si="540"/>
        <v>20437</v>
      </c>
      <c r="E6270" s="4">
        <f>7+5</f>
        <v>12</v>
      </c>
      <c r="F6270" s="129">
        <f t="shared" si="538"/>
        <v>351</v>
      </c>
    </row>
    <row r="6271" spans="1:6" x14ac:dyDescent="0.25">
      <c r="A6271" s="140" t="s">
        <v>27</v>
      </c>
      <c r="B6271" s="46">
        <v>44154</v>
      </c>
      <c r="C6271" s="4">
        <v>1051</v>
      </c>
      <c r="D6271" s="29">
        <f t="shared" si="540"/>
        <v>106904</v>
      </c>
      <c r="E6271" s="4">
        <f>10+6</f>
        <v>16</v>
      </c>
      <c r="F6271" s="129">
        <f t="shared" si="538"/>
        <v>1746</v>
      </c>
    </row>
    <row r="6272" spans="1:6" x14ac:dyDescent="0.25">
      <c r="A6272" s="140" t="s">
        <v>37</v>
      </c>
      <c r="B6272" s="46">
        <v>44154</v>
      </c>
      <c r="C6272" s="4">
        <v>261</v>
      </c>
      <c r="D6272" s="29">
        <f t="shared" si="540"/>
        <v>4509</v>
      </c>
      <c r="F6272" s="129">
        <f t="shared" si="538"/>
        <v>86</v>
      </c>
    </row>
    <row r="6273" spans="1:6" x14ac:dyDescent="0.25">
      <c r="A6273" s="140" t="s">
        <v>38</v>
      </c>
      <c r="B6273" s="46">
        <v>44154</v>
      </c>
      <c r="C6273" s="4">
        <v>324</v>
      </c>
      <c r="D6273" s="29">
        <f t="shared" si="540"/>
        <v>21249</v>
      </c>
      <c r="E6273" s="4">
        <f>5+1</f>
        <v>6</v>
      </c>
      <c r="F6273" s="129">
        <f t="shared" si="538"/>
        <v>402</v>
      </c>
    </row>
    <row r="6274" spans="1:6" x14ac:dyDescent="0.25">
      <c r="A6274" s="140" t="s">
        <v>48</v>
      </c>
      <c r="B6274" s="46">
        <v>44154</v>
      </c>
      <c r="C6274" s="4">
        <v>1</v>
      </c>
      <c r="D6274" s="29">
        <f t="shared" si="540"/>
        <v>174</v>
      </c>
      <c r="F6274" s="129">
        <f t="shared" si="538"/>
        <v>3</v>
      </c>
    </row>
    <row r="6275" spans="1:6" x14ac:dyDescent="0.25">
      <c r="A6275" s="140" t="s">
        <v>39</v>
      </c>
      <c r="B6275" s="46">
        <v>44154</v>
      </c>
      <c r="C6275" s="4">
        <v>12</v>
      </c>
      <c r="D6275" s="29">
        <f t="shared" si="540"/>
        <v>18252</v>
      </c>
      <c r="F6275" s="129">
        <f t="shared" si="538"/>
        <v>840</v>
      </c>
    </row>
    <row r="6276" spans="1:6" x14ac:dyDescent="0.25">
      <c r="A6276" s="140" t="s">
        <v>40</v>
      </c>
      <c r="B6276" s="46">
        <v>44154</v>
      </c>
      <c r="C6276" s="4">
        <v>63</v>
      </c>
      <c r="D6276" s="29">
        <f t="shared" si="540"/>
        <v>4972</v>
      </c>
      <c r="F6276" s="129">
        <f t="shared" si="538"/>
        <v>64</v>
      </c>
    </row>
    <row r="6277" spans="1:6" x14ac:dyDescent="0.25">
      <c r="A6277" s="140" t="s">
        <v>28</v>
      </c>
      <c r="B6277" s="46">
        <v>44154</v>
      </c>
      <c r="C6277" s="4">
        <v>68</v>
      </c>
      <c r="D6277" s="29">
        <f t="shared" si="540"/>
        <v>8362</v>
      </c>
      <c r="E6277" s="4">
        <f>2+1</f>
        <v>3</v>
      </c>
      <c r="F6277" s="129">
        <f t="shared" si="538"/>
        <v>304</v>
      </c>
    </row>
    <row r="6278" spans="1:6" x14ac:dyDescent="0.25">
      <c r="A6278" s="140" t="s">
        <v>24</v>
      </c>
      <c r="B6278" s="46">
        <v>44154</v>
      </c>
      <c r="C6278" s="4">
        <v>243</v>
      </c>
      <c r="D6278" s="29">
        <f t="shared" si="540"/>
        <v>54494</v>
      </c>
      <c r="E6278" s="4">
        <f>3+2</f>
        <v>5</v>
      </c>
      <c r="F6278" s="129">
        <f t="shared" si="538"/>
        <v>1058</v>
      </c>
    </row>
    <row r="6279" spans="1:6" x14ac:dyDescent="0.25">
      <c r="A6279" s="140" t="s">
        <v>30</v>
      </c>
      <c r="B6279" s="46">
        <v>44154</v>
      </c>
      <c r="C6279" s="4">
        <v>24</v>
      </c>
      <c r="D6279" s="29">
        <f t="shared" si="540"/>
        <v>431</v>
      </c>
      <c r="F6279" s="129">
        <f t="shared" si="538"/>
        <v>7</v>
      </c>
    </row>
    <row r="6280" spans="1:6" x14ac:dyDescent="0.25">
      <c r="A6280" s="140" t="s">
        <v>26</v>
      </c>
      <c r="B6280" s="46">
        <v>44154</v>
      </c>
      <c r="C6280" s="4">
        <v>280</v>
      </c>
      <c r="D6280" s="29">
        <f t="shared" si="540"/>
        <v>28938</v>
      </c>
      <c r="E6280" s="4">
        <f>6+1</f>
        <v>7</v>
      </c>
      <c r="F6280" s="129">
        <f t="shared" si="538"/>
        <v>573</v>
      </c>
    </row>
    <row r="6281" spans="1:6" x14ac:dyDescent="0.25">
      <c r="A6281" s="140" t="s">
        <v>25</v>
      </c>
      <c r="B6281" s="46">
        <v>44154</v>
      </c>
      <c r="C6281" s="4">
        <v>309</v>
      </c>
      <c r="D6281" s="29">
        <f t="shared" si="540"/>
        <v>29545</v>
      </c>
      <c r="E6281" s="4">
        <f>7+3</f>
        <v>10</v>
      </c>
      <c r="F6281" s="129">
        <f t="shared" si="538"/>
        <v>749</v>
      </c>
    </row>
    <row r="6282" spans="1:6" x14ac:dyDescent="0.25">
      <c r="A6282" s="140" t="s">
        <v>41</v>
      </c>
      <c r="B6282" s="46">
        <v>44154</v>
      </c>
      <c r="C6282" s="4">
        <v>73</v>
      </c>
      <c r="D6282" s="29">
        <f t="shared" si="540"/>
        <v>20512</v>
      </c>
      <c r="E6282" s="4">
        <f>5+1</f>
        <v>6</v>
      </c>
      <c r="F6282" s="129">
        <f t="shared" si="538"/>
        <v>958</v>
      </c>
    </row>
    <row r="6283" spans="1:6" x14ac:dyDescent="0.25">
      <c r="A6283" s="140" t="s">
        <v>42</v>
      </c>
      <c r="B6283" s="46">
        <v>44154</v>
      </c>
      <c r="C6283" s="4">
        <v>220</v>
      </c>
      <c r="D6283" s="29">
        <f t="shared" si="540"/>
        <v>5082</v>
      </c>
      <c r="F6283" s="129">
        <f t="shared" si="538"/>
        <v>143</v>
      </c>
    </row>
    <row r="6284" spans="1:6" x14ac:dyDescent="0.25">
      <c r="A6284" s="140" t="s">
        <v>43</v>
      </c>
      <c r="B6284" s="46">
        <v>44154</v>
      </c>
      <c r="C6284" s="4">
        <v>349</v>
      </c>
      <c r="D6284" s="29">
        <f t="shared" si="540"/>
        <v>12409</v>
      </c>
      <c r="E6284" s="4">
        <f>3+3</f>
        <v>6</v>
      </c>
      <c r="F6284" s="129">
        <f t="shared" si="538"/>
        <v>169</v>
      </c>
    </row>
    <row r="6285" spans="1:6" x14ac:dyDescent="0.25">
      <c r="A6285" s="140" t="s">
        <v>44</v>
      </c>
      <c r="B6285" s="46">
        <v>44154</v>
      </c>
      <c r="C6285" s="4">
        <v>286</v>
      </c>
      <c r="D6285" s="29">
        <f t="shared" si="540"/>
        <v>13599</v>
      </c>
      <c r="E6285" s="4">
        <f>4+1</f>
        <v>5</v>
      </c>
      <c r="F6285" s="129">
        <f t="shared" si="538"/>
        <v>222</v>
      </c>
    </row>
    <row r="6286" spans="1:6" x14ac:dyDescent="0.25">
      <c r="A6286" s="140" t="s">
        <v>29</v>
      </c>
      <c r="B6286" s="46">
        <v>44154</v>
      </c>
      <c r="C6286" s="4">
        <v>1666</v>
      </c>
      <c r="D6286" s="29">
        <f t="shared" si="540"/>
        <v>134252</v>
      </c>
      <c r="E6286" s="4">
        <f>21+13</f>
        <v>34</v>
      </c>
      <c r="F6286" s="129">
        <f t="shared" si="538"/>
        <v>2004</v>
      </c>
    </row>
    <row r="6287" spans="1:6" x14ac:dyDescent="0.25">
      <c r="A6287" s="140" t="s">
        <v>45</v>
      </c>
      <c r="B6287" s="46">
        <v>44154</v>
      </c>
      <c r="C6287" s="4">
        <v>258</v>
      </c>
      <c r="D6287" s="29">
        <f t="shared" si="540"/>
        <v>13911</v>
      </c>
      <c r="E6287" s="4">
        <f>5+5</f>
        <v>10</v>
      </c>
      <c r="F6287" s="129">
        <f t="shared" si="538"/>
        <v>173</v>
      </c>
    </row>
    <row r="6288" spans="1:6" x14ac:dyDescent="0.25">
      <c r="A6288" s="140" t="s">
        <v>46</v>
      </c>
      <c r="B6288" s="46">
        <v>44154</v>
      </c>
      <c r="C6288" s="4">
        <v>169</v>
      </c>
      <c r="D6288" s="29">
        <f t="shared" si="540"/>
        <v>14838</v>
      </c>
      <c r="E6288" s="4">
        <f>2+2</f>
        <v>4</v>
      </c>
      <c r="F6288" s="129">
        <f t="shared" si="538"/>
        <v>215</v>
      </c>
    </row>
    <row r="6289" spans="1:6" ht="15.75" thickBot="1" x14ac:dyDescent="0.3">
      <c r="A6289" s="141" t="s">
        <v>47</v>
      </c>
      <c r="B6289" s="53">
        <v>44154</v>
      </c>
      <c r="C6289" s="54">
        <v>574</v>
      </c>
      <c r="D6289" s="132">
        <f>C6289+D6265</f>
        <v>62407</v>
      </c>
      <c r="E6289" s="54">
        <f>7+4</f>
        <v>11</v>
      </c>
      <c r="F6289" s="130">
        <f t="shared" si="538"/>
        <v>1032</v>
      </c>
    </row>
    <row r="6290" spans="1:6" x14ac:dyDescent="0.25">
      <c r="A6290" s="64" t="s">
        <v>22</v>
      </c>
      <c r="B6290" s="136">
        <v>44155</v>
      </c>
      <c r="C6290" s="48">
        <v>2305</v>
      </c>
      <c r="D6290" s="131">
        <f t="shared" si="540"/>
        <v>602122</v>
      </c>
      <c r="E6290" s="48">
        <v>134</v>
      </c>
      <c r="F6290" s="128">
        <f t="shared" si="538"/>
        <v>19916</v>
      </c>
    </row>
    <row r="6291" spans="1:6" x14ac:dyDescent="0.25">
      <c r="A6291" s="140" t="s">
        <v>20</v>
      </c>
      <c r="B6291" s="136">
        <v>44155</v>
      </c>
      <c r="C6291" s="4">
        <v>410</v>
      </c>
      <c r="D6291" s="29">
        <f t="shared" si="540"/>
        <v>155869</v>
      </c>
      <c r="E6291" s="4">
        <v>22</v>
      </c>
      <c r="F6291" s="129">
        <f t="shared" si="538"/>
        <v>5131</v>
      </c>
    </row>
    <row r="6292" spans="1:6" x14ac:dyDescent="0.25">
      <c r="A6292" s="140" t="s">
        <v>35</v>
      </c>
      <c r="B6292" s="136">
        <v>44155</v>
      </c>
      <c r="C6292" s="4">
        <v>12</v>
      </c>
      <c r="D6292" s="29">
        <f t="shared" si="540"/>
        <v>1646</v>
      </c>
      <c r="F6292" s="129">
        <f t="shared" si="538"/>
        <v>8</v>
      </c>
    </row>
    <row r="6293" spans="1:6" x14ac:dyDescent="0.25">
      <c r="A6293" s="140" t="s">
        <v>21</v>
      </c>
      <c r="B6293" s="136">
        <v>44155</v>
      </c>
      <c r="C6293" s="4">
        <v>256</v>
      </c>
      <c r="D6293" s="29">
        <f t="shared" si="540"/>
        <v>17503</v>
      </c>
      <c r="E6293" s="4">
        <v>5</v>
      </c>
      <c r="F6293" s="129">
        <f t="shared" si="538"/>
        <v>525</v>
      </c>
    </row>
    <row r="6294" spans="1:6" x14ac:dyDescent="0.25">
      <c r="A6294" s="140" t="s">
        <v>36</v>
      </c>
      <c r="B6294" s="136">
        <v>44155</v>
      </c>
      <c r="C6294" s="4">
        <v>343</v>
      </c>
      <c r="D6294" s="29">
        <f t="shared" si="540"/>
        <v>20780</v>
      </c>
      <c r="E6294" s="4">
        <v>5</v>
      </c>
      <c r="F6294" s="129">
        <f t="shared" si="538"/>
        <v>356</v>
      </c>
    </row>
    <row r="6295" spans="1:6" x14ac:dyDescent="0.25">
      <c r="A6295" s="140" t="s">
        <v>27</v>
      </c>
      <c r="B6295" s="136">
        <v>44155</v>
      </c>
      <c r="C6295" s="4">
        <v>982</v>
      </c>
      <c r="D6295" s="29">
        <f t="shared" si="540"/>
        <v>107886</v>
      </c>
      <c r="E6295" s="4">
        <v>15</v>
      </c>
      <c r="F6295" s="129">
        <f t="shared" si="538"/>
        <v>1761</v>
      </c>
    </row>
    <row r="6296" spans="1:6" x14ac:dyDescent="0.25">
      <c r="A6296" s="140" t="s">
        <v>37</v>
      </c>
      <c r="B6296" s="136">
        <v>44155</v>
      </c>
      <c r="C6296" s="4">
        <v>164</v>
      </c>
      <c r="D6296" s="29">
        <f t="shared" si="540"/>
        <v>4673</v>
      </c>
      <c r="F6296" s="129">
        <f t="shared" si="538"/>
        <v>86</v>
      </c>
    </row>
    <row r="6297" spans="1:6" x14ac:dyDescent="0.25">
      <c r="A6297" s="140" t="s">
        <v>38</v>
      </c>
      <c r="B6297" s="136">
        <v>44155</v>
      </c>
      <c r="C6297" s="4">
        <v>253</v>
      </c>
      <c r="D6297" s="29">
        <f t="shared" si="540"/>
        <v>21502</v>
      </c>
      <c r="E6297" s="4">
        <v>9</v>
      </c>
      <c r="F6297" s="129">
        <f t="shared" si="538"/>
        <v>411</v>
      </c>
    </row>
    <row r="6298" spans="1:6" x14ac:dyDescent="0.25">
      <c r="A6298" s="140" t="s">
        <v>48</v>
      </c>
      <c r="B6298" s="136">
        <v>44155</v>
      </c>
      <c r="C6298" s="4">
        <v>3</v>
      </c>
      <c r="D6298" s="29">
        <f t="shared" si="540"/>
        <v>177</v>
      </c>
      <c r="F6298" s="129">
        <f t="shared" si="538"/>
        <v>3</v>
      </c>
    </row>
    <row r="6299" spans="1:6" x14ac:dyDescent="0.25">
      <c r="A6299" s="140" t="s">
        <v>39</v>
      </c>
      <c r="B6299" s="136">
        <v>44155</v>
      </c>
      <c r="C6299" s="4">
        <v>21</v>
      </c>
      <c r="D6299" s="29">
        <f t="shared" si="540"/>
        <v>18273</v>
      </c>
      <c r="E6299" s="4">
        <v>1</v>
      </c>
      <c r="F6299" s="129">
        <f t="shared" si="538"/>
        <v>841</v>
      </c>
    </row>
    <row r="6300" spans="1:6" x14ac:dyDescent="0.25">
      <c r="A6300" s="140" t="s">
        <v>40</v>
      </c>
      <c r="B6300" s="136">
        <v>44155</v>
      </c>
      <c r="C6300" s="4">
        <v>88</v>
      </c>
      <c r="D6300" s="29">
        <f t="shared" si="540"/>
        <v>5060</v>
      </c>
      <c r="E6300" s="4">
        <v>4</v>
      </c>
      <c r="F6300" s="129">
        <f t="shared" si="538"/>
        <v>68</v>
      </c>
    </row>
    <row r="6301" spans="1:6" x14ac:dyDescent="0.25">
      <c r="A6301" s="140" t="s">
        <v>28</v>
      </c>
      <c r="B6301" s="136">
        <v>44155</v>
      </c>
      <c r="C6301" s="4">
        <v>58</v>
      </c>
      <c r="D6301" s="29">
        <f t="shared" si="540"/>
        <v>8420</v>
      </c>
      <c r="F6301" s="129">
        <f t="shared" si="538"/>
        <v>304</v>
      </c>
    </row>
    <row r="6302" spans="1:6" x14ac:dyDescent="0.25">
      <c r="A6302" s="140" t="s">
        <v>24</v>
      </c>
      <c r="B6302" s="136">
        <v>44155</v>
      </c>
      <c r="C6302" s="4">
        <v>317</v>
      </c>
      <c r="D6302" s="29">
        <f t="shared" si="540"/>
        <v>54811</v>
      </c>
      <c r="E6302" s="4">
        <v>6</v>
      </c>
      <c r="F6302" s="129">
        <f t="shared" si="538"/>
        <v>1064</v>
      </c>
    </row>
    <row r="6303" spans="1:6" x14ac:dyDescent="0.25">
      <c r="A6303" s="140" t="s">
        <v>30</v>
      </c>
      <c r="B6303" s="136">
        <v>44155</v>
      </c>
      <c r="C6303" s="4">
        <v>3</v>
      </c>
      <c r="D6303" s="29">
        <f t="shared" si="540"/>
        <v>434</v>
      </c>
      <c r="F6303" s="129">
        <f t="shared" si="538"/>
        <v>7</v>
      </c>
    </row>
    <row r="6304" spans="1:6" x14ac:dyDescent="0.25">
      <c r="A6304" s="140" t="s">
        <v>26</v>
      </c>
      <c r="B6304" s="136">
        <v>44155</v>
      </c>
      <c r="C6304" s="4">
        <v>321</v>
      </c>
      <c r="D6304" s="29">
        <f t="shared" si="540"/>
        <v>29259</v>
      </c>
      <c r="E6304" s="4">
        <v>1</v>
      </c>
      <c r="F6304" s="129">
        <f t="shared" si="538"/>
        <v>574</v>
      </c>
    </row>
    <row r="6305" spans="1:6" x14ac:dyDescent="0.25">
      <c r="A6305" s="140" t="s">
        <v>25</v>
      </c>
      <c r="B6305" s="136">
        <v>44155</v>
      </c>
      <c r="C6305" s="4">
        <v>201</v>
      </c>
      <c r="D6305" s="29">
        <f t="shared" si="540"/>
        <v>29746</v>
      </c>
      <c r="E6305" s="4">
        <v>1</v>
      </c>
      <c r="F6305" s="129">
        <f t="shared" si="538"/>
        <v>750</v>
      </c>
    </row>
    <row r="6306" spans="1:6" x14ac:dyDescent="0.25">
      <c r="A6306" s="140" t="s">
        <v>41</v>
      </c>
      <c r="B6306" s="136">
        <v>44155</v>
      </c>
      <c r="C6306" s="4">
        <v>166</v>
      </c>
      <c r="D6306" s="29">
        <f t="shared" si="540"/>
        <v>20678</v>
      </c>
      <c r="E6306" s="4">
        <v>3</v>
      </c>
      <c r="F6306" s="129">
        <f t="shared" si="538"/>
        <v>961</v>
      </c>
    </row>
    <row r="6307" spans="1:6" x14ac:dyDescent="0.25">
      <c r="A6307" s="140" t="s">
        <v>42</v>
      </c>
      <c r="B6307" s="136">
        <v>44155</v>
      </c>
      <c r="C6307" s="4">
        <v>471</v>
      </c>
      <c r="D6307" s="29">
        <f t="shared" si="540"/>
        <v>5553</v>
      </c>
      <c r="F6307" s="129">
        <f t="shared" si="538"/>
        <v>143</v>
      </c>
    </row>
    <row r="6308" spans="1:6" x14ac:dyDescent="0.25">
      <c r="A6308" s="140" t="s">
        <v>43</v>
      </c>
      <c r="B6308" s="136">
        <v>44155</v>
      </c>
      <c r="C6308" s="4">
        <v>378</v>
      </c>
      <c r="D6308" s="29">
        <f t="shared" si="540"/>
        <v>12787</v>
      </c>
      <c r="E6308" s="4">
        <v>8</v>
      </c>
      <c r="F6308" s="129">
        <f t="shared" si="538"/>
        <v>177</v>
      </c>
    </row>
    <row r="6309" spans="1:6" x14ac:dyDescent="0.25">
      <c r="A6309" s="140" t="s">
        <v>44</v>
      </c>
      <c r="B6309" s="136">
        <v>44155</v>
      </c>
      <c r="C6309" s="4">
        <v>248</v>
      </c>
      <c r="D6309" s="29">
        <f t="shared" si="540"/>
        <v>13847</v>
      </c>
      <c r="E6309" s="4">
        <v>3</v>
      </c>
      <c r="F6309" s="129">
        <f t="shared" si="538"/>
        <v>225</v>
      </c>
    </row>
    <row r="6310" spans="1:6" x14ac:dyDescent="0.25">
      <c r="A6310" s="140" t="s">
        <v>29</v>
      </c>
      <c r="B6310" s="136">
        <v>44155</v>
      </c>
      <c r="C6310" s="4">
        <v>1757</v>
      </c>
      <c r="D6310" s="29">
        <f t="shared" si="540"/>
        <v>136009</v>
      </c>
      <c r="E6310" s="4">
        <v>18</v>
      </c>
      <c r="F6310" s="129">
        <f t="shared" si="538"/>
        <v>2022</v>
      </c>
    </row>
    <row r="6311" spans="1:6" x14ac:dyDescent="0.25">
      <c r="A6311" s="140" t="s">
        <v>45</v>
      </c>
      <c r="B6311" s="136">
        <v>44155</v>
      </c>
      <c r="C6311" s="4">
        <v>252</v>
      </c>
      <c r="D6311" s="29">
        <f t="shared" si="540"/>
        <v>14163</v>
      </c>
      <c r="F6311" s="129">
        <f t="shared" si="538"/>
        <v>173</v>
      </c>
    </row>
    <row r="6312" spans="1:6" x14ac:dyDescent="0.25">
      <c r="A6312" s="140" t="s">
        <v>46</v>
      </c>
      <c r="B6312" s="136">
        <v>44155</v>
      </c>
      <c r="C6312" s="4">
        <v>127</v>
      </c>
      <c r="D6312" s="29">
        <f t="shared" si="540"/>
        <v>14965</v>
      </c>
      <c r="E6312" s="4">
        <v>2</v>
      </c>
      <c r="F6312" s="129">
        <f t="shared" si="538"/>
        <v>217</v>
      </c>
    </row>
    <row r="6313" spans="1:6" ht="15.75" thickBot="1" x14ac:dyDescent="0.3">
      <c r="A6313" s="141" t="s">
        <v>47</v>
      </c>
      <c r="B6313" s="136">
        <v>44155</v>
      </c>
      <c r="C6313" s="4">
        <v>472</v>
      </c>
      <c r="D6313" s="132">
        <f>C6313+D6289</f>
        <v>62879</v>
      </c>
      <c r="E6313" s="4">
        <v>24</v>
      </c>
      <c r="F6313" s="130">
        <f t="shared" si="538"/>
        <v>1056</v>
      </c>
    </row>
    <row r="6314" spans="1:6" x14ac:dyDescent="0.25">
      <c r="A6314" s="64" t="s">
        <v>22</v>
      </c>
      <c r="B6314" s="136">
        <v>44156</v>
      </c>
      <c r="C6314" s="4">
        <v>1894</v>
      </c>
      <c r="D6314" s="131">
        <f t="shared" si="540"/>
        <v>604016</v>
      </c>
      <c r="E6314" s="4">
        <f>24+17</f>
        <v>41</v>
      </c>
      <c r="F6314" s="128">
        <f t="shared" si="538"/>
        <v>19957</v>
      </c>
    </row>
    <row r="6315" spans="1:6" x14ac:dyDescent="0.25">
      <c r="A6315" s="140" t="s">
        <v>20</v>
      </c>
      <c r="B6315" s="136">
        <v>44156</v>
      </c>
      <c r="C6315" s="4">
        <v>350</v>
      </c>
      <c r="D6315" s="29">
        <f t="shared" si="540"/>
        <v>156219</v>
      </c>
      <c r="E6315" s="4">
        <f>3+1</f>
        <v>4</v>
      </c>
      <c r="F6315" s="129">
        <f t="shared" ref="F6315:F6378" si="541">E6315+F6291</f>
        <v>5135</v>
      </c>
    </row>
    <row r="6316" spans="1:6" x14ac:dyDescent="0.25">
      <c r="A6316" s="140" t="s">
        <v>35</v>
      </c>
      <c r="B6316" s="136">
        <v>44156</v>
      </c>
      <c r="C6316" s="4">
        <v>25</v>
      </c>
      <c r="D6316" s="29">
        <f t="shared" si="540"/>
        <v>1671</v>
      </c>
      <c r="E6316" s="4">
        <f>5</f>
        <v>5</v>
      </c>
      <c r="F6316" s="129">
        <f t="shared" si="541"/>
        <v>13</v>
      </c>
    </row>
    <row r="6317" spans="1:6" x14ac:dyDescent="0.25">
      <c r="A6317" s="140" t="s">
        <v>21</v>
      </c>
      <c r="B6317" s="136">
        <v>44156</v>
      </c>
      <c r="C6317" s="4">
        <v>156</v>
      </c>
      <c r="D6317" s="29">
        <f t="shared" si="540"/>
        <v>17659</v>
      </c>
      <c r="F6317" s="129">
        <f t="shared" si="541"/>
        <v>525</v>
      </c>
    </row>
    <row r="6318" spans="1:6" x14ac:dyDescent="0.25">
      <c r="A6318" s="140" t="s">
        <v>36</v>
      </c>
      <c r="B6318" s="136">
        <v>44156</v>
      </c>
      <c r="C6318" s="4">
        <v>241</v>
      </c>
      <c r="D6318" s="29">
        <f t="shared" si="540"/>
        <v>21021</v>
      </c>
      <c r="E6318" s="4">
        <f>1</f>
        <v>1</v>
      </c>
      <c r="F6318" s="129">
        <f t="shared" si="541"/>
        <v>357</v>
      </c>
    </row>
    <row r="6319" spans="1:6" x14ac:dyDescent="0.25">
      <c r="A6319" s="140" t="s">
        <v>27</v>
      </c>
      <c r="B6319" s="136">
        <v>44156</v>
      </c>
      <c r="C6319" s="4">
        <v>888</v>
      </c>
      <c r="D6319" s="29">
        <f t="shared" si="540"/>
        <v>108774</v>
      </c>
      <c r="E6319" s="4">
        <f>6+4</f>
        <v>10</v>
      </c>
      <c r="F6319" s="129">
        <f t="shared" si="541"/>
        <v>1771</v>
      </c>
    </row>
    <row r="6320" spans="1:6" x14ac:dyDescent="0.25">
      <c r="A6320" s="140" t="s">
        <v>37</v>
      </c>
      <c r="B6320" s="136">
        <v>44156</v>
      </c>
      <c r="C6320" s="4">
        <v>96</v>
      </c>
      <c r="D6320" s="29">
        <f t="shared" si="540"/>
        <v>4769</v>
      </c>
      <c r="F6320" s="129">
        <f t="shared" si="541"/>
        <v>86</v>
      </c>
    </row>
    <row r="6321" spans="1:6" x14ac:dyDescent="0.25">
      <c r="A6321" s="140" t="s">
        <v>38</v>
      </c>
      <c r="B6321" s="136">
        <v>44156</v>
      </c>
      <c r="C6321" s="4">
        <v>216</v>
      </c>
      <c r="D6321" s="29">
        <f t="shared" si="540"/>
        <v>21718</v>
      </c>
      <c r="E6321" s="4">
        <f>4+1</f>
        <v>5</v>
      </c>
      <c r="F6321" s="129">
        <f t="shared" si="541"/>
        <v>416</v>
      </c>
    </row>
    <row r="6322" spans="1:6" x14ac:dyDescent="0.25">
      <c r="A6322" s="140" t="s">
        <v>48</v>
      </c>
      <c r="B6322" s="136">
        <v>44156</v>
      </c>
      <c r="C6322" s="4">
        <v>2</v>
      </c>
      <c r="D6322" s="29">
        <f t="shared" si="540"/>
        <v>179</v>
      </c>
      <c r="F6322" s="129">
        <f t="shared" si="541"/>
        <v>3</v>
      </c>
    </row>
    <row r="6323" spans="1:6" x14ac:dyDescent="0.25">
      <c r="A6323" s="140" t="s">
        <v>39</v>
      </c>
      <c r="B6323" s="136">
        <v>44156</v>
      </c>
      <c r="C6323" s="4">
        <v>12</v>
      </c>
      <c r="D6323" s="29">
        <f t="shared" si="540"/>
        <v>18285</v>
      </c>
      <c r="E6323" s="4">
        <f>1</f>
        <v>1</v>
      </c>
      <c r="F6323" s="129">
        <f t="shared" si="541"/>
        <v>842</v>
      </c>
    </row>
    <row r="6324" spans="1:6" x14ac:dyDescent="0.25">
      <c r="A6324" s="140" t="s">
        <v>40</v>
      </c>
      <c r="B6324" s="136">
        <v>44156</v>
      </c>
      <c r="C6324" s="4">
        <v>57</v>
      </c>
      <c r="D6324" s="29">
        <f t="shared" si="540"/>
        <v>5117</v>
      </c>
      <c r="E6324" s="4">
        <v>2</v>
      </c>
      <c r="F6324" s="129">
        <f t="shared" si="541"/>
        <v>70</v>
      </c>
    </row>
    <row r="6325" spans="1:6" x14ac:dyDescent="0.25">
      <c r="A6325" s="140" t="s">
        <v>28</v>
      </c>
      <c r="B6325" s="136">
        <v>44156</v>
      </c>
      <c r="C6325" s="4">
        <v>63</v>
      </c>
      <c r="D6325" s="29">
        <f t="shared" si="540"/>
        <v>8483</v>
      </c>
      <c r="E6325" s="4">
        <v>5</v>
      </c>
      <c r="F6325" s="129">
        <f t="shared" si="541"/>
        <v>309</v>
      </c>
    </row>
    <row r="6326" spans="1:6" x14ac:dyDescent="0.25">
      <c r="A6326" s="140" t="s">
        <v>24</v>
      </c>
      <c r="B6326" s="136">
        <v>44156</v>
      </c>
      <c r="C6326" s="4">
        <v>226</v>
      </c>
      <c r="D6326" s="29">
        <f t="shared" si="540"/>
        <v>55037</v>
      </c>
      <c r="E6326" s="4">
        <v>2</v>
      </c>
      <c r="F6326" s="129">
        <f t="shared" si="541"/>
        <v>1066</v>
      </c>
    </row>
    <row r="6327" spans="1:6" x14ac:dyDescent="0.25">
      <c r="A6327" s="140" t="s">
        <v>30</v>
      </c>
      <c r="B6327" s="136">
        <v>44156</v>
      </c>
      <c r="C6327" s="4">
        <v>1</v>
      </c>
      <c r="D6327" s="29">
        <f t="shared" si="540"/>
        <v>435</v>
      </c>
      <c r="E6327" s="4">
        <f>1</f>
        <v>1</v>
      </c>
      <c r="F6327" s="129">
        <f t="shared" si="541"/>
        <v>8</v>
      </c>
    </row>
    <row r="6328" spans="1:6" x14ac:dyDescent="0.25">
      <c r="A6328" s="140" t="s">
        <v>26</v>
      </c>
      <c r="B6328" s="136">
        <v>44156</v>
      </c>
      <c r="C6328" s="4">
        <v>235</v>
      </c>
      <c r="D6328" s="29">
        <f t="shared" si="540"/>
        <v>29494</v>
      </c>
      <c r="F6328" s="129">
        <f t="shared" si="541"/>
        <v>574</v>
      </c>
    </row>
    <row r="6329" spans="1:6" x14ac:dyDescent="0.25">
      <c r="A6329" s="140" t="s">
        <v>25</v>
      </c>
      <c r="B6329" s="136">
        <v>44156</v>
      </c>
      <c r="C6329" s="4">
        <v>169</v>
      </c>
      <c r="D6329" s="29">
        <f t="shared" si="540"/>
        <v>29915</v>
      </c>
      <c r="E6329" s="4">
        <v>1</v>
      </c>
      <c r="F6329" s="129">
        <f t="shared" si="541"/>
        <v>751</v>
      </c>
    </row>
    <row r="6330" spans="1:6" x14ac:dyDescent="0.25">
      <c r="A6330" s="140" t="s">
        <v>41</v>
      </c>
      <c r="B6330" s="136">
        <v>44156</v>
      </c>
      <c r="C6330" s="4">
        <v>48</v>
      </c>
      <c r="D6330" s="29">
        <f t="shared" ref="D6330:D6336" si="542">C6330+D6306</f>
        <v>20726</v>
      </c>
      <c r="E6330" s="4">
        <f>1</f>
        <v>1</v>
      </c>
      <c r="F6330" s="129">
        <f t="shared" si="541"/>
        <v>962</v>
      </c>
    </row>
    <row r="6331" spans="1:6" x14ac:dyDescent="0.25">
      <c r="A6331" s="140" t="s">
        <v>42</v>
      </c>
      <c r="B6331" s="136">
        <v>44156</v>
      </c>
      <c r="C6331" s="4">
        <v>115</v>
      </c>
      <c r="D6331" s="29">
        <f t="shared" si="542"/>
        <v>5668</v>
      </c>
      <c r="F6331" s="129">
        <f t="shared" si="541"/>
        <v>143</v>
      </c>
    </row>
    <row r="6332" spans="1:6" x14ac:dyDescent="0.25">
      <c r="A6332" s="140" t="s">
        <v>43</v>
      </c>
      <c r="B6332" s="136">
        <v>44156</v>
      </c>
      <c r="C6332" s="4">
        <v>250</v>
      </c>
      <c r="D6332" s="29">
        <f t="shared" si="542"/>
        <v>13037</v>
      </c>
      <c r="E6332" s="4">
        <f>1</f>
        <v>1</v>
      </c>
      <c r="F6332" s="129">
        <f t="shared" si="541"/>
        <v>178</v>
      </c>
    </row>
    <row r="6333" spans="1:6" x14ac:dyDescent="0.25">
      <c r="A6333" s="140" t="s">
        <v>44</v>
      </c>
      <c r="B6333" s="136">
        <v>44156</v>
      </c>
      <c r="C6333" s="4">
        <v>163</v>
      </c>
      <c r="D6333" s="29">
        <f t="shared" si="542"/>
        <v>14010</v>
      </c>
      <c r="E6333" s="4">
        <v>7</v>
      </c>
      <c r="F6333" s="129">
        <f t="shared" si="541"/>
        <v>232</v>
      </c>
    </row>
    <row r="6334" spans="1:6" x14ac:dyDescent="0.25">
      <c r="A6334" s="140" t="s">
        <v>29</v>
      </c>
      <c r="B6334" s="136">
        <v>44156</v>
      </c>
      <c r="C6334" s="4">
        <v>1254</v>
      </c>
      <c r="D6334" s="29">
        <f t="shared" si="542"/>
        <v>137263</v>
      </c>
      <c r="E6334" s="4">
        <f>12+9</f>
        <v>21</v>
      </c>
      <c r="F6334" s="129">
        <f t="shared" si="541"/>
        <v>2043</v>
      </c>
    </row>
    <row r="6335" spans="1:6" x14ac:dyDescent="0.25">
      <c r="A6335" s="140" t="s">
        <v>45</v>
      </c>
      <c r="B6335" s="136">
        <v>44156</v>
      </c>
      <c r="C6335" s="4">
        <v>201</v>
      </c>
      <c r="D6335" s="29">
        <f t="shared" si="542"/>
        <v>14364</v>
      </c>
      <c r="F6335" s="129">
        <f t="shared" si="541"/>
        <v>173</v>
      </c>
    </row>
    <row r="6336" spans="1:6" x14ac:dyDescent="0.25">
      <c r="A6336" s="140" t="s">
        <v>46</v>
      </c>
      <c r="B6336" s="136">
        <v>44156</v>
      </c>
      <c r="C6336" s="4">
        <v>221</v>
      </c>
      <c r="D6336" s="29">
        <f t="shared" si="542"/>
        <v>15186</v>
      </c>
      <c r="E6336" s="4">
        <f>2</f>
        <v>2</v>
      </c>
      <c r="F6336" s="129">
        <f t="shared" si="541"/>
        <v>219</v>
      </c>
    </row>
    <row r="6337" spans="1:6" ht="15.75" thickBot="1" x14ac:dyDescent="0.3">
      <c r="A6337" s="141" t="s">
        <v>47</v>
      </c>
      <c r="B6337" s="136">
        <v>44156</v>
      </c>
      <c r="C6337" s="4">
        <v>257</v>
      </c>
      <c r="D6337" s="132">
        <f>C6337+D6313</f>
        <v>63136</v>
      </c>
      <c r="E6337" s="4">
        <v>2</v>
      </c>
      <c r="F6337" s="130">
        <f t="shared" si="541"/>
        <v>1058</v>
      </c>
    </row>
    <row r="6338" spans="1:6" x14ac:dyDescent="0.25">
      <c r="A6338" s="64" t="s">
        <v>22</v>
      </c>
      <c r="B6338" s="136">
        <v>44157</v>
      </c>
      <c r="C6338" s="4">
        <v>998</v>
      </c>
      <c r="D6338" s="131">
        <f t="shared" ref="D6338:D6401" si="543">C6338+D6314</f>
        <v>605014</v>
      </c>
      <c r="E6338" s="4">
        <f>17+16</f>
        <v>33</v>
      </c>
      <c r="F6338" s="128">
        <f t="shared" si="541"/>
        <v>19990</v>
      </c>
    </row>
    <row r="6339" spans="1:6" x14ac:dyDescent="0.25">
      <c r="A6339" s="140" t="s">
        <v>20</v>
      </c>
      <c r="B6339" s="136">
        <v>44157</v>
      </c>
      <c r="C6339" s="4">
        <v>195</v>
      </c>
      <c r="D6339" s="29">
        <f t="shared" si="543"/>
        <v>156414</v>
      </c>
      <c r="E6339" s="4">
        <f>3+1</f>
        <v>4</v>
      </c>
      <c r="F6339" s="129">
        <f t="shared" si="541"/>
        <v>5139</v>
      </c>
    </row>
    <row r="6340" spans="1:6" x14ac:dyDescent="0.25">
      <c r="A6340" s="140" t="s">
        <v>35</v>
      </c>
      <c r="B6340" s="136">
        <v>44157</v>
      </c>
      <c r="C6340" s="4">
        <v>37</v>
      </c>
      <c r="D6340" s="29">
        <f t="shared" si="543"/>
        <v>1708</v>
      </c>
      <c r="F6340" s="129">
        <f t="shared" si="541"/>
        <v>13</v>
      </c>
    </row>
    <row r="6341" spans="1:6" x14ac:dyDescent="0.25">
      <c r="A6341" s="140" t="s">
        <v>21</v>
      </c>
      <c r="B6341" s="136">
        <v>44157</v>
      </c>
      <c r="C6341" s="4">
        <v>119</v>
      </c>
      <c r="D6341" s="29">
        <f t="shared" si="543"/>
        <v>17778</v>
      </c>
      <c r="E6341" s="4">
        <f>1+1</f>
        <v>2</v>
      </c>
      <c r="F6341" s="129">
        <f t="shared" si="541"/>
        <v>527</v>
      </c>
    </row>
    <row r="6342" spans="1:6" x14ac:dyDescent="0.25">
      <c r="A6342" s="140" t="s">
        <v>36</v>
      </c>
      <c r="B6342" s="136">
        <v>44157</v>
      </c>
      <c r="C6342" s="4">
        <v>146</v>
      </c>
      <c r="D6342" s="29">
        <f t="shared" si="543"/>
        <v>21167</v>
      </c>
      <c r="F6342" s="129">
        <f t="shared" si="541"/>
        <v>357</v>
      </c>
    </row>
    <row r="6343" spans="1:6" x14ac:dyDescent="0.25">
      <c r="A6343" s="140" t="s">
        <v>27</v>
      </c>
      <c r="B6343" s="136">
        <v>44157</v>
      </c>
      <c r="C6343" s="4">
        <v>452</v>
      </c>
      <c r="D6343" s="29">
        <f t="shared" si="543"/>
        <v>109226</v>
      </c>
      <c r="E6343" s="4">
        <f>3+2</f>
        <v>5</v>
      </c>
      <c r="F6343" s="129">
        <f t="shared" si="541"/>
        <v>1776</v>
      </c>
    </row>
    <row r="6344" spans="1:6" x14ac:dyDescent="0.25">
      <c r="A6344" s="140" t="s">
        <v>37</v>
      </c>
      <c r="B6344" s="136">
        <v>44157</v>
      </c>
      <c r="C6344" s="4">
        <v>27</v>
      </c>
      <c r="D6344" s="29">
        <f t="shared" si="543"/>
        <v>4796</v>
      </c>
      <c r="F6344" s="129">
        <f t="shared" si="541"/>
        <v>86</v>
      </c>
    </row>
    <row r="6345" spans="1:6" x14ac:dyDescent="0.25">
      <c r="A6345" s="140" t="s">
        <v>38</v>
      </c>
      <c r="B6345" s="136">
        <v>44157</v>
      </c>
      <c r="C6345" s="4">
        <v>159</v>
      </c>
      <c r="D6345" s="29">
        <f t="shared" si="543"/>
        <v>21877</v>
      </c>
      <c r="E6345" s="4">
        <f>2</f>
        <v>2</v>
      </c>
      <c r="F6345" s="129">
        <f t="shared" si="541"/>
        <v>418</v>
      </c>
    </row>
    <row r="6346" spans="1:6" x14ac:dyDescent="0.25">
      <c r="A6346" s="140" t="s">
        <v>48</v>
      </c>
      <c r="B6346" s="136">
        <v>44157</v>
      </c>
      <c r="C6346" s="4">
        <v>1</v>
      </c>
      <c r="D6346" s="29">
        <f t="shared" si="543"/>
        <v>180</v>
      </c>
      <c r="F6346" s="129">
        <f t="shared" si="541"/>
        <v>3</v>
      </c>
    </row>
    <row r="6347" spans="1:6" x14ac:dyDescent="0.25">
      <c r="A6347" s="140" t="s">
        <v>39</v>
      </c>
      <c r="B6347" s="136">
        <v>44157</v>
      </c>
      <c r="C6347" s="4">
        <v>9</v>
      </c>
      <c r="D6347" s="29">
        <f t="shared" si="543"/>
        <v>18294</v>
      </c>
      <c r="F6347" s="129">
        <f t="shared" si="541"/>
        <v>842</v>
      </c>
    </row>
    <row r="6348" spans="1:6" x14ac:dyDescent="0.25">
      <c r="A6348" s="140" t="s">
        <v>40</v>
      </c>
      <c r="B6348" s="136">
        <v>44157</v>
      </c>
      <c r="C6348" s="4">
        <v>82</v>
      </c>
      <c r="D6348" s="29">
        <f t="shared" si="543"/>
        <v>5199</v>
      </c>
      <c r="F6348" s="129">
        <f t="shared" si="541"/>
        <v>70</v>
      </c>
    </row>
    <row r="6349" spans="1:6" x14ac:dyDescent="0.25">
      <c r="A6349" s="140" t="s">
        <v>28</v>
      </c>
      <c r="B6349" s="136">
        <v>44157</v>
      </c>
      <c r="C6349" s="4">
        <v>28</v>
      </c>
      <c r="D6349" s="29">
        <f t="shared" si="543"/>
        <v>8511</v>
      </c>
      <c r="E6349" s="4">
        <f>1</f>
        <v>1</v>
      </c>
      <c r="F6349" s="129">
        <f t="shared" si="541"/>
        <v>310</v>
      </c>
    </row>
    <row r="6350" spans="1:6" x14ac:dyDescent="0.25">
      <c r="A6350" s="140" t="s">
        <v>24</v>
      </c>
      <c r="B6350" s="136">
        <v>44157</v>
      </c>
      <c r="C6350" s="4">
        <v>152</v>
      </c>
      <c r="D6350" s="29">
        <f t="shared" si="543"/>
        <v>55189</v>
      </c>
      <c r="E6350" s="4">
        <f>2</f>
        <v>2</v>
      </c>
      <c r="F6350" s="129">
        <f t="shared" si="541"/>
        <v>1068</v>
      </c>
    </row>
    <row r="6351" spans="1:6" x14ac:dyDescent="0.25">
      <c r="A6351" s="140" t="s">
        <v>30</v>
      </c>
      <c r="B6351" s="136">
        <v>44157</v>
      </c>
      <c r="C6351" s="4">
        <v>1</v>
      </c>
      <c r="D6351" s="29">
        <f t="shared" si="543"/>
        <v>436</v>
      </c>
      <c r="F6351" s="129">
        <f t="shared" si="541"/>
        <v>8</v>
      </c>
    </row>
    <row r="6352" spans="1:6" x14ac:dyDescent="0.25">
      <c r="A6352" s="140" t="s">
        <v>26</v>
      </c>
      <c r="B6352" s="136">
        <v>44157</v>
      </c>
      <c r="C6352" s="4">
        <v>169</v>
      </c>
      <c r="D6352" s="29">
        <f t="shared" si="543"/>
        <v>29663</v>
      </c>
      <c r="E6352" s="4">
        <f>9+8</f>
        <v>17</v>
      </c>
      <c r="F6352" s="129">
        <f t="shared" si="541"/>
        <v>591</v>
      </c>
    </row>
    <row r="6353" spans="1:6" x14ac:dyDescent="0.25">
      <c r="A6353" s="140" t="s">
        <v>25</v>
      </c>
      <c r="B6353" s="136">
        <v>44157</v>
      </c>
      <c r="C6353" s="4">
        <v>141</v>
      </c>
      <c r="D6353" s="29">
        <f t="shared" si="543"/>
        <v>30056</v>
      </c>
      <c r="F6353" s="129">
        <f t="shared" si="541"/>
        <v>751</v>
      </c>
    </row>
    <row r="6354" spans="1:6" x14ac:dyDescent="0.25">
      <c r="A6354" s="140" t="s">
        <v>41</v>
      </c>
      <c r="B6354" s="136">
        <v>44157</v>
      </c>
      <c r="C6354" s="4">
        <v>28</v>
      </c>
      <c r="D6354" s="29">
        <f t="shared" si="543"/>
        <v>20754</v>
      </c>
      <c r="E6354" s="4">
        <f>1</f>
        <v>1</v>
      </c>
      <c r="F6354" s="129">
        <f t="shared" si="541"/>
        <v>963</v>
      </c>
    </row>
    <row r="6355" spans="1:6" x14ac:dyDescent="0.25">
      <c r="A6355" s="140" t="s">
        <v>42</v>
      </c>
      <c r="B6355" s="136">
        <v>44157</v>
      </c>
      <c r="C6355" s="4">
        <v>62</v>
      </c>
      <c r="D6355" s="29">
        <f t="shared" si="543"/>
        <v>5730</v>
      </c>
      <c r="F6355" s="129">
        <f t="shared" si="541"/>
        <v>143</v>
      </c>
    </row>
    <row r="6356" spans="1:6" x14ac:dyDescent="0.25">
      <c r="A6356" s="140" t="s">
        <v>43</v>
      </c>
      <c r="B6356" s="136">
        <v>44157</v>
      </c>
      <c r="C6356" s="4">
        <v>126</v>
      </c>
      <c r="D6356" s="29">
        <f t="shared" si="543"/>
        <v>13163</v>
      </c>
      <c r="E6356" s="4">
        <v>1</v>
      </c>
      <c r="F6356" s="129">
        <f t="shared" si="541"/>
        <v>179</v>
      </c>
    </row>
    <row r="6357" spans="1:6" x14ac:dyDescent="0.25">
      <c r="A6357" s="140" t="s">
        <v>44</v>
      </c>
      <c r="B6357" s="136">
        <v>44157</v>
      </c>
      <c r="C6357" s="4">
        <v>189</v>
      </c>
      <c r="D6357" s="29">
        <f t="shared" si="543"/>
        <v>14199</v>
      </c>
      <c r="F6357" s="129">
        <f t="shared" si="541"/>
        <v>232</v>
      </c>
    </row>
    <row r="6358" spans="1:6" x14ac:dyDescent="0.25">
      <c r="A6358" s="140" t="s">
        <v>29</v>
      </c>
      <c r="B6358" s="136">
        <v>44157</v>
      </c>
      <c r="C6358" s="4">
        <v>634</v>
      </c>
      <c r="D6358" s="29">
        <f t="shared" si="543"/>
        <v>137897</v>
      </c>
      <c r="E6358" s="4">
        <f>19+12</f>
        <v>31</v>
      </c>
      <c r="F6358" s="129">
        <f t="shared" si="541"/>
        <v>2074</v>
      </c>
    </row>
    <row r="6359" spans="1:6" x14ac:dyDescent="0.25">
      <c r="A6359" s="140" t="s">
        <v>45</v>
      </c>
      <c r="B6359" s="136">
        <v>44157</v>
      </c>
      <c r="C6359" s="4">
        <v>194</v>
      </c>
      <c r="D6359" s="29">
        <f t="shared" si="543"/>
        <v>14558</v>
      </c>
      <c r="F6359" s="129">
        <f t="shared" si="541"/>
        <v>173</v>
      </c>
    </row>
    <row r="6360" spans="1:6" x14ac:dyDescent="0.25">
      <c r="A6360" s="140" t="s">
        <v>46</v>
      </c>
      <c r="B6360" s="136">
        <v>44157</v>
      </c>
      <c r="C6360" s="4">
        <v>77</v>
      </c>
      <c r="D6360" s="29">
        <f t="shared" si="543"/>
        <v>15263</v>
      </c>
      <c r="E6360" s="4">
        <v>1</v>
      </c>
      <c r="F6360" s="129">
        <f t="shared" si="541"/>
        <v>220</v>
      </c>
    </row>
    <row r="6361" spans="1:6" ht="15.75" thickBot="1" x14ac:dyDescent="0.3">
      <c r="A6361" s="141" t="s">
        <v>47</v>
      </c>
      <c r="B6361" s="136">
        <v>44157</v>
      </c>
      <c r="C6361" s="4">
        <v>158</v>
      </c>
      <c r="D6361" s="132">
        <f>C6361+D6337</f>
        <v>63294</v>
      </c>
      <c r="F6361" s="130">
        <f t="shared" si="541"/>
        <v>1058</v>
      </c>
    </row>
    <row r="6362" spans="1:6" x14ac:dyDescent="0.25">
      <c r="A6362" s="64" t="s">
        <v>22</v>
      </c>
      <c r="B6362" s="136">
        <v>44158</v>
      </c>
      <c r="C6362" s="4">
        <v>954</v>
      </c>
      <c r="D6362" s="131">
        <f t="shared" si="543"/>
        <v>605968</v>
      </c>
      <c r="E6362" s="4">
        <f>18+16</f>
        <v>34</v>
      </c>
      <c r="F6362" s="128">
        <f t="shared" si="541"/>
        <v>20024</v>
      </c>
    </row>
    <row r="6363" spans="1:6" x14ac:dyDescent="0.25">
      <c r="A6363" s="140" t="s">
        <v>20</v>
      </c>
      <c r="B6363" s="136">
        <v>44158</v>
      </c>
      <c r="C6363" s="4">
        <v>239</v>
      </c>
      <c r="D6363" s="29">
        <f t="shared" si="543"/>
        <v>156653</v>
      </c>
      <c r="E6363" s="4">
        <f>2+1</f>
        <v>3</v>
      </c>
      <c r="F6363" s="129">
        <f t="shared" si="541"/>
        <v>5142</v>
      </c>
    </row>
    <row r="6364" spans="1:6" x14ac:dyDescent="0.25">
      <c r="A6364" s="140" t="s">
        <v>35</v>
      </c>
      <c r="B6364" s="136">
        <v>44158</v>
      </c>
      <c r="C6364" s="4">
        <v>4</v>
      </c>
      <c r="D6364" s="29">
        <f t="shared" si="543"/>
        <v>1712</v>
      </c>
      <c r="F6364" s="129">
        <f t="shared" si="541"/>
        <v>13</v>
      </c>
    </row>
    <row r="6365" spans="1:6" x14ac:dyDescent="0.25">
      <c r="A6365" s="140" t="s">
        <v>21</v>
      </c>
      <c r="B6365" s="136">
        <v>44158</v>
      </c>
      <c r="C6365" s="4">
        <v>127</v>
      </c>
      <c r="D6365" s="29">
        <f t="shared" si="543"/>
        <v>17905</v>
      </c>
      <c r="E6365" s="4">
        <f>1</f>
        <v>1</v>
      </c>
      <c r="F6365" s="129">
        <f t="shared" si="541"/>
        <v>528</v>
      </c>
    </row>
    <row r="6366" spans="1:6" x14ac:dyDescent="0.25">
      <c r="A6366" s="140" t="s">
        <v>36</v>
      </c>
      <c r="B6366" s="136">
        <v>44158</v>
      </c>
      <c r="C6366" s="4">
        <v>104</v>
      </c>
      <c r="D6366" s="29">
        <f t="shared" si="543"/>
        <v>21271</v>
      </c>
      <c r="E6366" s="4">
        <f>1+1</f>
        <v>2</v>
      </c>
      <c r="F6366" s="129">
        <f t="shared" si="541"/>
        <v>359</v>
      </c>
    </row>
    <row r="6367" spans="1:6" x14ac:dyDescent="0.25">
      <c r="A6367" s="140" t="s">
        <v>27</v>
      </c>
      <c r="B6367" s="136">
        <v>44158</v>
      </c>
      <c r="C6367" s="4">
        <v>365</v>
      </c>
      <c r="D6367" s="29">
        <f t="shared" si="543"/>
        <v>109591</v>
      </c>
      <c r="E6367" s="4">
        <f>9+4</f>
        <v>13</v>
      </c>
      <c r="F6367" s="129">
        <f t="shared" si="541"/>
        <v>1789</v>
      </c>
    </row>
    <row r="6368" spans="1:6" x14ac:dyDescent="0.25">
      <c r="A6368" s="140" t="s">
        <v>37</v>
      </c>
      <c r="B6368" s="136">
        <v>44158</v>
      </c>
      <c r="C6368" s="4">
        <v>121</v>
      </c>
      <c r="D6368" s="29">
        <f t="shared" si="543"/>
        <v>4917</v>
      </c>
      <c r="F6368" s="129">
        <f t="shared" si="541"/>
        <v>86</v>
      </c>
    </row>
    <row r="6369" spans="1:6" x14ac:dyDescent="0.25">
      <c r="A6369" s="140" t="s">
        <v>38</v>
      </c>
      <c r="B6369" s="136">
        <v>44158</v>
      </c>
      <c r="C6369" s="4">
        <v>22</v>
      </c>
      <c r="D6369" s="29">
        <f t="shared" si="543"/>
        <v>21899</v>
      </c>
      <c r="E6369" s="4">
        <f>2</f>
        <v>2</v>
      </c>
      <c r="F6369" s="129">
        <f t="shared" si="541"/>
        <v>420</v>
      </c>
    </row>
    <row r="6370" spans="1:6" x14ac:dyDescent="0.25">
      <c r="A6370" s="140" t="s">
        <v>48</v>
      </c>
      <c r="B6370" s="136">
        <v>44158</v>
      </c>
      <c r="C6370" s="4">
        <v>9</v>
      </c>
      <c r="D6370" s="29">
        <f t="shared" si="543"/>
        <v>189</v>
      </c>
      <c r="F6370" s="129">
        <f t="shared" si="541"/>
        <v>3</v>
      </c>
    </row>
    <row r="6371" spans="1:6" x14ac:dyDescent="0.25">
      <c r="A6371" s="140" t="s">
        <v>39</v>
      </c>
      <c r="B6371" s="136">
        <v>44158</v>
      </c>
      <c r="C6371" s="4">
        <v>3</v>
      </c>
      <c r="D6371" s="29">
        <f t="shared" si="543"/>
        <v>18297</v>
      </c>
      <c r="E6371" s="4">
        <f>2+1</f>
        <v>3</v>
      </c>
      <c r="F6371" s="129">
        <f t="shared" si="541"/>
        <v>845</v>
      </c>
    </row>
    <row r="6372" spans="1:6" x14ac:dyDescent="0.25">
      <c r="A6372" s="140" t="s">
        <v>40</v>
      </c>
      <c r="B6372" s="136">
        <v>44158</v>
      </c>
      <c r="C6372" s="4">
        <v>38</v>
      </c>
      <c r="D6372" s="29">
        <f t="shared" si="543"/>
        <v>5237</v>
      </c>
      <c r="E6372" s="4">
        <f>2</f>
        <v>2</v>
      </c>
      <c r="F6372" s="129">
        <f t="shared" si="541"/>
        <v>72</v>
      </c>
    </row>
    <row r="6373" spans="1:6" x14ac:dyDescent="0.25">
      <c r="A6373" s="140" t="s">
        <v>28</v>
      </c>
      <c r="B6373" s="136">
        <v>44158</v>
      </c>
      <c r="C6373" s="4">
        <v>43</v>
      </c>
      <c r="D6373" s="29">
        <f t="shared" si="543"/>
        <v>8554</v>
      </c>
      <c r="F6373" s="129">
        <f t="shared" si="541"/>
        <v>310</v>
      </c>
    </row>
    <row r="6374" spans="1:6" x14ac:dyDescent="0.25">
      <c r="A6374" s="140" t="s">
        <v>24</v>
      </c>
      <c r="B6374" s="136">
        <v>44158</v>
      </c>
      <c r="C6374" s="4">
        <v>113</v>
      </c>
      <c r="D6374" s="29">
        <f t="shared" si="543"/>
        <v>55302</v>
      </c>
      <c r="E6374" s="4">
        <f>4+1</f>
        <v>5</v>
      </c>
      <c r="F6374" s="129">
        <f t="shared" si="541"/>
        <v>1073</v>
      </c>
    </row>
    <row r="6375" spans="1:6" x14ac:dyDescent="0.25">
      <c r="A6375" s="140" t="s">
        <v>30</v>
      </c>
      <c r="B6375" s="136">
        <v>44158</v>
      </c>
      <c r="C6375" s="4">
        <v>12</v>
      </c>
      <c r="D6375" s="29">
        <f t="shared" si="543"/>
        <v>448</v>
      </c>
      <c r="F6375" s="129">
        <f t="shared" si="541"/>
        <v>8</v>
      </c>
    </row>
    <row r="6376" spans="1:6" x14ac:dyDescent="0.25">
      <c r="A6376" s="140" t="s">
        <v>26</v>
      </c>
      <c r="B6376" s="136">
        <v>44158</v>
      </c>
      <c r="C6376" s="4">
        <v>356</v>
      </c>
      <c r="D6376" s="29">
        <f t="shared" si="543"/>
        <v>30019</v>
      </c>
      <c r="E6376" s="4">
        <f>1+1</f>
        <v>2</v>
      </c>
      <c r="F6376" s="129">
        <f t="shared" si="541"/>
        <v>593</v>
      </c>
    </row>
    <row r="6377" spans="1:6" x14ac:dyDescent="0.25">
      <c r="A6377" s="140" t="s">
        <v>25</v>
      </c>
      <c r="B6377" s="136">
        <v>44158</v>
      </c>
      <c r="C6377" s="4">
        <v>92</v>
      </c>
      <c r="D6377" s="29">
        <f t="shared" si="543"/>
        <v>30148</v>
      </c>
      <c r="E6377" s="4">
        <f>2+1</f>
        <v>3</v>
      </c>
      <c r="F6377" s="129">
        <f t="shared" si="541"/>
        <v>754</v>
      </c>
    </row>
    <row r="6378" spans="1:6" x14ac:dyDescent="0.25">
      <c r="A6378" s="140" t="s">
        <v>41</v>
      </c>
      <c r="B6378" s="136">
        <v>44158</v>
      </c>
      <c r="C6378" s="4">
        <v>17</v>
      </c>
      <c r="D6378" s="29">
        <f t="shared" si="543"/>
        <v>20771</v>
      </c>
      <c r="F6378" s="129">
        <f t="shared" si="541"/>
        <v>963</v>
      </c>
    </row>
    <row r="6379" spans="1:6" x14ac:dyDescent="0.25">
      <c r="A6379" s="140" t="s">
        <v>42</v>
      </c>
      <c r="B6379" s="136">
        <v>44158</v>
      </c>
      <c r="C6379" s="4">
        <v>48</v>
      </c>
      <c r="D6379" s="29">
        <f t="shared" si="543"/>
        <v>5778</v>
      </c>
      <c r="F6379" s="129">
        <f t="shared" ref="F6379:F6442" si="544">E6379+F6355</f>
        <v>143</v>
      </c>
    </row>
    <row r="6380" spans="1:6" x14ac:dyDescent="0.25">
      <c r="A6380" s="140" t="s">
        <v>43</v>
      </c>
      <c r="B6380" s="136">
        <v>44158</v>
      </c>
      <c r="C6380" s="4">
        <v>46</v>
      </c>
      <c r="D6380" s="29">
        <f t="shared" si="543"/>
        <v>13209</v>
      </c>
      <c r="E6380" s="4">
        <f>2</f>
        <v>2</v>
      </c>
      <c r="F6380" s="129">
        <f t="shared" si="544"/>
        <v>181</v>
      </c>
    </row>
    <row r="6381" spans="1:6" x14ac:dyDescent="0.25">
      <c r="A6381" s="140" t="s">
        <v>44</v>
      </c>
      <c r="B6381" s="136">
        <v>44158</v>
      </c>
      <c r="C6381" s="4">
        <v>110</v>
      </c>
      <c r="D6381" s="29">
        <f t="shared" si="543"/>
        <v>14309</v>
      </c>
      <c r="E6381" s="4">
        <f>6+1</f>
        <v>7</v>
      </c>
      <c r="F6381" s="129">
        <f t="shared" si="544"/>
        <v>239</v>
      </c>
    </row>
    <row r="6382" spans="1:6" x14ac:dyDescent="0.25">
      <c r="A6382" s="140" t="s">
        <v>29</v>
      </c>
      <c r="B6382" s="136">
        <v>44158</v>
      </c>
      <c r="C6382" s="4">
        <v>1021</v>
      </c>
      <c r="D6382" s="29">
        <f t="shared" si="543"/>
        <v>138918</v>
      </c>
      <c r="E6382" s="4">
        <v>23</v>
      </c>
      <c r="F6382" s="129">
        <f t="shared" si="544"/>
        <v>2097</v>
      </c>
    </row>
    <row r="6383" spans="1:6" x14ac:dyDescent="0.25">
      <c r="A6383" s="140" t="s">
        <v>45</v>
      </c>
      <c r="B6383" s="136">
        <v>44158</v>
      </c>
      <c r="C6383" s="4">
        <v>81</v>
      </c>
      <c r="D6383" s="29">
        <f t="shared" si="543"/>
        <v>14639</v>
      </c>
      <c r="E6383" s="4">
        <f>1+1</f>
        <v>2</v>
      </c>
      <c r="F6383" s="129">
        <f t="shared" si="544"/>
        <v>175</v>
      </c>
    </row>
    <row r="6384" spans="1:6" x14ac:dyDescent="0.25">
      <c r="A6384" s="140" t="s">
        <v>46</v>
      </c>
      <c r="B6384" s="136">
        <v>44158</v>
      </c>
      <c r="C6384" s="4">
        <v>152</v>
      </c>
      <c r="D6384" s="29">
        <f t="shared" si="543"/>
        <v>15415</v>
      </c>
      <c r="F6384" s="129">
        <f t="shared" si="544"/>
        <v>220</v>
      </c>
    </row>
    <row r="6385" spans="1:6" ht="15.75" thickBot="1" x14ac:dyDescent="0.3">
      <c r="A6385" s="141" t="s">
        <v>47</v>
      </c>
      <c r="B6385" s="136">
        <v>44158</v>
      </c>
      <c r="C6385" s="4">
        <v>188</v>
      </c>
      <c r="D6385" s="132">
        <f>C6385+D6361</f>
        <v>63482</v>
      </c>
      <c r="E6385" s="4">
        <f>7+8</f>
        <v>15</v>
      </c>
      <c r="F6385" s="130">
        <f t="shared" si="544"/>
        <v>1073</v>
      </c>
    </row>
    <row r="6386" spans="1:6" x14ac:dyDescent="0.25">
      <c r="A6386" s="64" t="s">
        <v>22</v>
      </c>
      <c r="B6386" s="136">
        <v>44159</v>
      </c>
      <c r="C6386" s="4">
        <v>1929</v>
      </c>
      <c r="D6386" s="131">
        <f t="shared" si="543"/>
        <v>607897</v>
      </c>
      <c r="E6386" s="4">
        <f>76+76</f>
        <v>152</v>
      </c>
      <c r="F6386" s="128">
        <f t="shared" si="544"/>
        <v>20176</v>
      </c>
    </row>
    <row r="6387" spans="1:6" x14ac:dyDescent="0.25">
      <c r="A6387" s="140" t="s">
        <v>20</v>
      </c>
      <c r="B6387" s="136">
        <v>44159</v>
      </c>
      <c r="C6387" s="4">
        <v>250</v>
      </c>
      <c r="D6387" s="29">
        <f t="shared" si="543"/>
        <v>156903</v>
      </c>
      <c r="E6387" s="4">
        <f>4+8</f>
        <v>12</v>
      </c>
      <c r="F6387" s="129">
        <f t="shared" si="544"/>
        <v>5154</v>
      </c>
    </row>
    <row r="6388" spans="1:6" x14ac:dyDescent="0.25">
      <c r="A6388" s="140" t="s">
        <v>35</v>
      </c>
      <c r="B6388" s="136">
        <v>44159</v>
      </c>
      <c r="C6388" s="4">
        <v>13</v>
      </c>
      <c r="D6388" s="29">
        <f t="shared" si="543"/>
        <v>1725</v>
      </c>
      <c r="F6388" s="129">
        <f t="shared" si="544"/>
        <v>13</v>
      </c>
    </row>
    <row r="6389" spans="1:6" x14ac:dyDescent="0.25">
      <c r="A6389" s="140" t="s">
        <v>21</v>
      </c>
      <c r="B6389" s="136">
        <v>44159</v>
      </c>
      <c r="C6389" s="4">
        <v>177</v>
      </c>
      <c r="D6389" s="29">
        <f t="shared" si="543"/>
        <v>18082</v>
      </c>
      <c r="E6389" s="4">
        <f>4+1</f>
        <v>5</v>
      </c>
      <c r="F6389" s="129">
        <f t="shared" si="544"/>
        <v>533</v>
      </c>
    </row>
    <row r="6390" spans="1:6" x14ac:dyDescent="0.25">
      <c r="A6390" s="140" t="s">
        <v>36</v>
      </c>
      <c r="B6390" s="136">
        <v>44159</v>
      </c>
      <c r="C6390" s="4">
        <v>227</v>
      </c>
      <c r="D6390" s="29">
        <f t="shared" si="543"/>
        <v>21498</v>
      </c>
      <c r="E6390" s="4">
        <f>1+1</f>
        <v>2</v>
      </c>
      <c r="F6390" s="129">
        <f t="shared" si="544"/>
        <v>361</v>
      </c>
    </row>
    <row r="6391" spans="1:6" x14ac:dyDescent="0.25">
      <c r="A6391" s="140" t="s">
        <v>27</v>
      </c>
      <c r="B6391" s="136">
        <v>44159</v>
      </c>
      <c r="C6391" s="4">
        <v>471</v>
      </c>
      <c r="D6391" s="29">
        <f t="shared" si="543"/>
        <v>110062</v>
      </c>
      <c r="E6391" s="4">
        <f>22+11</f>
        <v>33</v>
      </c>
      <c r="F6391" s="129">
        <f t="shared" si="544"/>
        <v>1822</v>
      </c>
    </row>
    <row r="6392" spans="1:6" x14ac:dyDescent="0.25">
      <c r="A6392" s="140" t="s">
        <v>37</v>
      </c>
      <c r="B6392" s="136">
        <v>44159</v>
      </c>
      <c r="C6392" s="4">
        <v>92</v>
      </c>
      <c r="D6392" s="29">
        <f t="shared" si="543"/>
        <v>5009</v>
      </c>
      <c r="F6392" s="129">
        <f t="shared" si="544"/>
        <v>86</v>
      </c>
    </row>
    <row r="6393" spans="1:6" x14ac:dyDescent="0.25">
      <c r="A6393" s="140" t="s">
        <v>38</v>
      </c>
      <c r="B6393" s="136">
        <v>44159</v>
      </c>
      <c r="C6393" s="4">
        <v>177</v>
      </c>
      <c r="D6393" s="29">
        <f t="shared" si="543"/>
        <v>22076</v>
      </c>
      <c r="E6393" s="4">
        <f>8+6</f>
        <v>14</v>
      </c>
      <c r="F6393" s="129">
        <f t="shared" si="544"/>
        <v>434</v>
      </c>
    </row>
    <row r="6394" spans="1:6" x14ac:dyDescent="0.25">
      <c r="A6394" s="140" t="s">
        <v>48</v>
      </c>
      <c r="B6394" s="136">
        <v>44159</v>
      </c>
      <c r="C6394" s="4">
        <v>2</v>
      </c>
      <c r="D6394" s="29">
        <f t="shared" si="543"/>
        <v>191</v>
      </c>
      <c r="F6394" s="129">
        <f t="shared" si="544"/>
        <v>3</v>
      </c>
    </row>
    <row r="6395" spans="1:6" x14ac:dyDescent="0.25">
      <c r="A6395" s="140" t="s">
        <v>39</v>
      </c>
      <c r="B6395" s="136">
        <v>44159</v>
      </c>
      <c r="C6395" s="4">
        <v>20</v>
      </c>
      <c r="D6395" s="29">
        <f t="shared" si="543"/>
        <v>18317</v>
      </c>
      <c r="F6395" s="129">
        <f t="shared" si="544"/>
        <v>845</v>
      </c>
    </row>
    <row r="6396" spans="1:6" x14ac:dyDescent="0.25">
      <c r="A6396" s="140" t="s">
        <v>40</v>
      </c>
      <c r="B6396" s="136">
        <v>44159</v>
      </c>
      <c r="C6396" s="4">
        <v>61</v>
      </c>
      <c r="D6396" s="29">
        <f t="shared" si="543"/>
        <v>5298</v>
      </c>
      <c r="E6396" s="4">
        <f>1</f>
        <v>1</v>
      </c>
      <c r="F6396" s="129">
        <f t="shared" si="544"/>
        <v>73</v>
      </c>
    </row>
    <row r="6397" spans="1:6" x14ac:dyDescent="0.25">
      <c r="A6397" s="140" t="s">
        <v>28</v>
      </c>
      <c r="B6397" s="136">
        <v>44159</v>
      </c>
      <c r="C6397" s="4">
        <v>16</v>
      </c>
      <c r="D6397" s="29">
        <f t="shared" si="543"/>
        <v>8570</v>
      </c>
      <c r="F6397" s="129">
        <f t="shared" si="544"/>
        <v>310</v>
      </c>
    </row>
    <row r="6398" spans="1:6" x14ac:dyDescent="0.25">
      <c r="A6398" s="140" t="s">
        <v>24</v>
      </c>
      <c r="B6398" s="136">
        <v>44159</v>
      </c>
      <c r="C6398" s="4">
        <v>198</v>
      </c>
      <c r="D6398" s="29">
        <f t="shared" si="543"/>
        <v>55500</v>
      </c>
      <c r="E6398" s="4">
        <f>1+2</f>
        <v>3</v>
      </c>
      <c r="F6398" s="129">
        <f t="shared" si="544"/>
        <v>1076</v>
      </c>
    </row>
    <row r="6399" spans="1:6" x14ac:dyDescent="0.25">
      <c r="A6399" s="140" t="s">
        <v>30</v>
      </c>
      <c r="B6399" s="136">
        <v>44159</v>
      </c>
      <c r="C6399" s="4">
        <v>10</v>
      </c>
      <c r="D6399" s="29">
        <f t="shared" si="543"/>
        <v>458</v>
      </c>
      <c r="F6399" s="129">
        <f t="shared" si="544"/>
        <v>8</v>
      </c>
    </row>
    <row r="6400" spans="1:6" x14ac:dyDescent="0.25">
      <c r="A6400" s="140" t="s">
        <v>26</v>
      </c>
      <c r="B6400" s="136">
        <v>44159</v>
      </c>
      <c r="C6400" s="4">
        <v>485</v>
      </c>
      <c r="D6400" s="29">
        <f t="shared" si="543"/>
        <v>30504</v>
      </c>
      <c r="F6400" s="129">
        <f t="shared" si="544"/>
        <v>593</v>
      </c>
    </row>
    <row r="6401" spans="1:6" x14ac:dyDescent="0.25">
      <c r="A6401" s="140" t="s">
        <v>25</v>
      </c>
      <c r="B6401" s="136">
        <v>44159</v>
      </c>
      <c r="C6401" s="4">
        <v>234</v>
      </c>
      <c r="D6401" s="29">
        <f t="shared" si="543"/>
        <v>30382</v>
      </c>
      <c r="E6401" s="4">
        <f>1</f>
        <v>1</v>
      </c>
      <c r="F6401" s="129">
        <f t="shared" si="544"/>
        <v>755</v>
      </c>
    </row>
    <row r="6402" spans="1:6" x14ac:dyDescent="0.25">
      <c r="A6402" s="140" t="s">
        <v>41</v>
      </c>
      <c r="B6402" s="136">
        <v>44159</v>
      </c>
      <c r="C6402" s="4">
        <v>97</v>
      </c>
      <c r="D6402" s="29">
        <f t="shared" ref="D6402:D6408" si="545">C6402+D6378</f>
        <v>20868</v>
      </c>
      <c r="E6402" s="4">
        <f>6+4</f>
        <v>10</v>
      </c>
      <c r="F6402" s="129">
        <f t="shared" si="544"/>
        <v>973</v>
      </c>
    </row>
    <row r="6403" spans="1:6" x14ac:dyDescent="0.25">
      <c r="A6403" s="140" t="s">
        <v>42</v>
      </c>
      <c r="B6403" s="136">
        <v>44159</v>
      </c>
      <c r="C6403" s="4">
        <v>493</v>
      </c>
      <c r="D6403" s="29">
        <f t="shared" si="545"/>
        <v>6271</v>
      </c>
      <c r="F6403" s="129">
        <f t="shared" si="544"/>
        <v>143</v>
      </c>
    </row>
    <row r="6404" spans="1:6" x14ac:dyDescent="0.25">
      <c r="A6404" s="140" t="s">
        <v>43</v>
      </c>
      <c r="B6404" s="136">
        <v>44159</v>
      </c>
      <c r="C6404" s="4">
        <v>178</v>
      </c>
      <c r="D6404" s="29">
        <f t="shared" si="545"/>
        <v>13387</v>
      </c>
      <c r="E6404" s="4">
        <f>6+1</f>
        <v>7</v>
      </c>
      <c r="F6404" s="129">
        <f t="shared" si="544"/>
        <v>188</v>
      </c>
    </row>
    <row r="6405" spans="1:6" x14ac:dyDescent="0.25">
      <c r="A6405" s="140" t="s">
        <v>44</v>
      </c>
      <c r="B6405" s="136">
        <v>44159</v>
      </c>
      <c r="C6405" s="4">
        <v>208</v>
      </c>
      <c r="D6405" s="29">
        <f t="shared" si="545"/>
        <v>14517</v>
      </c>
      <c r="E6405" s="4">
        <f>5+4</f>
        <v>9</v>
      </c>
      <c r="F6405" s="129">
        <f t="shared" si="544"/>
        <v>248</v>
      </c>
    </row>
    <row r="6406" spans="1:6" x14ac:dyDescent="0.25">
      <c r="A6406" s="140" t="s">
        <v>29</v>
      </c>
      <c r="B6406" s="136">
        <v>44159</v>
      </c>
      <c r="C6406" s="4">
        <v>1187</v>
      </c>
      <c r="D6406" s="29">
        <f t="shared" si="545"/>
        <v>140105</v>
      </c>
      <c r="E6406" s="4">
        <f>15+17</f>
        <v>32</v>
      </c>
      <c r="F6406" s="129">
        <f t="shared" si="544"/>
        <v>2129</v>
      </c>
    </row>
    <row r="6407" spans="1:6" x14ac:dyDescent="0.25">
      <c r="A6407" s="140" t="s">
        <v>45</v>
      </c>
      <c r="B6407" s="136">
        <v>44159</v>
      </c>
      <c r="C6407" s="4">
        <v>75</v>
      </c>
      <c r="D6407" s="29">
        <f t="shared" si="545"/>
        <v>14714</v>
      </c>
      <c r="E6407" s="4">
        <f>1+4</f>
        <v>5</v>
      </c>
      <c r="F6407" s="129">
        <f t="shared" si="544"/>
        <v>180</v>
      </c>
    </row>
    <row r="6408" spans="1:6" x14ac:dyDescent="0.25">
      <c r="A6408" s="140" t="s">
        <v>46</v>
      </c>
      <c r="B6408" s="136">
        <v>44159</v>
      </c>
      <c r="C6408" s="4">
        <v>109</v>
      </c>
      <c r="D6408" s="29">
        <f t="shared" si="545"/>
        <v>15524</v>
      </c>
      <c r="E6408" s="4">
        <f>2</f>
        <v>2</v>
      </c>
      <c r="F6408" s="129">
        <f t="shared" si="544"/>
        <v>222</v>
      </c>
    </row>
    <row r="6409" spans="1:6" ht="15.75" thickBot="1" x14ac:dyDescent="0.3">
      <c r="A6409" s="141" t="s">
        <v>47</v>
      </c>
      <c r="B6409" s="136">
        <v>44159</v>
      </c>
      <c r="C6409" s="4">
        <v>455</v>
      </c>
      <c r="D6409" s="132">
        <f>C6409+D6385</f>
        <v>63937</v>
      </c>
      <c r="E6409" s="4">
        <f>16+7</f>
        <v>23</v>
      </c>
      <c r="F6409" s="130">
        <f t="shared" si="544"/>
        <v>1096</v>
      </c>
    </row>
    <row r="6410" spans="1:6" x14ac:dyDescent="0.25">
      <c r="A6410" s="64" t="s">
        <v>22</v>
      </c>
      <c r="B6410" s="136">
        <v>44160</v>
      </c>
      <c r="C6410" s="4">
        <v>2262</v>
      </c>
      <c r="D6410" s="131">
        <f t="shared" ref="D6410:D6473" si="546">C6410+D6386</f>
        <v>610159</v>
      </c>
      <c r="E6410" s="4">
        <v>76</v>
      </c>
      <c r="F6410" s="128">
        <f t="shared" si="544"/>
        <v>20252</v>
      </c>
    </row>
    <row r="6411" spans="1:6" x14ac:dyDescent="0.25">
      <c r="A6411" s="140" t="s">
        <v>20</v>
      </c>
      <c r="B6411" s="136">
        <v>44160</v>
      </c>
      <c r="C6411" s="4">
        <v>324</v>
      </c>
      <c r="D6411" s="29">
        <f t="shared" si="546"/>
        <v>157227</v>
      </c>
      <c r="E6411" s="4">
        <v>11</v>
      </c>
      <c r="F6411" s="129">
        <f t="shared" si="544"/>
        <v>5165</v>
      </c>
    </row>
    <row r="6412" spans="1:6" x14ac:dyDescent="0.25">
      <c r="A6412" s="140" t="s">
        <v>35</v>
      </c>
      <c r="B6412" s="136">
        <v>44160</v>
      </c>
      <c r="C6412" s="4">
        <v>12</v>
      </c>
      <c r="D6412" s="29">
        <f t="shared" si="546"/>
        <v>1737</v>
      </c>
      <c r="F6412" s="129">
        <f t="shared" si="544"/>
        <v>13</v>
      </c>
    </row>
    <row r="6413" spans="1:6" x14ac:dyDescent="0.25">
      <c r="A6413" s="140" t="s">
        <v>21</v>
      </c>
      <c r="B6413" s="136">
        <v>44160</v>
      </c>
      <c r="C6413" s="4">
        <v>166</v>
      </c>
      <c r="D6413" s="29">
        <f t="shared" si="546"/>
        <v>18248</v>
      </c>
      <c r="E6413" s="4">
        <v>1</v>
      </c>
      <c r="F6413" s="129">
        <f t="shared" si="544"/>
        <v>534</v>
      </c>
    </row>
    <row r="6414" spans="1:6" x14ac:dyDescent="0.25">
      <c r="A6414" s="140" t="s">
        <v>36</v>
      </c>
      <c r="B6414" s="136">
        <v>44160</v>
      </c>
      <c r="C6414" s="4">
        <v>259</v>
      </c>
      <c r="D6414" s="29">
        <f t="shared" si="546"/>
        <v>21757</v>
      </c>
      <c r="E6414" s="4">
        <v>1</v>
      </c>
      <c r="F6414" s="129">
        <f t="shared" si="544"/>
        <v>362</v>
      </c>
    </row>
    <row r="6415" spans="1:6" x14ac:dyDescent="0.25">
      <c r="A6415" s="140" t="s">
        <v>27</v>
      </c>
      <c r="B6415" s="136">
        <v>44160</v>
      </c>
      <c r="C6415" s="4">
        <v>881</v>
      </c>
      <c r="D6415" s="29">
        <f t="shared" si="546"/>
        <v>110943</v>
      </c>
      <c r="E6415" s="4">
        <v>36</v>
      </c>
      <c r="F6415" s="129">
        <f t="shared" si="544"/>
        <v>1858</v>
      </c>
    </row>
    <row r="6416" spans="1:6" x14ac:dyDescent="0.25">
      <c r="A6416" s="140" t="s">
        <v>37</v>
      </c>
      <c r="B6416" s="136">
        <v>44160</v>
      </c>
      <c r="C6416" s="4">
        <v>125</v>
      </c>
      <c r="D6416" s="29">
        <f t="shared" si="546"/>
        <v>5134</v>
      </c>
      <c r="F6416" s="129">
        <f t="shared" si="544"/>
        <v>86</v>
      </c>
    </row>
    <row r="6417" spans="1:6" x14ac:dyDescent="0.25">
      <c r="A6417" s="140" t="s">
        <v>38</v>
      </c>
      <c r="B6417" s="136">
        <v>44160</v>
      </c>
      <c r="C6417" s="4">
        <v>191</v>
      </c>
      <c r="D6417" s="29">
        <f t="shared" si="546"/>
        <v>22267</v>
      </c>
      <c r="E6417" s="4">
        <v>18</v>
      </c>
      <c r="F6417" s="129">
        <f t="shared" si="544"/>
        <v>452</v>
      </c>
    </row>
    <row r="6418" spans="1:6" x14ac:dyDescent="0.25">
      <c r="A6418" s="140" t="s">
        <v>48</v>
      </c>
      <c r="B6418" s="136">
        <v>44160</v>
      </c>
      <c r="C6418" s="4">
        <v>-13</v>
      </c>
      <c r="D6418" s="29">
        <f t="shared" si="546"/>
        <v>178</v>
      </c>
      <c r="F6418" s="129">
        <f t="shared" si="544"/>
        <v>3</v>
      </c>
    </row>
    <row r="6419" spans="1:6" x14ac:dyDescent="0.25">
      <c r="A6419" s="140" t="s">
        <v>39</v>
      </c>
      <c r="B6419" s="136">
        <v>44160</v>
      </c>
      <c r="C6419" s="4">
        <v>15</v>
      </c>
      <c r="D6419" s="29">
        <f t="shared" si="546"/>
        <v>18332</v>
      </c>
      <c r="F6419" s="129">
        <f t="shared" si="544"/>
        <v>845</v>
      </c>
    </row>
    <row r="6420" spans="1:6" x14ac:dyDescent="0.25">
      <c r="A6420" s="140" t="s">
        <v>40</v>
      </c>
      <c r="B6420" s="136">
        <v>44160</v>
      </c>
      <c r="C6420" s="4">
        <v>105</v>
      </c>
      <c r="D6420" s="29">
        <f t="shared" si="546"/>
        <v>5403</v>
      </c>
      <c r="E6420" s="4">
        <v>2</v>
      </c>
      <c r="F6420" s="129">
        <f t="shared" si="544"/>
        <v>75</v>
      </c>
    </row>
    <row r="6421" spans="1:6" x14ac:dyDescent="0.25">
      <c r="A6421" s="140" t="s">
        <v>28</v>
      </c>
      <c r="B6421" s="136">
        <v>44160</v>
      </c>
      <c r="C6421" s="4">
        <v>18</v>
      </c>
      <c r="D6421" s="29">
        <f t="shared" si="546"/>
        <v>8588</v>
      </c>
      <c r="F6421" s="129">
        <f t="shared" si="544"/>
        <v>310</v>
      </c>
    </row>
    <row r="6422" spans="1:6" x14ac:dyDescent="0.25">
      <c r="A6422" s="140" t="s">
        <v>24</v>
      </c>
      <c r="B6422" s="136">
        <v>44160</v>
      </c>
      <c r="C6422" s="4">
        <v>264</v>
      </c>
      <c r="D6422" s="29">
        <f t="shared" si="546"/>
        <v>55764</v>
      </c>
      <c r="E6422" s="4">
        <v>4</v>
      </c>
      <c r="F6422" s="129">
        <f t="shared" si="544"/>
        <v>1080</v>
      </c>
    </row>
    <row r="6423" spans="1:6" x14ac:dyDescent="0.25">
      <c r="A6423" s="140" t="s">
        <v>30</v>
      </c>
      <c r="B6423" s="136">
        <v>44160</v>
      </c>
      <c r="C6423" s="4">
        <v>8</v>
      </c>
      <c r="D6423" s="29">
        <f t="shared" si="546"/>
        <v>466</v>
      </c>
      <c r="E6423" s="4">
        <v>1</v>
      </c>
      <c r="F6423" s="129">
        <f t="shared" si="544"/>
        <v>9</v>
      </c>
    </row>
    <row r="6424" spans="1:6" x14ac:dyDescent="0.25">
      <c r="A6424" s="140" t="s">
        <v>26</v>
      </c>
      <c r="B6424" s="136">
        <v>44160</v>
      </c>
      <c r="C6424" s="4">
        <v>394</v>
      </c>
      <c r="D6424" s="29">
        <f t="shared" si="546"/>
        <v>30898</v>
      </c>
      <c r="E6424" s="4">
        <v>20</v>
      </c>
      <c r="F6424" s="129">
        <f t="shared" si="544"/>
        <v>613</v>
      </c>
    </row>
    <row r="6425" spans="1:6" x14ac:dyDescent="0.25">
      <c r="A6425" s="140" t="s">
        <v>25</v>
      </c>
      <c r="B6425" s="136">
        <v>44160</v>
      </c>
      <c r="C6425" s="4">
        <v>350</v>
      </c>
      <c r="D6425" s="29">
        <f t="shared" si="546"/>
        <v>30732</v>
      </c>
      <c r="E6425" s="4">
        <v>6</v>
      </c>
      <c r="F6425" s="129">
        <f t="shared" si="544"/>
        <v>761</v>
      </c>
    </row>
    <row r="6426" spans="1:6" x14ac:dyDescent="0.25">
      <c r="A6426" s="140" t="s">
        <v>41</v>
      </c>
      <c r="B6426" s="136">
        <v>44160</v>
      </c>
      <c r="C6426" s="4">
        <v>84</v>
      </c>
      <c r="D6426" s="29">
        <f t="shared" si="546"/>
        <v>20952</v>
      </c>
      <c r="E6426" s="4">
        <v>2</v>
      </c>
      <c r="F6426" s="129">
        <f t="shared" si="544"/>
        <v>975</v>
      </c>
    </row>
    <row r="6427" spans="1:6" x14ac:dyDescent="0.25">
      <c r="A6427" s="140" t="s">
        <v>42</v>
      </c>
      <c r="B6427" s="136">
        <v>44160</v>
      </c>
      <c r="C6427" s="4">
        <v>451</v>
      </c>
      <c r="D6427" s="29">
        <f t="shared" si="546"/>
        <v>6722</v>
      </c>
      <c r="E6427" s="4">
        <v>28</v>
      </c>
      <c r="F6427" s="129">
        <f t="shared" si="544"/>
        <v>171</v>
      </c>
    </row>
    <row r="6428" spans="1:6" x14ac:dyDescent="0.25">
      <c r="A6428" s="140" t="s">
        <v>43</v>
      </c>
      <c r="B6428" s="136">
        <v>44160</v>
      </c>
      <c r="C6428" s="4">
        <v>185</v>
      </c>
      <c r="D6428" s="29">
        <f t="shared" si="546"/>
        <v>13572</v>
      </c>
      <c r="E6428" s="4">
        <v>2</v>
      </c>
      <c r="F6428" s="129">
        <f t="shared" si="544"/>
        <v>190</v>
      </c>
    </row>
    <row r="6429" spans="1:6" x14ac:dyDescent="0.25">
      <c r="A6429" s="140" t="s">
        <v>44</v>
      </c>
      <c r="B6429" s="136">
        <v>44160</v>
      </c>
      <c r="C6429" s="4">
        <v>327</v>
      </c>
      <c r="D6429" s="29">
        <f t="shared" si="546"/>
        <v>14844</v>
      </c>
      <c r="E6429" s="4">
        <v>7</v>
      </c>
      <c r="F6429" s="129">
        <f t="shared" si="544"/>
        <v>255</v>
      </c>
    </row>
    <row r="6430" spans="1:6" x14ac:dyDescent="0.25">
      <c r="A6430" s="140" t="s">
        <v>29</v>
      </c>
      <c r="B6430" s="136">
        <v>44160</v>
      </c>
      <c r="C6430" s="4">
        <v>1490</v>
      </c>
      <c r="D6430" s="29">
        <f t="shared" si="546"/>
        <v>141595</v>
      </c>
      <c r="E6430" s="4">
        <v>31</v>
      </c>
      <c r="F6430" s="129">
        <f t="shared" si="544"/>
        <v>2160</v>
      </c>
    </row>
    <row r="6431" spans="1:6" x14ac:dyDescent="0.25">
      <c r="A6431" s="140" t="s">
        <v>45</v>
      </c>
      <c r="B6431" s="136">
        <v>44160</v>
      </c>
      <c r="C6431" s="4">
        <v>154</v>
      </c>
      <c r="D6431" s="29">
        <f t="shared" si="546"/>
        <v>14868</v>
      </c>
      <c r="E6431" s="4">
        <v>2</v>
      </c>
      <c r="F6431" s="129">
        <f t="shared" si="544"/>
        <v>182</v>
      </c>
    </row>
    <row r="6432" spans="1:6" x14ac:dyDescent="0.25">
      <c r="A6432" s="140" t="s">
        <v>46</v>
      </c>
      <c r="B6432" s="136">
        <v>44160</v>
      </c>
      <c r="C6432" s="4">
        <v>177</v>
      </c>
      <c r="D6432" s="29">
        <f t="shared" si="546"/>
        <v>15701</v>
      </c>
      <c r="E6432" s="4">
        <v>4</v>
      </c>
      <c r="F6432" s="129">
        <f t="shared" si="544"/>
        <v>226</v>
      </c>
    </row>
    <row r="6433" spans="1:7" ht="15.75" thickBot="1" x14ac:dyDescent="0.3">
      <c r="A6433" s="141" t="s">
        <v>47</v>
      </c>
      <c r="B6433" s="136">
        <v>44160</v>
      </c>
      <c r="C6433" s="4">
        <v>364</v>
      </c>
      <c r="D6433" s="132">
        <f>C6433+D6409</f>
        <v>64301</v>
      </c>
      <c r="E6433" s="4">
        <v>30</v>
      </c>
      <c r="F6433" s="130">
        <f t="shared" si="544"/>
        <v>1126</v>
      </c>
    </row>
    <row r="6434" spans="1:7" x14ac:dyDescent="0.25">
      <c r="A6434" s="64" t="s">
        <v>22</v>
      </c>
      <c r="B6434" s="136">
        <v>44161</v>
      </c>
      <c r="C6434" s="4">
        <v>2589</v>
      </c>
      <c r="D6434" s="131">
        <f t="shared" si="546"/>
        <v>612748</v>
      </c>
      <c r="E6434" s="4">
        <v>64</v>
      </c>
      <c r="F6434" s="128">
        <f t="shared" si="544"/>
        <v>20316</v>
      </c>
    </row>
    <row r="6435" spans="1:7" x14ac:dyDescent="0.25">
      <c r="A6435" s="140" t="s">
        <v>20</v>
      </c>
      <c r="B6435" s="136">
        <v>44161</v>
      </c>
      <c r="C6435" s="4">
        <v>344</v>
      </c>
      <c r="D6435" s="29">
        <f t="shared" si="546"/>
        <v>157571</v>
      </c>
      <c r="E6435" s="4">
        <v>13</v>
      </c>
      <c r="F6435" s="129">
        <f t="shared" si="544"/>
        <v>5178</v>
      </c>
      <c r="G6435" s="88"/>
    </row>
    <row r="6436" spans="1:7" x14ac:dyDescent="0.25">
      <c r="A6436" s="140" t="s">
        <v>35</v>
      </c>
      <c r="B6436" s="136">
        <v>44161</v>
      </c>
      <c r="C6436" s="4">
        <v>42</v>
      </c>
      <c r="D6436" s="29">
        <f t="shared" si="546"/>
        <v>1779</v>
      </c>
      <c r="E6436" s="4">
        <v>2</v>
      </c>
      <c r="F6436" s="129">
        <f t="shared" si="544"/>
        <v>15</v>
      </c>
      <c r="G6436" s="88"/>
    </row>
    <row r="6437" spans="1:7" x14ac:dyDescent="0.25">
      <c r="A6437" s="140" t="s">
        <v>21</v>
      </c>
      <c r="B6437" s="136">
        <v>44161</v>
      </c>
      <c r="C6437" s="4">
        <v>250</v>
      </c>
      <c r="D6437" s="29">
        <f t="shared" si="546"/>
        <v>18498</v>
      </c>
      <c r="E6437" s="4">
        <v>9</v>
      </c>
      <c r="F6437" s="129">
        <f t="shared" si="544"/>
        <v>543</v>
      </c>
      <c r="G6437" s="88"/>
    </row>
    <row r="6438" spans="1:7" x14ac:dyDescent="0.25">
      <c r="A6438" s="140" t="s">
        <v>36</v>
      </c>
      <c r="B6438" s="136">
        <v>44161</v>
      </c>
      <c r="C6438" s="4">
        <v>266</v>
      </c>
      <c r="D6438" s="29">
        <f t="shared" si="546"/>
        <v>22023</v>
      </c>
      <c r="E6438" s="4">
        <v>0</v>
      </c>
      <c r="F6438" s="129">
        <f t="shared" si="544"/>
        <v>362</v>
      </c>
      <c r="G6438" s="88"/>
    </row>
    <row r="6439" spans="1:7" x14ac:dyDescent="0.25">
      <c r="A6439" s="140" t="s">
        <v>27</v>
      </c>
      <c r="B6439" s="136">
        <v>44161</v>
      </c>
      <c r="C6439" s="4">
        <v>942</v>
      </c>
      <c r="D6439" s="29">
        <f t="shared" si="546"/>
        <v>111885</v>
      </c>
      <c r="E6439" s="4">
        <v>25</v>
      </c>
      <c r="F6439" s="129">
        <f t="shared" si="544"/>
        <v>1883</v>
      </c>
      <c r="G6439" s="88"/>
    </row>
    <row r="6440" spans="1:7" x14ac:dyDescent="0.25">
      <c r="A6440" s="140" t="s">
        <v>37</v>
      </c>
      <c r="B6440" s="136">
        <v>44161</v>
      </c>
      <c r="C6440" s="4">
        <v>150</v>
      </c>
      <c r="D6440" s="29">
        <f t="shared" si="546"/>
        <v>5284</v>
      </c>
      <c r="E6440" s="4">
        <v>0</v>
      </c>
      <c r="F6440" s="129">
        <f t="shared" si="544"/>
        <v>86</v>
      </c>
      <c r="G6440" s="88"/>
    </row>
    <row r="6441" spans="1:7" x14ac:dyDescent="0.25">
      <c r="A6441" s="140" t="s">
        <v>38</v>
      </c>
      <c r="B6441" s="136">
        <v>44161</v>
      </c>
      <c r="C6441" s="4">
        <v>288</v>
      </c>
      <c r="D6441" s="29">
        <f t="shared" si="546"/>
        <v>22555</v>
      </c>
      <c r="E6441" s="4">
        <v>9</v>
      </c>
      <c r="F6441" s="129">
        <f t="shared" si="544"/>
        <v>461</v>
      </c>
      <c r="G6441" s="88"/>
    </row>
    <row r="6442" spans="1:7" x14ac:dyDescent="0.25">
      <c r="A6442" s="140" t="s">
        <v>48</v>
      </c>
      <c r="B6442" s="136">
        <v>44161</v>
      </c>
      <c r="C6442" s="4">
        <v>0</v>
      </c>
      <c r="D6442" s="29">
        <f t="shared" si="546"/>
        <v>178</v>
      </c>
      <c r="E6442" s="4">
        <v>0</v>
      </c>
      <c r="F6442" s="129">
        <f t="shared" si="544"/>
        <v>3</v>
      </c>
      <c r="G6442" s="88"/>
    </row>
    <row r="6443" spans="1:7" x14ac:dyDescent="0.25">
      <c r="A6443" s="140" t="s">
        <v>39</v>
      </c>
      <c r="B6443" s="136">
        <v>44161</v>
      </c>
      <c r="C6443" s="4">
        <v>6</v>
      </c>
      <c r="D6443" s="29">
        <f t="shared" si="546"/>
        <v>18338</v>
      </c>
      <c r="E6443" s="4">
        <v>2</v>
      </c>
      <c r="F6443" s="129">
        <f t="shared" ref="F6443:F6506" si="547">E6443+F6419</f>
        <v>847</v>
      </c>
      <c r="G6443" s="88"/>
    </row>
    <row r="6444" spans="1:7" x14ac:dyDescent="0.25">
      <c r="A6444" s="140" t="s">
        <v>40</v>
      </c>
      <c r="B6444" s="136">
        <v>44161</v>
      </c>
      <c r="C6444" s="4">
        <v>81</v>
      </c>
      <c r="D6444" s="29">
        <f t="shared" si="546"/>
        <v>5484</v>
      </c>
      <c r="E6444" s="4">
        <v>0</v>
      </c>
      <c r="F6444" s="129">
        <f t="shared" si="547"/>
        <v>75</v>
      </c>
      <c r="G6444" s="88"/>
    </row>
    <row r="6445" spans="1:7" x14ac:dyDescent="0.25">
      <c r="A6445" s="140" t="s">
        <v>28</v>
      </c>
      <c r="B6445" s="136">
        <v>44161</v>
      </c>
      <c r="C6445" s="4">
        <v>13</v>
      </c>
      <c r="D6445" s="29">
        <f t="shared" si="546"/>
        <v>8601</v>
      </c>
      <c r="E6445" s="4">
        <v>4</v>
      </c>
      <c r="F6445" s="129">
        <f t="shared" si="547"/>
        <v>314</v>
      </c>
      <c r="G6445" s="88"/>
    </row>
    <row r="6446" spans="1:7" x14ac:dyDescent="0.25">
      <c r="A6446" s="140" t="s">
        <v>24</v>
      </c>
      <c r="B6446" s="136">
        <v>44161</v>
      </c>
      <c r="C6446" s="4">
        <v>202</v>
      </c>
      <c r="D6446" s="29">
        <f t="shared" si="546"/>
        <v>55966</v>
      </c>
      <c r="E6446" s="4">
        <v>20</v>
      </c>
      <c r="F6446" s="129">
        <f t="shared" si="547"/>
        <v>1100</v>
      </c>
      <c r="G6446" s="88"/>
    </row>
    <row r="6447" spans="1:7" x14ac:dyDescent="0.25">
      <c r="A6447" s="140" t="s">
        <v>30</v>
      </c>
      <c r="B6447" s="136">
        <v>44161</v>
      </c>
      <c r="C6447" s="4">
        <v>16</v>
      </c>
      <c r="D6447" s="29">
        <f t="shared" si="546"/>
        <v>482</v>
      </c>
      <c r="E6447" s="4">
        <v>0</v>
      </c>
      <c r="F6447" s="129">
        <f t="shared" si="547"/>
        <v>9</v>
      </c>
      <c r="G6447" s="88"/>
    </row>
    <row r="6448" spans="1:7" x14ac:dyDescent="0.25">
      <c r="A6448" s="140" t="s">
        <v>26</v>
      </c>
      <c r="B6448" s="136">
        <v>44161</v>
      </c>
      <c r="C6448" s="4">
        <v>361</v>
      </c>
      <c r="D6448" s="29">
        <f t="shared" si="546"/>
        <v>31259</v>
      </c>
      <c r="E6448" s="4">
        <v>2</v>
      </c>
      <c r="F6448" s="129">
        <f t="shared" si="547"/>
        <v>615</v>
      </c>
      <c r="G6448" s="88"/>
    </row>
    <row r="6449" spans="1:7" x14ac:dyDescent="0.25">
      <c r="A6449" s="140" t="s">
        <v>25</v>
      </c>
      <c r="B6449" s="136">
        <v>44161</v>
      </c>
      <c r="C6449" s="4">
        <v>336</v>
      </c>
      <c r="D6449" s="29">
        <f t="shared" si="546"/>
        <v>31068</v>
      </c>
      <c r="E6449" s="4">
        <v>5</v>
      </c>
      <c r="F6449" s="129">
        <f t="shared" si="547"/>
        <v>766</v>
      </c>
      <c r="G6449" s="88"/>
    </row>
    <row r="6450" spans="1:7" x14ac:dyDescent="0.25">
      <c r="A6450" s="140" t="s">
        <v>41</v>
      </c>
      <c r="B6450" s="136">
        <v>44161</v>
      </c>
      <c r="C6450" s="4">
        <v>77</v>
      </c>
      <c r="D6450" s="29">
        <f t="shared" si="546"/>
        <v>21029</v>
      </c>
      <c r="E6450" s="4">
        <v>6</v>
      </c>
      <c r="F6450" s="129">
        <f t="shared" si="547"/>
        <v>981</v>
      </c>
      <c r="G6450" s="88"/>
    </row>
    <row r="6451" spans="1:7" x14ac:dyDescent="0.25">
      <c r="A6451" s="140" t="s">
        <v>42</v>
      </c>
      <c r="B6451" s="136">
        <v>44161</v>
      </c>
      <c r="C6451" s="4">
        <v>226</v>
      </c>
      <c r="D6451" s="29">
        <f t="shared" si="546"/>
        <v>6948</v>
      </c>
      <c r="E6451" s="4">
        <v>0</v>
      </c>
      <c r="F6451" s="129">
        <f t="shared" si="547"/>
        <v>171</v>
      </c>
      <c r="G6451" s="88"/>
    </row>
    <row r="6452" spans="1:7" x14ac:dyDescent="0.25">
      <c r="A6452" s="140" t="s">
        <v>43</v>
      </c>
      <c r="B6452" s="136">
        <v>44161</v>
      </c>
      <c r="C6452" s="4">
        <v>256</v>
      </c>
      <c r="D6452" s="29">
        <f t="shared" si="546"/>
        <v>13828</v>
      </c>
      <c r="E6452" s="4">
        <v>13</v>
      </c>
      <c r="F6452" s="129">
        <f t="shared" si="547"/>
        <v>203</v>
      </c>
      <c r="G6452" s="88"/>
    </row>
    <row r="6453" spans="1:7" x14ac:dyDescent="0.25">
      <c r="A6453" s="140" t="s">
        <v>44</v>
      </c>
      <c r="B6453" s="136">
        <v>44161</v>
      </c>
      <c r="C6453" s="4">
        <v>236</v>
      </c>
      <c r="D6453" s="29">
        <f t="shared" si="546"/>
        <v>15080</v>
      </c>
      <c r="E6453" s="4">
        <v>7</v>
      </c>
      <c r="F6453" s="129">
        <f t="shared" si="547"/>
        <v>262</v>
      </c>
      <c r="G6453" s="88"/>
    </row>
    <row r="6454" spans="1:7" x14ac:dyDescent="0.25">
      <c r="A6454" s="140" t="s">
        <v>29</v>
      </c>
      <c r="B6454" s="136">
        <v>44161</v>
      </c>
      <c r="C6454" s="4">
        <v>1446</v>
      </c>
      <c r="D6454" s="29">
        <f t="shared" si="546"/>
        <v>143041</v>
      </c>
      <c r="E6454" s="4">
        <v>25</v>
      </c>
      <c r="F6454" s="129">
        <f t="shared" si="547"/>
        <v>2185</v>
      </c>
      <c r="G6454" s="88"/>
    </row>
    <row r="6455" spans="1:7" x14ac:dyDescent="0.25">
      <c r="A6455" s="140" t="s">
        <v>45</v>
      </c>
      <c r="B6455" s="136">
        <v>44161</v>
      </c>
      <c r="C6455" s="4">
        <v>272</v>
      </c>
      <c r="D6455" s="29">
        <f t="shared" si="546"/>
        <v>15140</v>
      </c>
      <c r="E6455" s="4">
        <v>5</v>
      </c>
      <c r="F6455" s="129">
        <f t="shared" si="547"/>
        <v>187</v>
      </c>
      <c r="G6455" s="88"/>
    </row>
    <row r="6456" spans="1:7" x14ac:dyDescent="0.25">
      <c r="A6456" s="140" t="s">
        <v>46</v>
      </c>
      <c r="B6456" s="136">
        <v>44161</v>
      </c>
      <c r="C6456" s="4">
        <v>153</v>
      </c>
      <c r="D6456" s="29">
        <f t="shared" si="546"/>
        <v>15854</v>
      </c>
      <c r="E6456" s="4">
        <v>3</v>
      </c>
      <c r="F6456" s="129">
        <f t="shared" si="547"/>
        <v>229</v>
      </c>
      <c r="G6456" s="88"/>
    </row>
    <row r="6457" spans="1:7" ht="15.75" thickBot="1" x14ac:dyDescent="0.3">
      <c r="A6457" s="142" t="s">
        <v>47</v>
      </c>
      <c r="B6457" s="138">
        <v>44161</v>
      </c>
      <c r="C6457" s="47">
        <v>491</v>
      </c>
      <c r="D6457" s="85">
        <f>C6457+D6433</f>
        <v>64792</v>
      </c>
      <c r="E6457" s="47">
        <v>15</v>
      </c>
      <c r="F6457" s="139">
        <f t="shared" si="547"/>
        <v>1141</v>
      </c>
      <c r="G6457" s="88"/>
    </row>
    <row r="6458" spans="1:7" x14ac:dyDescent="0.25">
      <c r="A6458" s="64" t="s">
        <v>22</v>
      </c>
      <c r="B6458" s="49">
        <v>44162</v>
      </c>
      <c r="C6458" s="50">
        <v>2124</v>
      </c>
      <c r="D6458" s="131">
        <f t="shared" si="546"/>
        <v>614872</v>
      </c>
      <c r="E6458" s="50">
        <v>138</v>
      </c>
      <c r="F6458" s="128">
        <f t="shared" si="547"/>
        <v>20454</v>
      </c>
    </row>
    <row r="6459" spans="1:7" x14ac:dyDescent="0.25">
      <c r="A6459" s="140" t="s">
        <v>20</v>
      </c>
      <c r="B6459" s="136">
        <v>44162</v>
      </c>
      <c r="C6459" s="4">
        <v>414</v>
      </c>
      <c r="D6459" s="29">
        <f t="shared" si="546"/>
        <v>157985</v>
      </c>
      <c r="E6459" s="4">
        <v>6</v>
      </c>
      <c r="F6459" s="129">
        <f t="shared" si="547"/>
        <v>5184</v>
      </c>
      <c r="G6459" s="88"/>
    </row>
    <row r="6460" spans="1:7" x14ac:dyDescent="0.25">
      <c r="A6460" s="140" t="s">
        <v>35</v>
      </c>
      <c r="B6460" s="136">
        <v>44162</v>
      </c>
      <c r="C6460" s="4">
        <v>3</v>
      </c>
      <c r="D6460" s="29">
        <f t="shared" si="546"/>
        <v>1782</v>
      </c>
      <c r="E6460" s="4">
        <v>0</v>
      </c>
      <c r="F6460" s="129">
        <f t="shared" si="547"/>
        <v>15</v>
      </c>
      <c r="G6460" s="88"/>
    </row>
    <row r="6461" spans="1:7" x14ac:dyDescent="0.25">
      <c r="A6461" s="140" t="s">
        <v>21</v>
      </c>
      <c r="B6461" s="136">
        <v>44162</v>
      </c>
      <c r="C6461" s="4">
        <v>258</v>
      </c>
      <c r="D6461" s="29">
        <f t="shared" si="546"/>
        <v>18756</v>
      </c>
      <c r="E6461" s="4">
        <v>5</v>
      </c>
      <c r="F6461" s="129">
        <f t="shared" si="547"/>
        <v>548</v>
      </c>
      <c r="G6461" s="88"/>
    </row>
    <row r="6462" spans="1:7" x14ac:dyDescent="0.25">
      <c r="A6462" s="140" t="s">
        <v>36</v>
      </c>
      <c r="B6462" s="136">
        <v>44162</v>
      </c>
      <c r="C6462" s="4">
        <v>264</v>
      </c>
      <c r="D6462" s="29">
        <f t="shared" si="546"/>
        <v>22287</v>
      </c>
      <c r="E6462" s="4">
        <v>9</v>
      </c>
      <c r="F6462" s="129">
        <f t="shared" si="547"/>
        <v>371</v>
      </c>
      <c r="G6462" s="88"/>
    </row>
    <row r="6463" spans="1:7" x14ac:dyDescent="0.25">
      <c r="A6463" s="140" t="s">
        <v>27</v>
      </c>
      <c r="B6463" s="136">
        <v>44162</v>
      </c>
      <c r="C6463" s="4">
        <v>834</v>
      </c>
      <c r="D6463" s="29">
        <f t="shared" si="546"/>
        <v>112719</v>
      </c>
      <c r="E6463" s="4">
        <v>36</v>
      </c>
      <c r="F6463" s="129">
        <f t="shared" si="547"/>
        <v>1919</v>
      </c>
      <c r="G6463" s="88"/>
    </row>
    <row r="6464" spans="1:7" x14ac:dyDescent="0.25">
      <c r="A6464" s="140" t="s">
        <v>37</v>
      </c>
      <c r="B6464" s="136">
        <v>44162</v>
      </c>
      <c r="C6464" s="4">
        <v>158</v>
      </c>
      <c r="D6464" s="29">
        <f t="shared" si="546"/>
        <v>5442</v>
      </c>
      <c r="E6464" s="4">
        <v>0</v>
      </c>
      <c r="F6464" s="129">
        <f t="shared" si="547"/>
        <v>86</v>
      </c>
      <c r="G6464" s="88"/>
    </row>
    <row r="6465" spans="1:7" x14ac:dyDescent="0.25">
      <c r="A6465" s="140" t="s">
        <v>38</v>
      </c>
      <c r="B6465" s="136">
        <v>44162</v>
      </c>
      <c r="C6465" s="4">
        <v>298</v>
      </c>
      <c r="D6465" s="29">
        <f t="shared" si="546"/>
        <v>22853</v>
      </c>
      <c r="E6465" s="4">
        <v>3</v>
      </c>
      <c r="F6465" s="129">
        <f t="shared" si="547"/>
        <v>464</v>
      </c>
      <c r="G6465" s="88"/>
    </row>
    <row r="6466" spans="1:7" x14ac:dyDescent="0.25">
      <c r="A6466" s="140" t="s">
        <v>48</v>
      </c>
      <c r="B6466" s="136">
        <v>44162</v>
      </c>
      <c r="C6466" s="4">
        <v>1</v>
      </c>
      <c r="D6466" s="29">
        <f t="shared" si="546"/>
        <v>179</v>
      </c>
      <c r="E6466" s="4">
        <v>0</v>
      </c>
      <c r="F6466" s="129">
        <f t="shared" si="547"/>
        <v>3</v>
      </c>
      <c r="G6466" s="88"/>
    </row>
    <row r="6467" spans="1:7" x14ac:dyDescent="0.25">
      <c r="A6467" s="140" t="s">
        <v>39</v>
      </c>
      <c r="B6467" s="136">
        <v>44162</v>
      </c>
      <c r="C6467" s="4">
        <v>22</v>
      </c>
      <c r="D6467" s="29">
        <f t="shared" si="546"/>
        <v>18360</v>
      </c>
      <c r="E6467" s="4">
        <v>1</v>
      </c>
      <c r="F6467" s="129">
        <f t="shared" si="547"/>
        <v>848</v>
      </c>
      <c r="G6467" s="88"/>
    </row>
    <row r="6468" spans="1:7" x14ac:dyDescent="0.25">
      <c r="A6468" s="140" t="s">
        <v>40</v>
      </c>
      <c r="B6468" s="136">
        <v>44162</v>
      </c>
      <c r="C6468" s="4">
        <v>105</v>
      </c>
      <c r="D6468" s="29">
        <f t="shared" si="546"/>
        <v>5589</v>
      </c>
      <c r="E6468" s="4">
        <v>0</v>
      </c>
      <c r="F6468" s="129">
        <f t="shared" si="547"/>
        <v>75</v>
      </c>
      <c r="G6468" s="88"/>
    </row>
    <row r="6469" spans="1:7" x14ac:dyDescent="0.25">
      <c r="A6469" s="140" t="s">
        <v>28</v>
      </c>
      <c r="B6469" s="136">
        <v>44162</v>
      </c>
      <c r="C6469" s="4">
        <v>29</v>
      </c>
      <c r="D6469" s="29">
        <f t="shared" si="546"/>
        <v>8630</v>
      </c>
      <c r="E6469" s="4">
        <v>2</v>
      </c>
      <c r="F6469" s="129">
        <f t="shared" si="547"/>
        <v>316</v>
      </c>
      <c r="G6469" s="88"/>
    </row>
    <row r="6470" spans="1:7" x14ac:dyDescent="0.25">
      <c r="A6470" s="140" t="s">
        <v>24</v>
      </c>
      <c r="B6470" s="136">
        <v>44162</v>
      </c>
      <c r="C6470" s="4">
        <v>202</v>
      </c>
      <c r="D6470" s="29">
        <f t="shared" si="546"/>
        <v>56168</v>
      </c>
      <c r="E6470" s="4">
        <v>5</v>
      </c>
      <c r="F6470" s="129">
        <f t="shared" si="547"/>
        <v>1105</v>
      </c>
      <c r="G6470" s="88"/>
    </row>
    <row r="6471" spans="1:7" x14ac:dyDescent="0.25">
      <c r="A6471" s="140" t="s">
        <v>30</v>
      </c>
      <c r="B6471" s="136">
        <v>44162</v>
      </c>
      <c r="C6471" s="4">
        <v>4</v>
      </c>
      <c r="D6471" s="29">
        <f t="shared" si="546"/>
        <v>486</v>
      </c>
      <c r="E6471" s="4">
        <v>0</v>
      </c>
      <c r="F6471" s="129">
        <f t="shared" si="547"/>
        <v>9</v>
      </c>
      <c r="G6471" s="88"/>
    </row>
    <row r="6472" spans="1:7" x14ac:dyDescent="0.25">
      <c r="A6472" s="140" t="s">
        <v>26</v>
      </c>
      <c r="B6472" s="136">
        <v>44162</v>
      </c>
      <c r="C6472" s="4">
        <v>204</v>
      </c>
      <c r="D6472" s="29">
        <f t="shared" si="546"/>
        <v>31463</v>
      </c>
      <c r="E6472" s="4">
        <v>0</v>
      </c>
      <c r="F6472" s="129">
        <f t="shared" si="547"/>
        <v>615</v>
      </c>
      <c r="G6472" s="88"/>
    </row>
    <row r="6473" spans="1:7" x14ac:dyDescent="0.25">
      <c r="A6473" s="140" t="s">
        <v>25</v>
      </c>
      <c r="B6473" s="136">
        <v>44162</v>
      </c>
      <c r="C6473" s="4">
        <v>202</v>
      </c>
      <c r="D6473" s="29">
        <f t="shared" si="546"/>
        <v>31270</v>
      </c>
      <c r="E6473" s="4">
        <v>3</v>
      </c>
      <c r="F6473" s="129">
        <f t="shared" si="547"/>
        <v>769</v>
      </c>
      <c r="G6473" s="88"/>
    </row>
    <row r="6474" spans="1:7" x14ac:dyDescent="0.25">
      <c r="A6474" s="140" t="s">
        <v>41</v>
      </c>
      <c r="B6474" s="136">
        <v>44162</v>
      </c>
      <c r="C6474" s="4">
        <v>51</v>
      </c>
      <c r="D6474" s="29">
        <f t="shared" ref="D6474:D6480" si="548">C6474+D6450</f>
        <v>21080</v>
      </c>
      <c r="E6474" s="4">
        <v>8</v>
      </c>
      <c r="F6474" s="129">
        <f t="shared" si="547"/>
        <v>989</v>
      </c>
      <c r="G6474" s="88"/>
    </row>
    <row r="6475" spans="1:7" x14ac:dyDescent="0.25">
      <c r="A6475" s="140" t="s">
        <v>42</v>
      </c>
      <c r="B6475" s="136">
        <v>44162</v>
      </c>
      <c r="C6475" s="4">
        <v>234</v>
      </c>
      <c r="D6475" s="29">
        <f t="shared" si="548"/>
        <v>7182</v>
      </c>
      <c r="E6475" s="4">
        <v>0</v>
      </c>
      <c r="F6475" s="129">
        <f t="shared" si="547"/>
        <v>171</v>
      </c>
      <c r="G6475" s="88"/>
    </row>
    <row r="6476" spans="1:7" x14ac:dyDescent="0.25">
      <c r="A6476" s="140" t="s">
        <v>43</v>
      </c>
      <c r="B6476" s="136">
        <v>44162</v>
      </c>
      <c r="C6476" s="4">
        <v>114</v>
      </c>
      <c r="D6476" s="29">
        <f t="shared" si="548"/>
        <v>13942</v>
      </c>
      <c r="E6476" s="4">
        <v>4</v>
      </c>
      <c r="F6476" s="129">
        <f t="shared" si="547"/>
        <v>207</v>
      </c>
      <c r="G6476" s="88"/>
    </row>
    <row r="6477" spans="1:7" x14ac:dyDescent="0.25">
      <c r="A6477" s="140" t="s">
        <v>44</v>
      </c>
      <c r="B6477" s="136">
        <v>44162</v>
      </c>
      <c r="C6477" s="4">
        <v>293</v>
      </c>
      <c r="D6477" s="29">
        <f t="shared" si="548"/>
        <v>15373</v>
      </c>
      <c r="E6477" s="4">
        <v>6</v>
      </c>
      <c r="F6477" s="129">
        <f t="shared" si="547"/>
        <v>268</v>
      </c>
      <c r="G6477" s="88"/>
    </row>
    <row r="6478" spans="1:7" x14ac:dyDescent="0.25">
      <c r="A6478" s="140" t="s">
        <v>29</v>
      </c>
      <c r="B6478" s="136">
        <v>44162</v>
      </c>
      <c r="C6478" s="4">
        <v>1390</v>
      </c>
      <c r="D6478" s="29">
        <f t="shared" si="548"/>
        <v>144431</v>
      </c>
      <c r="E6478" s="4">
        <v>22</v>
      </c>
      <c r="F6478" s="129">
        <f t="shared" si="547"/>
        <v>2207</v>
      </c>
      <c r="G6478" s="88"/>
    </row>
    <row r="6479" spans="1:7" x14ac:dyDescent="0.25">
      <c r="A6479" s="140" t="s">
        <v>45</v>
      </c>
      <c r="B6479" s="136">
        <v>44162</v>
      </c>
      <c r="C6479" s="4">
        <v>158</v>
      </c>
      <c r="D6479" s="29">
        <f t="shared" si="548"/>
        <v>15298</v>
      </c>
      <c r="E6479" s="4">
        <v>1</v>
      </c>
      <c r="F6479" s="129">
        <f t="shared" si="547"/>
        <v>188</v>
      </c>
      <c r="G6479" s="88"/>
    </row>
    <row r="6480" spans="1:7" x14ac:dyDescent="0.25">
      <c r="A6480" s="140" t="s">
        <v>46</v>
      </c>
      <c r="B6480" s="136">
        <v>44162</v>
      </c>
      <c r="C6480" s="4">
        <v>86</v>
      </c>
      <c r="D6480" s="29">
        <f t="shared" si="548"/>
        <v>15940</v>
      </c>
      <c r="E6480" s="4">
        <v>1</v>
      </c>
      <c r="F6480" s="129">
        <f t="shared" si="547"/>
        <v>230</v>
      </c>
      <c r="G6480" s="88"/>
    </row>
    <row r="6481" spans="1:7" ht="15.75" thickBot="1" x14ac:dyDescent="0.3">
      <c r="A6481" s="141" t="s">
        <v>47</v>
      </c>
      <c r="B6481" s="145">
        <v>44162</v>
      </c>
      <c r="C6481" s="54">
        <v>398</v>
      </c>
      <c r="D6481" s="132">
        <f>C6481+D6457</f>
        <v>65190</v>
      </c>
      <c r="E6481" s="54">
        <v>25</v>
      </c>
      <c r="F6481" s="130">
        <f t="shared" si="547"/>
        <v>1166</v>
      </c>
      <c r="G6481" s="88"/>
    </row>
    <row r="6482" spans="1:7" ht="15.75" thickBot="1" x14ac:dyDescent="0.3">
      <c r="A6482" s="64" t="s">
        <v>22</v>
      </c>
      <c r="B6482" s="145">
        <v>44163</v>
      </c>
      <c r="C6482" s="48">
        <v>1531</v>
      </c>
      <c r="D6482" s="131">
        <f t="shared" ref="D6482:D6545" si="549">C6482+D6458</f>
        <v>616403</v>
      </c>
      <c r="E6482" s="48">
        <v>61</v>
      </c>
      <c r="F6482" s="128">
        <f t="shared" si="547"/>
        <v>20515</v>
      </c>
    </row>
    <row r="6483" spans="1:7" ht="15.75" thickBot="1" x14ac:dyDescent="0.3">
      <c r="A6483" s="140" t="s">
        <v>20</v>
      </c>
      <c r="B6483" s="145">
        <v>44163</v>
      </c>
      <c r="C6483" s="4">
        <v>282</v>
      </c>
      <c r="D6483" s="29">
        <f t="shared" si="549"/>
        <v>158267</v>
      </c>
      <c r="E6483" s="4">
        <v>8</v>
      </c>
      <c r="F6483" s="129">
        <f t="shared" si="547"/>
        <v>5192</v>
      </c>
    </row>
    <row r="6484" spans="1:7" ht="15.75" thickBot="1" x14ac:dyDescent="0.3">
      <c r="A6484" s="140" t="s">
        <v>35</v>
      </c>
      <c r="B6484" s="145">
        <v>44163</v>
      </c>
      <c r="C6484" s="4">
        <v>31</v>
      </c>
      <c r="D6484" s="29">
        <f t="shared" si="549"/>
        <v>1813</v>
      </c>
      <c r="F6484" s="129">
        <f t="shared" si="547"/>
        <v>15</v>
      </c>
    </row>
    <row r="6485" spans="1:7" ht="15.75" thickBot="1" x14ac:dyDescent="0.3">
      <c r="A6485" s="140" t="s">
        <v>21</v>
      </c>
      <c r="B6485" s="145">
        <v>44163</v>
      </c>
      <c r="C6485" s="4">
        <v>202</v>
      </c>
      <c r="D6485" s="29">
        <f t="shared" si="549"/>
        <v>18958</v>
      </c>
      <c r="E6485" s="4">
        <v>5</v>
      </c>
      <c r="F6485" s="129">
        <f t="shared" si="547"/>
        <v>553</v>
      </c>
    </row>
    <row r="6486" spans="1:7" ht="15.75" thickBot="1" x14ac:dyDescent="0.3">
      <c r="A6486" s="140" t="s">
        <v>36</v>
      </c>
      <c r="B6486" s="145">
        <v>44163</v>
      </c>
      <c r="C6486" s="4">
        <v>230</v>
      </c>
      <c r="D6486" s="29">
        <f t="shared" si="549"/>
        <v>22517</v>
      </c>
      <c r="E6486" s="4">
        <v>2</v>
      </c>
      <c r="F6486" s="129">
        <f t="shared" si="547"/>
        <v>373</v>
      </c>
    </row>
    <row r="6487" spans="1:7" ht="15.75" thickBot="1" x14ac:dyDescent="0.3">
      <c r="A6487" s="140" t="s">
        <v>27</v>
      </c>
      <c r="B6487" s="145">
        <v>44163</v>
      </c>
      <c r="C6487" s="4">
        <v>711</v>
      </c>
      <c r="D6487" s="29">
        <f t="shared" si="549"/>
        <v>113430</v>
      </c>
      <c r="E6487" s="4">
        <v>10</v>
      </c>
      <c r="F6487" s="129">
        <f t="shared" si="547"/>
        <v>1929</v>
      </c>
    </row>
    <row r="6488" spans="1:7" ht="15.75" thickBot="1" x14ac:dyDescent="0.3">
      <c r="A6488" s="140" t="s">
        <v>37</v>
      </c>
      <c r="B6488" s="145">
        <v>44163</v>
      </c>
      <c r="C6488" s="4">
        <v>231</v>
      </c>
      <c r="D6488" s="29">
        <f t="shared" si="549"/>
        <v>5673</v>
      </c>
      <c r="F6488" s="129">
        <f t="shared" si="547"/>
        <v>86</v>
      </c>
    </row>
    <row r="6489" spans="1:7" ht="15.75" thickBot="1" x14ac:dyDescent="0.3">
      <c r="A6489" s="140" t="s">
        <v>38</v>
      </c>
      <c r="B6489" s="145">
        <v>44163</v>
      </c>
      <c r="C6489" s="4">
        <v>222</v>
      </c>
      <c r="D6489" s="29">
        <f t="shared" si="549"/>
        <v>23075</v>
      </c>
      <c r="F6489" s="129">
        <f t="shared" si="547"/>
        <v>464</v>
      </c>
    </row>
    <row r="6490" spans="1:7" ht="15.75" thickBot="1" x14ac:dyDescent="0.3">
      <c r="A6490" s="140" t="s">
        <v>48</v>
      </c>
      <c r="B6490" s="145">
        <v>44163</v>
      </c>
      <c r="C6490" s="4">
        <v>3</v>
      </c>
      <c r="D6490" s="29">
        <f t="shared" si="549"/>
        <v>182</v>
      </c>
      <c r="F6490" s="129">
        <f t="shared" si="547"/>
        <v>3</v>
      </c>
    </row>
    <row r="6491" spans="1:7" ht="15.75" thickBot="1" x14ac:dyDescent="0.3">
      <c r="A6491" s="140" t="s">
        <v>39</v>
      </c>
      <c r="B6491" s="145">
        <v>44163</v>
      </c>
      <c r="C6491" s="4">
        <v>8</v>
      </c>
      <c r="D6491" s="29">
        <f t="shared" si="549"/>
        <v>18368</v>
      </c>
      <c r="F6491" s="129">
        <f t="shared" si="547"/>
        <v>848</v>
      </c>
    </row>
    <row r="6492" spans="1:7" ht="15.75" thickBot="1" x14ac:dyDescent="0.3">
      <c r="A6492" s="140" t="s">
        <v>40</v>
      </c>
      <c r="B6492" s="145">
        <v>44163</v>
      </c>
      <c r="C6492" s="4">
        <v>60</v>
      </c>
      <c r="D6492" s="29">
        <f t="shared" si="549"/>
        <v>5649</v>
      </c>
      <c r="F6492" s="129">
        <f t="shared" si="547"/>
        <v>75</v>
      </c>
    </row>
    <row r="6493" spans="1:7" ht="15.75" thickBot="1" x14ac:dyDescent="0.3">
      <c r="A6493" s="140" t="s">
        <v>28</v>
      </c>
      <c r="B6493" s="145">
        <v>44163</v>
      </c>
      <c r="C6493" s="4">
        <v>38</v>
      </c>
      <c r="D6493" s="29">
        <f t="shared" si="549"/>
        <v>8668</v>
      </c>
      <c r="F6493" s="129">
        <f t="shared" si="547"/>
        <v>316</v>
      </c>
    </row>
    <row r="6494" spans="1:7" ht="15.75" thickBot="1" x14ac:dyDescent="0.3">
      <c r="A6494" s="140" t="s">
        <v>24</v>
      </c>
      <c r="B6494" s="145">
        <v>44163</v>
      </c>
      <c r="C6494" s="4">
        <v>180</v>
      </c>
      <c r="D6494" s="29">
        <f t="shared" si="549"/>
        <v>56348</v>
      </c>
      <c r="E6494" s="4">
        <v>1</v>
      </c>
      <c r="F6494" s="129">
        <f t="shared" si="547"/>
        <v>1106</v>
      </c>
    </row>
    <row r="6495" spans="1:7" ht="15.75" thickBot="1" x14ac:dyDescent="0.3">
      <c r="A6495" s="140" t="s">
        <v>30</v>
      </c>
      <c r="B6495" s="145">
        <v>44163</v>
      </c>
      <c r="C6495" s="4">
        <v>7</v>
      </c>
      <c r="D6495" s="29">
        <f t="shared" si="549"/>
        <v>493</v>
      </c>
      <c r="F6495" s="129">
        <f t="shared" si="547"/>
        <v>9</v>
      </c>
    </row>
    <row r="6496" spans="1:7" ht="15.75" thickBot="1" x14ac:dyDescent="0.3">
      <c r="A6496" s="140" t="s">
        <v>26</v>
      </c>
      <c r="B6496" s="145">
        <v>44163</v>
      </c>
      <c r="C6496" s="4">
        <v>255</v>
      </c>
      <c r="D6496" s="29">
        <f t="shared" si="549"/>
        <v>31718</v>
      </c>
      <c r="E6496" s="4">
        <v>1</v>
      </c>
      <c r="F6496" s="129">
        <f t="shared" si="547"/>
        <v>616</v>
      </c>
    </row>
    <row r="6497" spans="1:6" ht="15.75" thickBot="1" x14ac:dyDescent="0.3">
      <c r="A6497" s="140" t="s">
        <v>25</v>
      </c>
      <c r="B6497" s="145">
        <v>44163</v>
      </c>
      <c r="C6497" s="4">
        <v>143</v>
      </c>
      <c r="D6497" s="29">
        <f t="shared" si="549"/>
        <v>31413</v>
      </c>
      <c r="E6497" s="4">
        <v>4</v>
      </c>
      <c r="F6497" s="129">
        <f t="shared" si="547"/>
        <v>773</v>
      </c>
    </row>
    <row r="6498" spans="1:6" ht="15.75" thickBot="1" x14ac:dyDescent="0.3">
      <c r="A6498" s="140" t="s">
        <v>41</v>
      </c>
      <c r="B6498" s="145">
        <v>44163</v>
      </c>
      <c r="C6498" s="4">
        <v>32</v>
      </c>
      <c r="D6498" s="29">
        <f t="shared" si="549"/>
        <v>21112</v>
      </c>
      <c r="E6498" s="4">
        <v>2</v>
      </c>
      <c r="F6498" s="129">
        <f t="shared" si="547"/>
        <v>991</v>
      </c>
    </row>
    <row r="6499" spans="1:6" ht="15.75" thickBot="1" x14ac:dyDescent="0.3">
      <c r="A6499" s="140" t="s">
        <v>42</v>
      </c>
      <c r="B6499" s="145">
        <v>44163</v>
      </c>
      <c r="C6499" s="4">
        <v>72</v>
      </c>
      <c r="D6499" s="29">
        <f t="shared" si="549"/>
        <v>7254</v>
      </c>
      <c r="F6499" s="129">
        <f t="shared" si="547"/>
        <v>171</v>
      </c>
    </row>
    <row r="6500" spans="1:6" ht="15.75" thickBot="1" x14ac:dyDescent="0.3">
      <c r="A6500" s="140" t="s">
        <v>43</v>
      </c>
      <c r="B6500" s="145">
        <v>44163</v>
      </c>
      <c r="C6500" s="4">
        <v>154</v>
      </c>
      <c r="D6500" s="29">
        <f t="shared" si="549"/>
        <v>14096</v>
      </c>
      <c r="E6500" s="4">
        <v>1</v>
      </c>
      <c r="F6500" s="129">
        <f t="shared" si="547"/>
        <v>208</v>
      </c>
    </row>
    <row r="6501" spans="1:6" ht="15.75" thickBot="1" x14ac:dyDescent="0.3">
      <c r="A6501" s="140" t="s">
        <v>44</v>
      </c>
      <c r="B6501" s="145">
        <v>44163</v>
      </c>
      <c r="C6501" s="4">
        <v>188</v>
      </c>
      <c r="D6501" s="29">
        <f t="shared" si="549"/>
        <v>15561</v>
      </c>
      <c r="E6501" s="4">
        <v>1</v>
      </c>
      <c r="F6501" s="129">
        <f t="shared" si="547"/>
        <v>269</v>
      </c>
    </row>
    <row r="6502" spans="1:6" ht="15.75" thickBot="1" x14ac:dyDescent="0.3">
      <c r="A6502" s="140" t="s">
        <v>29</v>
      </c>
      <c r="B6502" s="145">
        <v>44163</v>
      </c>
      <c r="C6502" s="4">
        <v>1070</v>
      </c>
      <c r="D6502" s="29">
        <f t="shared" si="549"/>
        <v>145501</v>
      </c>
      <c r="E6502" s="4">
        <v>10</v>
      </c>
      <c r="F6502" s="129">
        <f t="shared" si="547"/>
        <v>2217</v>
      </c>
    </row>
    <row r="6503" spans="1:6" ht="15.75" thickBot="1" x14ac:dyDescent="0.3">
      <c r="A6503" s="140" t="s">
        <v>45</v>
      </c>
      <c r="B6503" s="145">
        <v>44163</v>
      </c>
      <c r="C6503" s="4">
        <v>141</v>
      </c>
      <c r="D6503" s="29">
        <f t="shared" si="549"/>
        <v>15439</v>
      </c>
      <c r="F6503" s="129">
        <f t="shared" si="547"/>
        <v>188</v>
      </c>
    </row>
    <row r="6504" spans="1:6" ht="15.75" thickBot="1" x14ac:dyDescent="0.3">
      <c r="A6504" s="140" t="s">
        <v>46</v>
      </c>
      <c r="B6504" s="145">
        <v>44163</v>
      </c>
      <c r="C6504" s="4">
        <v>67</v>
      </c>
      <c r="D6504" s="29">
        <f t="shared" si="549"/>
        <v>16007</v>
      </c>
      <c r="F6504" s="129">
        <f t="shared" si="547"/>
        <v>230</v>
      </c>
    </row>
    <row r="6505" spans="1:6" ht="15.75" thickBot="1" x14ac:dyDescent="0.3">
      <c r="A6505" s="141" t="s">
        <v>47</v>
      </c>
      <c r="B6505" s="145">
        <v>44163</v>
      </c>
      <c r="C6505" s="4">
        <v>240</v>
      </c>
      <c r="D6505" s="132">
        <f>C6505+D6481</f>
        <v>65430</v>
      </c>
      <c r="F6505" s="130">
        <f t="shared" si="547"/>
        <v>1166</v>
      </c>
    </row>
    <row r="6506" spans="1:6" ht="15.75" thickBot="1" x14ac:dyDescent="0.3">
      <c r="A6506" s="61" t="s">
        <v>22</v>
      </c>
      <c r="B6506" s="145">
        <v>44164</v>
      </c>
      <c r="C6506" s="4">
        <v>868</v>
      </c>
      <c r="D6506" s="131">
        <f t="shared" si="549"/>
        <v>617271</v>
      </c>
      <c r="E6506" s="4">
        <f>34+36</f>
        <v>70</v>
      </c>
      <c r="F6506" s="128">
        <f t="shared" si="547"/>
        <v>20585</v>
      </c>
    </row>
    <row r="6507" spans="1:6" ht="15.75" thickBot="1" x14ac:dyDescent="0.3">
      <c r="A6507" s="61" t="s">
        <v>20</v>
      </c>
      <c r="B6507" s="145">
        <v>44164</v>
      </c>
      <c r="C6507" s="4">
        <v>217</v>
      </c>
      <c r="D6507" s="29">
        <f t="shared" si="549"/>
        <v>158484</v>
      </c>
      <c r="E6507" s="4">
        <f>2+4</f>
        <v>6</v>
      </c>
      <c r="F6507" s="129">
        <f t="shared" ref="F6507:F6570" si="550">E6507+F6483</f>
        <v>5198</v>
      </c>
    </row>
    <row r="6508" spans="1:6" ht="15.75" thickBot="1" x14ac:dyDescent="0.3">
      <c r="A6508" s="61" t="s">
        <v>35</v>
      </c>
      <c r="B6508" s="145">
        <v>44164</v>
      </c>
      <c r="C6508" s="4">
        <v>37</v>
      </c>
      <c r="D6508" s="29">
        <f t="shared" si="549"/>
        <v>1850</v>
      </c>
      <c r="F6508" s="129">
        <f t="shared" si="550"/>
        <v>15</v>
      </c>
    </row>
    <row r="6509" spans="1:6" ht="15.75" thickBot="1" x14ac:dyDescent="0.3">
      <c r="A6509" s="61" t="s">
        <v>21</v>
      </c>
      <c r="B6509" s="145">
        <v>44164</v>
      </c>
      <c r="C6509" s="4">
        <v>163</v>
      </c>
      <c r="D6509" s="29">
        <f t="shared" si="549"/>
        <v>19121</v>
      </c>
      <c r="E6509" s="4">
        <f>1+3</f>
        <v>4</v>
      </c>
      <c r="F6509" s="129">
        <f t="shared" si="550"/>
        <v>557</v>
      </c>
    </row>
    <row r="6510" spans="1:6" ht="15.75" thickBot="1" x14ac:dyDescent="0.3">
      <c r="A6510" s="61" t="s">
        <v>36</v>
      </c>
      <c r="B6510" s="145">
        <v>44164</v>
      </c>
      <c r="C6510" s="4">
        <v>114</v>
      </c>
      <c r="D6510" s="29">
        <f t="shared" si="549"/>
        <v>22631</v>
      </c>
      <c r="E6510" s="4">
        <f>1+2</f>
        <v>3</v>
      </c>
      <c r="F6510" s="129">
        <f t="shared" si="550"/>
        <v>376</v>
      </c>
    </row>
    <row r="6511" spans="1:6" ht="15.75" thickBot="1" x14ac:dyDescent="0.3">
      <c r="A6511" s="61" t="s">
        <v>27</v>
      </c>
      <c r="B6511" s="145">
        <v>44164</v>
      </c>
      <c r="C6511" s="4">
        <v>427</v>
      </c>
      <c r="D6511" s="29">
        <f t="shared" si="549"/>
        <v>113857</v>
      </c>
      <c r="E6511" s="4">
        <f>12+9</f>
        <v>21</v>
      </c>
      <c r="F6511" s="129">
        <f t="shared" si="550"/>
        <v>1950</v>
      </c>
    </row>
    <row r="6512" spans="1:6" ht="15.75" thickBot="1" x14ac:dyDescent="0.3">
      <c r="A6512" s="61" t="s">
        <v>37</v>
      </c>
      <c r="B6512" s="145">
        <v>44164</v>
      </c>
      <c r="C6512" s="4">
        <v>1130</v>
      </c>
      <c r="D6512" s="29">
        <f t="shared" si="549"/>
        <v>6803</v>
      </c>
      <c r="F6512" s="129">
        <f t="shared" si="550"/>
        <v>86</v>
      </c>
    </row>
    <row r="6513" spans="1:6" ht="15.75" thickBot="1" x14ac:dyDescent="0.3">
      <c r="A6513" s="61" t="s">
        <v>38</v>
      </c>
      <c r="B6513" s="145">
        <v>44164</v>
      </c>
      <c r="C6513" s="4">
        <v>174</v>
      </c>
      <c r="D6513" s="29">
        <f t="shared" si="549"/>
        <v>23249</v>
      </c>
      <c r="E6513" s="4">
        <f>1</f>
        <v>1</v>
      </c>
      <c r="F6513" s="129">
        <f t="shared" si="550"/>
        <v>465</v>
      </c>
    </row>
    <row r="6514" spans="1:6" ht="15.75" thickBot="1" x14ac:dyDescent="0.3">
      <c r="A6514" s="61" t="s">
        <v>48</v>
      </c>
      <c r="B6514" s="145">
        <v>44164</v>
      </c>
      <c r="C6514" s="4">
        <v>0</v>
      </c>
      <c r="D6514" s="29">
        <f t="shared" si="549"/>
        <v>182</v>
      </c>
      <c r="F6514" s="129">
        <f t="shared" si="550"/>
        <v>3</v>
      </c>
    </row>
    <row r="6515" spans="1:6" ht="15.75" thickBot="1" x14ac:dyDescent="0.3">
      <c r="A6515" s="61" t="s">
        <v>39</v>
      </c>
      <c r="B6515" s="145">
        <v>44164</v>
      </c>
      <c r="C6515" s="4">
        <v>2</v>
      </c>
      <c r="D6515" s="29">
        <f t="shared" si="549"/>
        <v>18370</v>
      </c>
      <c r="F6515" s="129">
        <f t="shared" si="550"/>
        <v>848</v>
      </c>
    </row>
    <row r="6516" spans="1:6" ht="15.75" thickBot="1" x14ac:dyDescent="0.3">
      <c r="A6516" s="61" t="s">
        <v>40</v>
      </c>
      <c r="B6516" s="145">
        <v>44164</v>
      </c>
      <c r="C6516" s="4">
        <v>61</v>
      </c>
      <c r="D6516" s="29">
        <f t="shared" si="549"/>
        <v>5710</v>
      </c>
      <c r="F6516" s="129">
        <f t="shared" si="550"/>
        <v>75</v>
      </c>
    </row>
    <row r="6517" spans="1:6" ht="15.75" thickBot="1" x14ac:dyDescent="0.3">
      <c r="A6517" s="61" t="s">
        <v>28</v>
      </c>
      <c r="B6517" s="145">
        <v>44164</v>
      </c>
      <c r="C6517" s="4">
        <v>26</v>
      </c>
      <c r="D6517" s="29">
        <f t="shared" si="549"/>
        <v>8694</v>
      </c>
      <c r="F6517" s="129">
        <f t="shared" si="550"/>
        <v>316</v>
      </c>
    </row>
    <row r="6518" spans="1:6" ht="15.75" thickBot="1" x14ac:dyDescent="0.3">
      <c r="A6518" s="61" t="s">
        <v>24</v>
      </c>
      <c r="B6518" s="145">
        <v>44164</v>
      </c>
      <c r="C6518" s="4">
        <v>47</v>
      </c>
      <c r="D6518" s="29">
        <f t="shared" si="549"/>
        <v>56395</v>
      </c>
      <c r="E6518" s="4">
        <f>1</f>
        <v>1</v>
      </c>
      <c r="F6518" s="129">
        <f t="shared" si="550"/>
        <v>1107</v>
      </c>
    </row>
    <row r="6519" spans="1:6" ht="15.75" thickBot="1" x14ac:dyDescent="0.3">
      <c r="A6519" s="61" t="s">
        <v>30</v>
      </c>
      <c r="B6519" s="145">
        <v>44164</v>
      </c>
      <c r="C6519" s="4">
        <v>2</v>
      </c>
      <c r="D6519" s="29">
        <f t="shared" si="549"/>
        <v>495</v>
      </c>
      <c r="F6519" s="129">
        <f t="shared" si="550"/>
        <v>9</v>
      </c>
    </row>
    <row r="6520" spans="1:6" ht="15.75" thickBot="1" x14ac:dyDescent="0.3">
      <c r="A6520" s="61" t="s">
        <v>26</v>
      </c>
      <c r="B6520" s="145">
        <v>44164</v>
      </c>
      <c r="C6520" s="4">
        <v>122</v>
      </c>
      <c r="D6520" s="29">
        <f t="shared" si="549"/>
        <v>31840</v>
      </c>
      <c r="E6520" s="4">
        <f>3+2</f>
        <v>5</v>
      </c>
      <c r="F6520" s="129">
        <f t="shared" si="550"/>
        <v>621</v>
      </c>
    </row>
    <row r="6521" spans="1:6" ht="15.75" thickBot="1" x14ac:dyDescent="0.3">
      <c r="A6521" s="61" t="s">
        <v>25</v>
      </c>
      <c r="B6521" s="145">
        <v>44164</v>
      </c>
      <c r="C6521" s="4">
        <v>108</v>
      </c>
      <c r="D6521" s="29">
        <f t="shared" si="549"/>
        <v>31521</v>
      </c>
      <c r="E6521" s="4">
        <f>2</f>
        <v>2</v>
      </c>
      <c r="F6521" s="129">
        <f t="shared" si="550"/>
        <v>775</v>
      </c>
    </row>
    <row r="6522" spans="1:6" ht="15.75" thickBot="1" x14ac:dyDescent="0.3">
      <c r="A6522" s="61" t="s">
        <v>41</v>
      </c>
      <c r="B6522" s="145">
        <v>44164</v>
      </c>
      <c r="C6522" s="4">
        <v>28</v>
      </c>
      <c r="D6522" s="29">
        <f t="shared" si="549"/>
        <v>21140</v>
      </c>
      <c r="E6522" s="4">
        <v>1</v>
      </c>
      <c r="F6522" s="129">
        <f t="shared" si="550"/>
        <v>992</v>
      </c>
    </row>
    <row r="6523" spans="1:6" ht="15.75" thickBot="1" x14ac:dyDescent="0.3">
      <c r="A6523" s="61" t="s">
        <v>42</v>
      </c>
      <c r="B6523" s="145">
        <v>44164</v>
      </c>
      <c r="C6523" s="4">
        <v>65</v>
      </c>
      <c r="D6523" s="29">
        <f t="shared" si="549"/>
        <v>7319</v>
      </c>
      <c r="F6523" s="129">
        <f t="shared" si="550"/>
        <v>171</v>
      </c>
    </row>
    <row r="6524" spans="1:6" ht="15.75" thickBot="1" x14ac:dyDescent="0.3">
      <c r="A6524" s="61" t="s">
        <v>43</v>
      </c>
      <c r="B6524" s="145">
        <v>44164</v>
      </c>
      <c r="C6524" s="4">
        <v>192</v>
      </c>
      <c r="D6524" s="29">
        <f t="shared" si="549"/>
        <v>14288</v>
      </c>
      <c r="E6524" s="4">
        <f>2+2</f>
        <v>4</v>
      </c>
      <c r="F6524" s="129">
        <f t="shared" si="550"/>
        <v>212</v>
      </c>
    </row>
    <row r="6525" spans="1:6" ht="15.75" thickBot="1" x14ac:dyDescent="0.3">
      <c r="A6525" s="61" t="s">
        <v>44</v>
      </c>
      <c r="B6525" s="145">
        <v>44164</v>
      </c>
      <c r="C6525" s="4">
        <v>211</v>
      </c>
      <c r="D6525" s="29">
        <f t="shared" si="549"/>
        <v>15772</v>
      </c>
      <c r="E6525" s="4">
        <f>4</f>
        <v>4</v>
      </c>
      <c r="F6525" s="129">
        <f t="shared" si="550"/>
        <v>273</v>
      </c>
    </row>
    <row r="6526" spans="1:6" ht="15.75" thickBot="1" x14ac:dyDescent="0.3">
      <c r="A6526" s="61" t="s">
        <v>29</v>
      </c>
      <c r="B6526" s="145">
        <v>44164</v>
      </c>
      <c r="C6526" s="4">
        <v>1004</v>
      </c>
      <c r="D6526" s="29">
        <f t="shared" si="549"/>
        <v>146505</v>
      </c>
      <c r="E6526" s="4">
        <f>11+7</f>
        <v>18</v>
      </c>
      <c r="F6526" s="129">
        <f t="shared" si="550"/>
        <v>2235</v>
      </c>
    </row>
    <row r="6527" spans="1:6" ht="15.75" thickBot="1" x14ac:dyDescent="0.3">
      <c r="A6527" s="61" t="s">
        <v>45</v>
      </c>
      <c r="B6527" s="145">
        <v>44164</v>
      </c>
      <c r="C6527" s="4">
        <v>151</v>
      </c>
      <c r="D6527" s="29">
        <f t="shared" si="549"/>
        <v>15590</v>
      </c>
      <c r="F6527" s="129">
        <f t="shared" si="550"/>
        <v>188</v>
      </c>
    </row>
    <row r="6528" spans="1:6" ht="15.75" thickBot="1" x14ac:dyDescent="0.3">
      <c r="A6528" s="61" t="s">
        <v>46</v>
      </c>
      <c r="B6528" s="145">
        <v>44164</v>
      </c>
      <c r="C6528" s="4">
        <v>83</v>
      </c>
      <c r="D6528" s="29">
        <f t="shared" si="549"/>
        <v>16090</v>
      </c>
      <c r="F6528" s="129">
        <f t="shared" si="550"/>
        <v>230</v>
      </c>
    </row>
    <row r="6529" spans="1:7" ht="15.75" thickBot="1" x14ac:dyDescent="0.3">
      <c r="A6529" s="61" t="s">
        <v>47</v>
      </c>
      <c r="B6529" s="145">
        <v>44164</v>
      </c>
      <c r="C6529" s="4">
        <v>200</v>
      </c>
      <c r="D6529" s="132">
        <f>C6529+D6505</f>
        <v>65630</v>
      </c>
      <c r="E6529" s="4">
        <f>5+6</f>
        <v>11</v>
      </c>
      <c r="F6529" s="130">
        <f t="shared" si="550"/>
        <v>1177</v>
      </c>
    </row>
    <row r="6530" spans="1:7" ht="15.75" thickBot="1" x14ac:dyDescent="0.3">
      <c r="A6530" s="61" t="s">
        <v>22</v>
      </c>
      <c r="B6530" s="145">
        <v>44165</v>
      </c>
      <c r="C6530" s="4">
        <v>1455</v>
      </c>
      <c r="D6530" s="131">
        <f t="shared" si="549"/>
        <v>618726</v>
      </c>
      <c r="E6530" s="4">
        <v>136</v>
      </c>
      <c r="F6530" s="128">
        <f t="shared" si="550"/>
        <v>20721</v>
      </c>
      <c r="G6530" s="88"/>
    </row>
    <row r="6531" spans="1:7" ht="15.75" thickBot="1" x14ac:dyDescent="0.3">
      <c r="A6531" s="61" t="s">
        <v>20</v>
      </c>
      <c r="B6531" s="145">
        <v>44165</v>
      </c>
      <c r="C6531" s="4">
        <v>321</v>
      </c>
      <c r="D6531" s="29">
        <f t="shared" si="549"/>
        <v>158805</v>
      </c>
      <c r="E6531" s="4">
        <v>15</v>
      </c>
      <c r="F6531" s="129">
        <f t="shared" si="550"/>
        <v>5213</v>
      </c>
      <c r="G6531" s="88"/>
    </row>
    <row r="6532" spans="1:7" ht="15.75" thickBot="1" x14ac:dyDescent="0.3">
      <c r="A6532" s="61" t="s">
        <v>35</v>
      </c>
      <c r="B6532" s="145">
        <v>44165</v>
      </c>
      <c r="C6532" s="4">
        <v>17</v>
      </c>
      <c r="D6532" s="29">
        <f t="shared" si="549"/>
        <v>1867</v>
      </c>
      <c r="E6532" s="4">
        <v>0</v>
      </c>
      <c r="F6532" s="129">
        <f t="shared" si="550"/>
        <v>15</v>
      </c>
      <c r="G6532" s="88"/>
    </row>
    <row r="6533" spans="1:7" ht="15.75" thickBot="1" x14ac:dyDescent="0.3">
      <c r="A6533" s="61" t="s">
        <v>21</v>
      </c>
      <c r="B6533" s="145">
        <v>44165</v>
      </c>
      <c r="C6533" s="4">
        <v>236</v>
      </c>
      <c r="D6533" s="29">
        <f t="shared" si="549"/>
        <v>19357</v>
      </c>
      <c r="E6533" s="4">
        <v>5</v>
      </c>
      <c r="F6533" s="129">
        <f t="shared" si="550"/>
        <v>562</v>
      </c>
      <c r="G6533" s="88"/>
    </row>
    <row r="6534" spans="1:7" ht="15.75" thickBot="1" x14ac:dyDescent="0.3">
      <c r="A6534" s="61" t="s">
        <v>36</v>
      </c>
      <c r="B6534" s="145">
        <v>44165</v>
      </c>
      <c r="C6534" s="4">
        <v>220</v>
      </c>
      <c r="D6534" s="29">
        <f t="shared" si="549"/>
        <v>22851</v>
      </c>
      <c r="E6534" s="4">
        <v>1</v>
      </c>
      <c r="F6534" s="129">
        <f t="shared" si="550"/>
        <v>377</v>
      </c>
      <c r="G6534" s="88"/>
    </row>
    <row r="6535" spans="1:7" ht="15.75" thickBot="1" x14ac:dyDescent="0.3">
      <c r="A6535" s="61" t="s">
        <v>27</v>
      </c>
      <c r="B6535" s="145">
        <v>44165</v>
      </c>
      <c r="C6535" s="4">
        <v>350</v>
      </c>
      <c r="D6535" s="29">
        <f t="shared" si="549"/>
        <v>114207</v>
      </c>
      <c r="E6535" s="4">
        <v>22</v>
      </c>
      <c r="F6535" s="129">
        <f t="shared" si="550"/>
        <v>1972</v>
      </c>
      <c r="G6535" s="88"/>
    </row>
    <row r="6536" spans="1:7" ht="15.75" thickBot="1" x14ac:dyDescent="0.3">
      <c r="A6536" s="61" t="s">
        <v>37</v>
      </c>
      <c r="B6536" s="145">
        <v>44165</v>
      </c>
      <c r="C6536" s="4">
        <v>295</v>
      </c>
      <c r="D6536" s="29">
        <f t="shared" si="549"/>
        <v>7098</v>
      </c>
      <c r="E6536" s="4">
        <v>0</v>
      </c>
      <c r="F6536" s="129">
        <f t="shared" si="550"/>
        <v>86</v>
      </c>
      <c r="G6536" s="88"/>
    </row>
    <row r="6537" spans="1:7" ht="15.75" thickBot="1" x14ac:dyDescent="0.3">
      <c r="A6537" s="61" t="s">
        <v>38</v>
      </c>
      <c r="B6537" s="145">
        <v>44165</v>
      </c>
      <c r="C6537" s="4">
        <v>116</v>
      </c>
      <c r="D6537" s="29">
        <f t="shared" si="549"/>
        <v>23365</v>
      </c>
      <c r="E6537" s="4">
        <v>4</v>
      </c>
      <c r="F6537" s="129">
        <f t="shared" si="550"/>
        <v>469</v>
      </c>
      <c r="G6537" s="88"/>
    </row>
    <row r="6538" spans="1:7" ht="15.75" thickBot="1" x14ac:dyDescent="0.3">
      <c r="A6538" s="61" t="s">
        <v>48</v>
      </c>
      <c r="B6538" s="145">
        <v>44165</v>
      </c>
      <c r="C6538" s="4">
        <v>0</v>
      </c>
      <c r="D6538" s="29">
        <f t="shared" si="549"/>
        <v>182</v>
      </c>
      <c r="E6538" s="4">
        <v>0</v>
      </c>
      <c r="F6538" s="129">
        <f t="shared" si="550"/>
        <v>3</v>
      </c>
      <c r="G6538" s="88"/>
    </row>
    <row r="6539" spans="1:7" ht="15.75" thickBot="1" x14ac:dyDescent="0.3">
      <c r="A6539" s="61" t="s">
        <v>39</v>
      </c>
      <c r="B6539" s="145">
        <v>44165</v>
      </c>
      <c r="C6539" s="4">
        <v>11</v>
      </c>
      <c r="D6539" s="29">
        <f t="shared" si="549"/>
        <v>18381</v>
      </c>
      <c r="E6539" s="4">
        <v>0</v>
      </c>
      <c r="F6539" s="129">
        <f t="shared" si="550"/>
        <v>848</v>
      </c>
      <c r="G6539" s="88"/>
    </row>
    <row r="6540" spans="1:7" ht="15.75" thickBot="1" x14ac:dyDescent="0.3">
      <c r="A6540" s="61" t="s">
        <v>40</v>
      </c>
      <c r="B6540" s="145">
        <v>44165</v>
      </c>
      <c r="C6540" s="4">
        <v>60</v>
      </c>
      <c r="D6540" s="29">
        <f t="shared" si="549"/>
        <v>5770</v>
      </c>
      <c r="E6540" s="4">
        <v>8</v>
      </c>
      <c r="F6540" s="129">
        <f t="shared" si="550"/>
        <v>83</v>
      </c>
      <c r="G6540" s="88"/>
    </row>
    <row r="6541" spans="1:7" ht="15.75" thickBot="1" x14ac:dyDescent="0.3">
      <c r="A6541" s="61" t="s">
        <v>28</v>
      </c>
      <c r="B6541" s="145">
        <v>44165</v>
      </c>
      <c r="C6541" s="4">
        <v>28</v>
      </c>
      <c r="D6541" s="29">
        <f t="shared" si="549"/>
        <v>8722</v>
      </c>
      <c r="E6541" s="4">
        <v>0</v>
      </c>
      <c r="F6541" s="129">
        <f t="shared" si="550"/>
        <v>316</v>
      </c>
      <c r="G6541" s="88"/>
    </row>
    <row r="6542" spans="1:7" ht="15.75" thickBot="1" x14ac:dyDescent="0.3">
      <c r="A6542" s="61" t="s">
        <v>24</v>
      </c>
      <c r="B6542" s="145">
        <v>44165</v>
      </c>
      <c r="C6542" s="4">
        <v>151</v>
      </c>
      <c r="D6542" s="29">
        <f t="shared" si="549"/>
        <v>56546</v>
      </c>
      <c r="E6542" s="4">
        <v>1</v>
      </c>
      <c r="F6542" s="129">
        <f t="shared" si="550"/>
        <v>1108</v>
      </c>
      <c r="G6542" s="88"/>
    </row>
    <row r="6543" spans="1:7" ht="15.75" thickBot="1" x14ac:dyDescent="0.3">
      <c r="A6543" s="61" t="s">
        <v>30</v>
      </c>
      <c r="B6543" s="145">
        <v>44165</v>
      </c>
      <c r="C6543" s="4">
        <v>5</v>
      </c>
      <c r="D6543" s="29">
        <f t="shared" si="549"/>
        <v>500</v>
      </c>
      <c r="E6543" s="4">
        <v>0</v>
      </c>
      <c r="F6543" s="129">
        <f t="shared" si="550"/>
        <v>9</v>
      </c>
      <c r="G6543" s="88"/>
    </row>
    <row r="6544" spans="1:7" ht="15.75" thickBot="1" x14ac:dyDescent="0.3">
      <c r="A6544" s="61" t="s">
        <v>26</v>
      </c>
      <c r="B6544" s="145">
        <v>44165</v>
      </c>
      <c r="C6544" s="4">
        <v>228</v>
      </c>
      <c r="D6544" s="29">
        <f t="shared" si="549"/>
        <v>32068</v>
      </c>
      <c r="E6544" s="4">
        <v>0</v>
      </c>
      <c r="F6544" s="129">
        <f t="shared" si="550"/>
        <v>621</v>
      </c>
      <c r="G6544" s="88"/>
    </row>
    <row r="6545" spans="1:9" ht="15.75" thickBot="1" x14ac:dyDescent="0.3">
      <c r="A6545" s="61" t="s">
        <v>25</v>
      </c>
      <c r="B6545" s="145">
        <v>44165</v>
      </c>
      <c r="C6545" s="4">
        <v>184</v>
      </c>
      <c r="D6545" s="29">
        <f t="shared" si="549"/>
        <v>31705</v>
      </c>
      <c r="E6545" s="4">
        <v>5</v>
      </c>
      <c r="F6545" s="129">
        <f t="shared" si="550"/>
        <v>780</v>
      </c>
      <c r="G6545" s="88"/>
    </row>
    <row r="6546" spans="1:9" ht="15.75" thickBot="1" x14ac:dyDescent="0.3">
      <c r="A6546" s="61" t="s">
        <v>41</v>
      </c>
      <c r="B6546" s="145">
        <v>44165</v>
      </c>
      <c r="C6546" s="4">
        <v>19</v>
      </c>
      <c r="D6546" s="29">
        <f t="shared" ref="D6546:D6552" si="551">C6546+D6522</f>
        <v>21159</v>
      </c>
      <c r="E6546" s="4">
        <v>3</v>
      </c>
      <c r="F6546" s="129">
        <f t="shared" si="550"/>
        <v>995</v>
      </c>
      <c r="G6546" s="88"/>
    </row>
    <row r="6547" spans="1:9" ht="15.75" thickBot="1" x14ac:dyDescent="0.3">
      <c r="A6547" s="61" t="s">
        <v>42</v>
      </c>
      <c r="B6547" s="145">
        <v>44165</v>
      </c>
      <c r="C6547" s="4">
        <v>147</v>
      </c>
      <c r="D6547" s="29">
        <f t="shared" si="551"/>
        <v>7466</v>
      </c>
      <c r="E6547" s="4">
        <v>0</v>
      </c>
      <c r="F6547" s="129">
        <f t="shared" si="550"/>
        <v>171</v>
      </c>
      <c r="G6547" s="88"/>
    </row>
    <row r="6548" spans="1:9" ht="15.75" thickBot="1" x14ac:dyDescent="0.3">
      <c r="A6548" s="61" t="s">
        <v>43</v>
      </c>
      <c r="B6548" s="145">
        <v>44165</v>
      </c>
      <c r="C6548" s="4">
        <v>167</v>
      </c>
      <c r="D6548" s="29">
        <f t="shared" si="551"/>
        <v>14455</v>
      </c>
      <c r="E6548" s="4">
        <v>0</v>
      </c>
      <c r="F6548" s="129">
        <f t="shared" si="550"/>
        <v>212</v>
      </c>
      <c r="G6548" s="88"/>
    </row>
    <row r="6549" spans="1:9" ht="15.75" thickBot="1" x14ac:dyDescent="0.3">
      <c r="A6549" s="61" t="s">
        <v>44</v>
      </c>
      <c r="B6549" s="145">
        <v>44165</v>
      </c>
      <c r="C6549" s="4">
        <v>154</v>
      </c>
      <c r="D6549" s="29">
        <f t="shared" si="551"/>
        <v>15926</v>
      </c>
      <c r="E6549" s="4">
        <v>2</v>
      </c>
      <c r="F6549" s="129">
        <f t="shared" si="550"/>
        <v>275</v>
      </c>
      <c r="G6549" s="88"/>
    </row>
    <row r="6550" spans="1:9" ht="15.75" thickBot="1" x14ac:dyDescent="0.3">
      <c r="A6550" s="61" t="s">
        <v>29</v>
      </c>
      <c r="B6550" s="145">
        <v>44165</v>
      </c>
      <c r="C6550" s="4">
        <v>1115</v>
      </c>
      <c r="D6550" s="29">
        <f t="shared" si="551"/>
        <v>147620</v>
      </c>
      <c r="E6550" s="4">
        <v>44</v>
      </c>
      <c r="F6550" s="129">
        <f t="shared" si="550"/>
        <v>2279</v>
      </c>
      <c r="G6550" s="88"/>
    </row>
    <row r="6551" spans="1:9" ht="15.75" thickBot="1" x14ac:dyDescent="0.3">
      <c r="A6551" s="61" t="s">
        <v>45</v>
      </c>
      <c r="B6551" s="145">
        <v>44165</v>
      </c>
      <c r="C6551" s="4">
        <v>53</v>
      </c>
      <c r="D6551" s="29">
        <f t="shared" si="551"/>
        <v>15643</v>
      </c>
      <c r="E6551" s="4">
        <v>1</v>
      </c>
      <c r="F6551" s="129">
        <f t="shared" si="550"/>
        <v>189</v>
      </c>
      <c r="G6551" s="88"/>
    </row>
    <row r="6552" spans="1:9" ht="15.75" thickBot="1" x14ac:dyDescent="0.3">
      <c r="A6552" s="61" t="s">
        <v>46</v>
      </c>
      <c r="B6552" s="145">
        <v>44165</v>
      </c>
      <c r="C6552" s="4">
        <v>91</v>
      </c>
      <c r="D6552" s="29">
        <f t="shared" si="551"/>
        <v>16181</v>
      </c>
      <c r="E6552" s="4">
        <v>3</v>
      </c>
      <c r="F6552" s="129">
        <f t="shared" si="550"/>
        <v>233</v>
      </c>
      <c r="G6552" s="88"/>
    </row>
    <row r="6553" spans="1:9" ht="15.75" thickBot="1" x14ac:dyDescent="0.3">
      <c r="A6553" s="61" t="s">
        <v>47</v>
      </c>
      <c r="B6553" s="145">
        <v>44165</v>
      </c>
      <c r="C6553" s="4">
        <v>303</v>
      </c>
      <c r="D6553" s="132">
        <f>C6553+D6529</f>
        <v>65933</v>
      </c>
      <c r="E6553" s="4">
        <v>7</v>
      </c>
      <c r="F6553" s="130">
        <f t="shared" si="550"/>
        <v>1184</v>
      </c>
    </row>
    <row r="6554" spans="1:9" ht="15.75" thickBot="1" x14ac:dyDescent="0.3">
      <c r="A6554" s="61" t="s">
        <v>22</v>
      </c>
      <c r="B6554" s="145">
        <v>44166</v>
      </c>
      <c r="C6554" s="4">
        <v>2128</v>
      </c>
      <c r="D6554" s="131">
        <f t="shared" ref="D6554:D6617" si="552">C6554+D6530</f>
        <v>620854</v>
      </c>
      <c r="E6554" s="4">
        <v>67</v>
      </c>
      <c r="F6554" s="128">
        <f t="shared" si="550"/>
        <v>20788</v>
      </c>
      <c r="G6554" s="88"/>
      <c r="H6554" s="88"/>
      <c r="I6554" s="88"/>
    </row>
    <row r="6555" spans="1:9" ht="15.75" thickBot="1" x14ac:dyDescent="0.3">
      <c r="A6555" s="61" t="s">
        <v>20</v>
      </c>
      <c r="B6555" s="145">
        <v>44166</v>
      </c>
      <c r="C6555" s="4">
        <v>398</v>
      </c>
      <c r="D6555" s="29">
        <f t="shared" si="552"/>
        <v>159203</v>
      </c>
      <c r="E6555" s="4">
        <v>14</v>
      </c>
      <c r="F6555" s="129">
        <f t="shared" si="550"/>
        <v>5227</v>
      </c>
      <c r="G6555" s="88"/>
      <c r="H6555" s="88"/>
      <c r="I6555" s="88"/>
    </row>
    <row r="6556" spans="1:9" ht="15.75" thickBot="1" x14ac:dyDescent="0.3">
      <c r="A6556" s="61" t="s">
        <v>35</v>
      </c>
      <c r="B6556" s="145">
        <v>44166</v>
      </c>
      <c r="C6556" s="4">
        <v>16</v>
      </c>
      <c r="D6556" s="29">
        <f t="shared" si="552"/>
        <v>1883</v>
      </c>
      <c r="E6556" s="4">
        <v>0</v>
      </c>
      <c r="F6556" s="129">
        <f t="shared" si="550"/>
        <v>15</v>
      </c>
      <c r="G6556" s="88"/>
    </row>
    <row r="6557" spans="1:9" ht="15.75" thickBot="1" x14ac:dyDescent="0.3">
      <c r="A6557" s="61" t="s">
        <v>21</v>
      </c>
      <c r="B6557" s="145">
        <v>44166</v>
      </c>
      <c r="C6557" s="4">
        <v>238</v>
      </c>
      <c r="D6557" s="29">
        <f t="shared" si="552"/>
        <v>19595</v>
      </c>
      <c r="E6557" s="4">
        <v>4</v>
      </c>
      <c r="F6557" s="129">
        <f t="shared" si="550"/>
        <v>566</v>
      </c>
      <c r="G6557" s="88"/>
      <c r="H6557" s="88"/>
      <c r="I6557" s="88"/>
    </row>
    <row r="6558" spans="1:9" ht="15.75" thickBot="1" x14ac:dyDescent="0.3">
      <c r="A6558" s="61" t="s">
        <v>36</v>
      </c>
      <c r="B6558" s="145">
        <v>44166</v>
      </c>
      <c r="C6558" s="4">
        <v>438</v>
      </c>
      <c r="D6558" s="29">
        <f t="shared" si="552"/>
        <v>23289</v>
      </c>
      <c r="E6558" s="4">
        <v>4</v>
      </c>
      <c r="F6558" s="129">
        <f t="shared" si="550"/>
        <v>381</v>
      </c>
      <c r="G6558" s="88"/>
      <c r="H6558" s="88"/>
      <c r="I6558" s="88"/>
    </row>
    <row r="6559" spans="1:9" ht="15.75" thickBot="1" x14ac:dyDescent="0.3">
      <c r="A6559" s="61" t="s">
        <v>27</v>
      </c>
      <c r="B6559" s="145">
        <v>44166</v>
      </c>
      <c r="C6559" s="4">
        <v>715</v>
      </c>
      <c r="D6559" s="29">
        <f t="shared" si="552"/>
        <v>114922</v>
      </c>
      <c r="E6559" s="4">
        <v>36</v>
      </c>
      <c r="F6559" s="129">
        <f t="shared" si="550"/>
        <v>2008</v>
      </c>
      <c r="G6559" s="88"/>
      <c r="H6559" s="88"/>
      <c r="I6559" s="88"/>
    </row>
    <row r="6560" spans="1:9" ht="15.75" thickBot="1" x14ac:dyDescent="0.3">
      <c r="A6560" s="61" t="s">
        <v>37</v>
      </c>
      <c r="B6560" s="145">
        <v>44166</v>
      </c>
      <c r="C6560" s="4">
        <v>193</v>
      </c>
      <c r="D6560" s="29">
        <f t="shared" si="552"/>
        <v>7291</v>
      </c>
      <c r="E6560" s="4">
        <v>2</v>
      </c>
      <c r="F6560" s="129">
        <f t="shared" si="550"/>
        <v>88</v>
      </c>
      <c r="G6560" s="88"/>
      <c r="I6560" s="88"/>
    </row>
    <row r="6561" spans="1:9" ht="15.75" thickBot="1" x14ac:dyDescent="0.3">
      <c r="A6561" s="61" t="s">
        <v>38</v>
      </c>
      <c r="B6561" s="145">
        <v>44166</v>
      </c>
      <c r="C6561" s="4">
        <v>139</v>
      </c>
      <c r="D6561" s="29">
        <f t="shared" si="552"/>
        <v>23504</v>
      </c>
      <c r="E6561" s="4">
        <v>2</v>
      </c>
      <c r="F6561" s="129">
        <f t="shared" si="550"/>
        <v>471</v>
      </c>
      <c r="G6561" s="88"/>
      <c r="H6561" s="88"/>
      <c r="I6561" s="88"/>
    </row>
    <row r="6562" spans="1:9" ht="15.75" thickBot="1" x14ac:dyDescent="0.3">
      <c r="A6562" s="61" t="s">
        <v>48</v>
      </c>
      <c r="B6562" s="145">
        <v>44166</v>
      </c>
      <c r="C6562" s="4">
        <v>1</v>
      </c>
      <c r="D6562" s="29">
        <f t="shared" si="552"/>
        <v>183</v>
      </c>
      <c r="E6562" s="4">
        <v>0</v>
      </c>
      <c r="F6562" s="129">
        <f t="shared" si="550"/>
        <v>3</v>
      </c>
      <c r="G6562" s="88"/>
    </row>
    <row r="6563" spans="1:9" ht="15.75" thickBot="1" x14ac:dyDescent="0.3">
      <c r="A6563" s="61" t="s">
        <v>39</v>
      </c>
      <c r="B6563" s="145">
        <v>44166</v>
      </c>
      <c r="C6563" s="4">
        <v>16</v>
      </c>
      <c r="D6563" s="29">
        <f t="shared" si="552"/>
        <v>18397</v>
      </c>
      <c r="E6563" s="4">
        <v>2</v>
      </c>
      <c r="F6563" s="129">
        <f t="shared" si="550"/>
        <v>850</v>
      </c>
      <c r="G6563" s="88"/>
      <c r="H6563" s="88"/>
      <c r="I6563" s="88"/>
    </row>
    <row r="6564" spans="1:9" ht="15.75" thickBot="1" x14ac:dyDescent="0.3">
      <c r="A6564" s="61" t="s">
        <v>40</v>
      </c>
      <c r="B6564" s="145">
        <v>44166</v>
      </c>
      <c r="C6564" s="4">
        <v>103</v>
      </c>
      <c r="D6564" s="29">
        <f t="shared" si="552"/>
        <v>5873</v>
      </c>
      <c r="E6564" s="4">
        <v>2</v>
      </c>
      <c r="F6564" s="129">
        <f t="shared" si="550"/>
        <v>85</v>
      </c>
      <c r="G6564" s="88"/>
      <c r="H6564" s="88"/>
    </row>
    <row r="6565" spans="1:9" ht="15.75" thickBot="1" x14ac:dyDescent="0.3">
      <c r="A6565" s="61" t="s">
        <v>28</v>
      </c>
      <c r="B6565" s="145">
        <v>44166</v>
      </c>
      <c r="C6565" s="4">
        <v>13</v>
      </c>
      <c r="D6565" s="29">
        <f t="shared" si="552"/>
        <v>8735</v>
      </c>
      <c r="E6565" s="4">
        <v>0</v>
      </c>
      <c r="F6565" s="129">
        <f t="shared" si="550"/>
        <v>316</v>
      </c>
      <c r="G6565" s="88"/>
    </row>
    <row r="6566" spans="1:9" ht="15.75" thickBot="1" x14ac:dyDescent="0.3">
      <c r="A6566" s="61" t="s">
        <v>24</v>
      </c>
      <c r="B6566" s="145">
        <v>44166</v>
      </c>
      <c r="C6566" s="4">
        <v>263</v>
      </c>
      <c r="D6566" s="29">
        <f t="shared" si="552"/>
        <v>56809</v>
      </c>
      <c r="E6566" s="4">
        <v>2</v>
      </c>
      <c r="F6566" s="129">
        <f t="shared" si="550"/>
        <v>1110</v>
      </c>
      <c r="G6566" s="88"/>
      <c r="H6566" s="88"/>
    </row>
    <row r="6567" spans="1:9" ht="15.75" thickBot="1" x14ac:dyDescent="0.3">
      <c r="A6567" s="61" t="s">
        <v>30</v>
      </c>
      <c r="B6567" s="145">
        <v>44166</v>
      </c>
      <c r="C6567" s="4">
        <v>19</v>
      </c>
      <c r="D6567" s="29">
        <f t="shared" si="552"/>
        <v>519</v>
      </c>
      <c r="E6567" s="4">
        <v>0</v>
      </c>
      <c r="F6567" s="129">
        <f t="shared" si="550"/>
        <v>9</v>
      </c>
      <c r="G6567" s="88"/>
    </row>
    <row r="6568" spans="1:9" ht="15.75" thickBot="1" x14ac:dyDescent="0.3">
      <c r="A6568" s="61" t="s">
        <v>26</v>
      </c>
      <c r="B6568" s="145">
        <v>44166</v>
      </c>
      <c r="C6568" s="4">
        <v>344</v>
      </c>
      <c r="D6568" s="29">
        <f t="shared" si="552"/>
        <v>32412</v>
      </c>
      <c r="E6568" s="4">
        <v>0</v>
      </c>
      <c r="F6568" s="129">
        <f t="shared" si="550"/>
        <v>621</v>
      </c>
      <c r="G6568" s="88"/>
    </row>
    <row r="6569" spans="1:9" ht="15.75" thickBot="1" x14ac:dyDescent="0.3">
      <c r="A6569" s="61" t="s">
        <v>25</v>
      </c>
      <c r="B6569" s="145">
        <v>44166</v>
      </c>
      <c r="C6569" s="4">
        <v>244</v>
      </c>
      <c r="D6569" s="29">
        <f t="shared" si="552"/>
        <v>31949</v>
      </c>
      <c r="E6569" s="4">
        <v>11</v>
      </c>
      <c r="F6569" s="129">
        <f t="shared" si="550"/>
        <v>791</v>
      </c>
      <c r="G6569" s="88"/>
      <c r="H6569" s="88"/>
      <c r="I6569" s="88"/>
    </row>
    <row r="6570" spans="1:9" ht="15.75" thickBot="1" x14ac:dyDescent="0.3">
      <c r="A6570" s="61" t="s">
        <v>41</v>
      </c>
      <c r="B6570" s="145">
        <v>44166</v>
      </c>
      <c r="C6570" s="4">
        <v>43</v>
      </c>
      <c r="D6570" s="29">
        <f t="shared" si="552"/>
        <v>21202</v>
      </c>
      <c r="E6570" s="4">
        <v>3</v>
      </c>
      <c r="F6570" s="129">
        <f t="shared" si="550"/>
        <v>998</v>
      </c>
      <c r="G6570" s="88"/>
      <c r="H6570" s="88"/>
    </row>
    <row r="6571" spans="1:9" ht="15.75" thickBot="1" x14ac:dyDescent="0.3">
      <c r="A6571" s="61" t="s">
        <v>42</v>
      </c>
      <c r="B6571" s="145">
        <v>44166</v>
      </c>
      <c r="C6571" s="4">
        <v>351</v>
      </c>
      <c r="D6571" s="29">
        <f t="shared" si="552"/>
        <v>7817</v>
      </c>
      <c r="E6571" s="4">
        <v>2</v>
      </c>
      <c r="F6571" s="129">
        <f t="shared" ref="F6571:F6625" si="553">E6571+F6547</f>
        <v>173</v>
      </c>
      <c r="G6571" s="88"/>
      <c r="H6571" s="88"/>
      <c r="I6571" s="88"/>
    </row>
    <row r="6572" spans="1:9" ht="15.75" thickBot="1" x14ac:dyDescent="0.3">
      <c r="A6572" s="61" t="s">
        <v>43</v>
      </c>
      <c r="B6572" s="145">
        <v>44166</v>
      </c>
      <c r="C6572" s="4">
        <v>253</v>
      </c>
      <c r="D6572" s="29">
        <f t="shared" si="552"/>
        <v>14708</v>
      </c>
      <c r="E6572" s="4">
        <v>3</v>
      </c>
      <c r="F6572" s="129">
        <f t="shared" si="553"/>
        <v>215</v>
      </c>
      <c r="G6572" s="88"/>
      <c r="H6572" s="88"/>
      <c r="I6572" s="88"/>
    </row>
    <row r="6573" spans="1:9" ht="15.75" thickBot="1" x14ac:dyDescent="0.3">
      <c r="A6573" s="61" t="s">
        <v>44</v>
      </c>
      <c r="B6573" s="145">
        <v>44166</v>
      </c>
      <c r="C6573" s="4">
        <v>315</v>
      </c>
      <c r="D6573" s="29">
        <f t="shared" si="552"/>
        <v>16241</v>
      </c>
      <c r="E6573" s="4">
        <v>6</v>
      </c>
      <c r="F6573" s="129">
        <f t="shared" si="553"/>
        <v>281</v>
      </c>
      <c r="G6573" s="88"/>
      <c r="H6573" s="88"/>
      <c r="I6573" s="88"/>
    </row>
    <row r="6574" spans="1:9" ht="15.75" thickBot="1" x14ac:dyDescent="0.3">
      <c r="A6574" s="61" t="s">
        <v>29</v>
      </c>
      <c r="B6574" s="145">
        <v>44166</v>
      </c>
      <c r="C6574" s="4">
        <v>1355</v>
      </c>
      <c r="D6574" s="29">
        <f t="shared" si="552"/>
        <v>148975</v>
      </c>
      <c r="E6574" s="4">
        <v>9</v>
      </c>
      <c r="F6574" s="129">
        <f t="shared" si="553"/>
        <v>2288</v>
      </c>
      <c r="G6574" s="88"/>
      <c r="H6574" s="88"/>
      <c r="I6574" s="88"/>
    </row>
    <row r="6575" spans="1:9" ht="15.75" thickBot="1" x14ac:dyDescent="0.3">
      <c r="A6575" s="61" t="s">
        <v>45</v>
      </c>
      <c r="B6575" s="145">
        <v>44166</v>
      </c>
      <c r="C6575" s="4">
        <v>71</v>
      </c>
      <c r="D6575" s="29">
        <f t="shared" si="552"/>
        <v>15714</v>
      </c>
      <c r="E6575" s="4">
        <v>1</v>
      </c>
      <c r="F6575" s="129">
        <f t="shared" si="553"/>
        <v>190</v>
      </c>
      <c r="G6575" s="88"/>
      <c r="I6575" s="88"/>
    </row>
    <row r="6576" spans="1:9" ht="15.75" thickBot="1" x14ac:dyDescent="0.3">
      <c r="A6576" s="61" t="s">
        <v>46</v>
      </c>
      <c r="B6576" s="145">
        <v>44166</v>
      </c>
      <c r="C6576" s="4">
        <v>79</v>
      </c>
      <c r="D6576" s="29">
        <f t="shared" si="552"/>
        <v>16260</v>
      </c>
      <c r="E6576" s="4">
        <v>2</v>
      </c>
      <c r="F6576" s="129">
        <f t="shared" si="553"/>
        <v>235</v>
      </c>
      <c r="G6576" s="88"/>
      <c r="H6576" s="88"/>
    </row>
    <row r="6577" spans="1:9" ht="15.75" thickBot="1" x14ac:dyDescent="0.3">
      <c r="A6577" s="61" t="s">
        <v>47</v>
      </c>
      <c r="B6577" s="145">
        <v>44166</v>
      </c>
      <c r="C6577" s="4">
        <v>302</v>
      </c>
      <c r="D6577" s="132">
        <f>C6577+D6553</f>
        <v>66235</v>
      </c>
      <c r="E6577" s="4">
        <v>26</v>
      </c>
      <c r="F6577" s="130">
        <f t="shared" si="553"/>
        <v>1210</v>
      </c>
      <c r="H6577" s="88"/>
      <c r="I6577" s="88"/>
    </row>
    <row r="6578" spans="1:9" ht="15.75" thickBot="1" x14ac:dyDescent="0.3">
      <c r="A6578" s="61" t="s">
        <v>22</v>
      </c>
      <c r="B6578" s="145">
        <v>44167</v>
      </c>
      <c r="C6578" s="4">
        <v>1924</v>
      </c>
      <c r="D6578" s="131">
        <f t="shared" si="552"/>
        <v>622778</v>
      </c>
      <c r="E6578" s="4">
        <v>82</v>
      </c>
      <c r="F6578" s="128">
        <f t="shared" si="553"/>
        <v>20870</v>
      </c>
    </row>
    <row r="6579" spans="1:9" ht="15.75" thickBot="1" x14ac:dyDescent="0.3">
      <c r="A6579" s="61" t="s">
        <v>20</v>
      </c>
      <c r="B6579" s="145">
        <v>44167</v>
      </c>
      <c r="C6579" s="4">
        <v>306</v>
      </c>
      <c r="D6579" s="29">
        <f t="shared" si="552"/>
        <v>159509</v>
      </c>
      <c r="E6579" s="4">
        <v>12</v>
      </c>
      <c r="F6579" s="129">
        <f t="shared" si="553"/>
        <v>5239</v>
      </c>
    </row>
    <row r="6580" spans="1:9" ht="15.75" thickBot="1" x14ac:dyDescent="0.3">
      <c r="A6580" s="61" t="s">
        <v>35</v>
      </c>
      <c r="B6580" s="145">
        <v>44167</v>
      </c>
      <c r="C6580" s="4">
        <v>8</v>
      </c>
      <c r="D6580" s="29">
        <f t="shared" si="552"/>
        <v>1891</v>
      </c>
      <c r="E6580" s="4">
        <v>1</v>
      </c>
      <c r="F6580" s="129">
        <f t="shared" si="553"/>
        <v>16</v>
      </c>
    </row>
    <row r="6581" spans="1:9" ht="15.75" thickBot="1" x14ac:dyDescent="0.3">
      <c r="A6581" s="61" t="s">
        <v>21</v>
      </c>
      <c r="B6581" s="145">
        <v>44167</v>
      </c>
      <c r="C6581" s="4">
        <v>198</v>
      </c>
      <c r="D6581" s="29">
        <f t="shared" si="552"/>
        <v>19793</v>
      </c>
      <c r="E6581" s="4">
        <v>6</v>
      </c>
      <c r="F6581" s="129">
        <f t="shared" si="553"/>
        <v>572</v>
      </c>
    </row>
    <row r="6582" spans="1:9" ht="15.75" thickBot="1" x14ac:dyDescent="0.3">
      <c r="A6582" s="61" t="s">
        <v>36</v>
      </c>
      <c r="B6582" s="145">
        <v>44167</v>
      </c>
      <c r="C6582" s="4">
        <v>256</v>
      </c>
      <c r="D6582" s="29">
        <f t="shared" si="552"/>
        <v>23545</v>
      </c>
      <c r="E6582" s="4">
        <v>8</v>
      </c>
      <c r="F6582" s="129">
        <f t="shared" si="553"/>
        <v>389</v>
      </c>
    </row>
    <row r="6583" spans="1:9" ht="15.75" thickBot="1" x14ac:dyDescent="0.3">
      <c r="A6583" s="61" t="s">
        <v>27</v>
      </c>
      <c r="B6583" s="145">
        <v>44167</v>
      </c>
      <c r="C6583" s="4">
        <v>790</v>
      </c>
      <c r="D6583" s="29">
        <f t="shared" si="552"/>
        <v>115712</v>
      </c>
      <c r="E6583" s="4">
        <v>22</v>
      </c>
      <c r="F6583" s="129">
        <f t="shared" si="553"/>
        <v>2030</v>
      </c>
    </row>
    <row r="6584" spans="1:9" ht="15.75" thickBot="1" x14ac:dyDescent="0.3">
      <c r="A6584" s="61" t="s">
        <v>37</v>
      </c>
      <c r="B6584" s="145">
        <v>44167</v>
      </c>
      <c r="C6584" s="4">
        <v>211</v>
      </c>
      <c r="D6584" s="29">
        <f t="shared" si="552"/>
        <v>7502</v>
      </c>
      <c r="F6584" s="129">
        <f t="shared" si="553"/>
        <v>88</v>
      </c>
    </row>
    <row r="6585" spans="1:9" ht="15.75" thickBot="1" x14ac:dyDescent="0.3">
      <c r="A6585" s="61" t="s">
        <v>38</v>
      </c>
      <c r="B6585" s="145">
        <v>44167</v>
      </c>
      <c r="C6585" s="4">
        <v>296</v>
      </c>
      <c r="D6585" s="29">
        <f t="shared" si="552"/>
        <v>23800</v>
      </c>
      <c r="E6585" s="4">
        <v>4</v>
      </c>
      <c r="F6585" s="129">
        <f t="shared" si="553"/>
        <v>475</v>
      </c>
    </row>
    <row r="6586" spans="1:9" ht="15.75" thickBot="1" x14ac:dyDescent="0.3">
      <c r="A6586" s="61" t="s">
        <v>48</v>
      </c>
      <c r="B6586" s="145">
        <v>44167</v>
      </c>
      <c r="C6586" s="4">
        <v>4</v>
      </c>
      <c r="D6586" s="29">
        <f t="shared" si="552"/>
        <v>187</v>
      </c>
      <c r="F6586" s="129">
        <f t="shared" si="553"/>
        <v>3</v>
      </c>
    </row>
    <row r="6587" spans="1:9" ht="15.75" thickBot="1" x14ac:dyDescent="0.3">
      <c r="A6587" s="61" t="s">
        <v>39</v>
      </c>
      <c r="B6587" s="145">
        <v>44167</v>
      </c>
      <c r="C6587" s="4">
        <v>6</v>
      </c>
      <c r="D6587" s="29">
        <f t="shared" si="552"/>
        <v>18403</v>
      </c>
      <c r="F6587" s="129">
        <f t="shared" si="553"/>
        <v>850</v>
      </c>
    </row>
    <row r="6588" spans="1:9" ht="15.75" thickBot="1" x14ac:dyDescent="0.3">
      <c r="A6588" s="61" t="s">
        <v>40</v>
      </c>
      <c r="B6588" s="145">
        <v>44167</v>
      </c>
      <c r="C6588" s="4">
        <v>104</v>
      </c>
      <c r="D6588" s="29">
        <f t="shared" si="552"/>
        <v>5977</v>
      </c>
      <c r="F6588" s="129">
        <f t="shared" si="553"/>
        <v>85</v>
      </c>
    </row>
    <row r="6589" spans="1:9" ht="15.75" thickBot="1" x14ac:dyDescent="0.3">
      <c r="A6589" s="61" t="s">
        <v>28</v>
      </c>
      <c r="B6589" s="145">
        <v>44167</v>
      </c>
      <c r="C6589" s="4">
        <v>33</v>
      </c>
      <c r="D6589" s="29">
        <f t="shared" si="552"/>
        <v>8768</v>
      </c>
      <c r="E6589" s="4">
        <v>1</v>
      </c>
      <c r="F6589" s="129">
        <f t="shared" si="553"/>
        <v>317</v>
      </c>
    </row>
    <row r="6590" spans="1:9" ht="15.75" thickBot="1" x14ac:dyDescent="0.3">
      <c r="A6590" s="61" t="s">
        <v>24</v>
      </c>
      <c r="B6590" s="145">
        <v>44167</v>
      </c>
      <c r="C6590" s="4">
        <v>214</v>
      </c>
      <c r="D6590" s="29">
        <f t="shared" si="552"/>
        <v>57023</v>
      </c>
      <c r="E6590" s="4">
        <v>2</v>
      </c>
      <c r="F6590" s="129">
        <f t="shared" si="553"/>
        <v>1112</v>
      </c>
    </row>
    <row r="6591" spans="1:9" ht="15.75" thickBot="1" x14ac:dyDescent="0.3">
      <c r="A6591" s="61" t="s">
        <v>30</v>
      </c>
      <c r="B6591" s="145">
        <v>44167</v>
      </c>
      <c r="C6591" s="4">
        <v>14</v>
      </c>
      <c r="D6591" s="29">
        <f t="shared" si="552"/>
        <v>533</v>
      </c>
      <c r="F6591" s="129">
        <f t="shared" si="553"/>
        <v>9</v>
      </c>
    </row>
    <row r="6592" spans="1:9" ht="15.75" thickBot="1" x14ac:dyDescent="0.3">
      <c r="A6592" s="61" t="s">
        <v>26</v>
      </c>
      <c r="B6592" s="145">
        <v>44167</v>
      </c>
      <c r="C6592" s="4">
        <v>389</v>
      </c>
      <c r="D6592" s="29">
        <f t="shared" si="552"/>
        <v>32801</v>
      </c>
      <c r="E6592" s="4">
        <v>23</v>
      </c>
      <c r="F6592" s="129">
        <f t="shared" si="553"/>
        <v>644</v>
      </c>
    </row>
    <row r="6593" spans="1:8" ht="15.75" thickBot="1" x14ac:dyDescent="0.3">
      <c r="A6593" s="61" t="s">
        <v>25</v>
      </c>
      <c r="B6593" s="145">
        <v>44167</v>
      </c>
      <c r="C6593" s="4">
        <v>258</v>
      </c>
      <c r="D6593" s="29">
        <f t="shared" si="552"/>
        <v>32207</v>
      </c>
      <c r="E6593" s="4">
        <v>3</v>
      </c>
      <c r="F6593" s="129">
        <f t="shared" si="553"/>
        <v>794</v>
      </c>
    </row>
    <row r="6594" spans="1:8" ht="15.75" thickBot="1" x14ac:dyDescent="0.3">
      <c r="A6594" s="61" t="s">
        <v>41</v>
      </c>
      <c r="B6594" s="145">
        <v>44167</v>
      </c>
      <c r="C6594" s="4">
        <v>49</v>
      </c>
      <c r="D6594" s="29">
        <f t="shared" si="552"/>
        <v>21251</v>
      </c>
      <c r="E6594" s="4">
        <v>1</v>
      </c>
      <c r="F6594" s="129">
        <f t="shared" si="553"/>
        <v>999</v>
      </c>
    </row>
    <row r="6595" spans="1:8" ht="15.75" thickBot="1" x14ac:dyDescent="0.3">
      <c r="A6595" s="61" t="s">
        <v>42</v>
      </c>
      <c r="B6595" s="145">
        <v>44167</v>
      </c>
      <c r="C6595" s="4">
        <v>250</v>
      </c>
      <c r="D6595" s="29">
        <f t="shared" si="552"/>
        <v>8067</v>
      </c>
      <c r="F6595" s="129">
        <f t="shared" si="553"/>
        <v>173</v>
      </c>
    </row>
    <row r="6596" spans="1:8" ht="15.75" thickBot="1" x14ac:dyDescent="0.3">
      <c r="A6596" s="61" t="s">
        <v>43</v>
      </c>
      <c r="B6596" s="145">
        <v>44167</v>
      </c>
      <c r="C6596" s="4">
        <v>101</v>
      </c>
      <c r="D6596" s="29">
        <f t="shared" si="552"/>
        <v>14809</v>
      </c>
      <c r="E6596" s="4">
        <v>5</v>
      </c>
      <c r="F6596" s="129">
        <f t="shared" si="553"/>
        <v>220</v>
      </c>
    </row>
    <row r="6597" spans="1:8" ht="15.75" thickBot="1" x14ac:dyDescent="0.3">
      <c r="A6597" s="61" t="s">
        <v>44</v>
      </c>
      <c r="B6597" s="145">
        <v>44167</v>
      </c>
      <c r="C6597" s="4">
        <v>237</v>
      </c>
      <c r="D6597" s="29">
        <f t="shared" si="552"/>
        <v>16478</v>
      </c>
      <c r="E6597" s="4">
        <v>4</v>
      </c>
      <c r="F6597" s="129">
        <f t="shared" si="553"/>
        <v>285</v>
      </c>
    </row>
    <row r="6598" spans="1:8" ht="15.75" thickBot="1" x14ac:dyDescent="0.3">
      <c r="A6598" s="61" t="s">
        <v>29</v>
      </c>
      <c r="B6598" s="145">
        <v>44167</v>
      </c>
      <c r="C6598" s="4">
        <v>1377</v>
      </c>
      <c r="D6598" s="29">
        <f t="shared" si="552"/>
        <v>150352</v>
      </c>
      <c r="E6598" s="4">
        <v>41</v>
      </c>
      <c r="F6598" s="129">
        <f t="shared" si="553"/>
        <v>2329</v>
      </c>
    </row>
    <row r="6599" spans="1:8" ht="15.75" thickBot="1" x14ac:dyDescent="0.3">
      <c r="A6599" s="61" t="s">
        <v>45</v>
      </c>
      <c r="B6599" s="145">
        <v>44167</v>
      </c>
      <c r="C6599" s="4">
        <v>129</v>
      </c>
      <c r="D6599" s="29">
        <f t="shared" si="552"/>
        <v>15843</v>
      </c>
      <c r="E6599" s="4">
        <v>1</v>
      </c>
      <c r="F6599" s="129">
        <f t="shared" si="553"/>
        <v>191</v>
      </c>
    </row>
    <row r="6600" spans="1:8" ht="15.75" thickBot="1" x14ac:dyDescent="0.3">
      <c r="A6600" s="61" t="s">
        <v>46</v>
      </c>
      <c r="B6600" s="145">
        <v>44167</v>
      </c>
      <c r="C6600" s="4">
        <v>128</v>
      </c>
      <c r="D6600" s="29">
        <f t="shared" si="552"/>
        <v>16388</v>
      </c>
      <c r="F6600" s="129">
        <f t="shared" si="553"/>
        <v>235</v>
      </c>
    </row>
    <row r="6601" spans="1:8" ht="15.75" thickBot="1" x14ac:dyDescent="0.3">
      <c r="A6601" s="86" t="s">
        <v>47</v>
      </c>
      <c r="B6601" s="138">
        <v>44167</v>
      </c>
      <c r="C6601" s="47">
        <v>251</v>
      </c>
      <c r="D6601" s="85">
        <f>C6601+D6577</f>
        <v>66486</v>
      </c>
      <c r="E6601" s="47">
        <v>12</v>
      </c>
      <c r="F6601" s="139">
        <f t="shared" si="553"/>
        <v>1222</v>
      </c>
    </row>
    <row r="6602" spans="1:8" x14ac:dyDescent="0.25">
      <c r="A6602" s="64" t="s">
        <v>22</v>
      </c>
      <c r="B6602" s="49">
        <v>44168</v>
      </c>
      <c r="C6602" s="50">
        <v>1816</v>
      </c>
      <c r="D6602" s="131">
        <f t="shared" si="552"/>
        <v>624594</v>
      </c>
      <c r="E6602" s="50">
        <v>39</v>
      </c>
      <c r="F6602" s="128">
        <f t="shared" si="553"/>
        <v>20909</v>
      </c>
    </row>
    <row r="6603" spans="1:8" x14ac:dyDescent="0.25">
      <c r="A6603" s="140" t="s">
        <v>20</v>
      </c>
      <c r="B6603" s="26">
        <v>44168</v>
      </c>
      <c r="C6603" s="4">
        <v>372</v>
      </c>
      <c r="D6603" s="29">
        <f t="shared" si="552"/>
        <v>159881</v>
      </c>
      <c r="E6603" s="4">
        <v>5</v>
      </c>
      <c r="F6603" s="129">
        <f t="shared" si="553"/>
        <v>5244</v>
      </c>
      <c r="H6603" s="88"/>
    </row>
    <row r="6604" spans="1:8" x14ac:dyDescent="0.25">
      <c r="A6604" s="140" t="s">
        <v>35</v>
      </c>
      <c r="B6604" s="26">
        <v>44168</v>
      </c>
      <c r="C6604" s="4">
        <v>17</v>
      </c>
      <c r="D6604" s="29">
        <f t="shared" si="552"/>
        <v>1908</v>
      </c>
      <c r="E6604" s="4">
        <v>1</v>
      </c>
      <c r="F6604" s="129">
        <f t="shared" si="553"/>
        <v>17</v>
      </c>
      <c r="H6604" s="88"/>
    </row>
    <row r="6605" spans="1:8" x14ac:dyDescent="0.25">
      <c r="A6605" s="140" t="s">
        <v>21</v>
      </c>
      <c r="B6605" s="26">
        <v>44168</v>
      </c>
      <c r="C6605" s="4">
        <v>335</v>
      </c>
      <c r="D6605" s="29">
        <f t="shared" si="552"/>
        <v>20128</v>
      </c>
      <c r="E6605" s="4">
        <v>4</v>
      </c>
      <c r="F6605" s="129">
        <f t="shared" si="553"/>
        <v>576</v>
      </c>
      <c r="H6605" s="88"/>
    </row>
    <row r="6606" spans="1:8" x14ac:dyDescent="0.25">
      <c r="A6606" s="140" t="s">
        <v>36</v>
      </c>
      <c r="B6606" s="26">
        <v>44168</v>
      </c>
      <c r="C6606" s="4">
        <v>316</v>
      </c>
      <c r="D6606" s="29">
        <f t="shared" si="552"/>
        <v>23861</v>
      </c>
      <c r="E6606" s="4">
        <v>9</v>
      </c>
      <c r="F6606" s="129">
        <f t="shared" si="553"/>
        <v>398</v>
      </c>
      <c r="H6606" s="88"/>
    </row>
    <row r="6607" spans="1:8" x14ac:dyDescent="0.25">
      <c r="A6607" s="140" t="s">
        <v>27</v>
      </c>
      <c r="B6607" s="26">
        <v>44168</v>
      </c>
      <c r="C6607" s="4">
        <v>532</v>
      </c>
      <c r="D6607" s="29">
        <f t="shared" si="552"/>
        <v>116244</v>
      </c>
      <c r="E6607" s="4">
        <v>8</v>
      </c>
      <c r="F6607" s="129">
        <f t="shared" si="553"/>
        <v>2038</v>
      </c>
      <c r="H6607" s="88"/>
    </row>
    <row r="6608" spans="1:8" x14ac:dyDescent="0.25">
      <c r="A6608" s="140" t="s">
        <v>37</v>
      </c>
      <c r="B6608" s="26">
        <v>44168</v>
      </c>
      <c r="C6608" s="4">
        <v>374</v>
      </c>
      <c r="D6608" s="29">
        <f t="shared" si="552"/>
        <v>7876</v>
      </c>
      <c r="E6608" s="4">
        <v>0</v>
      </c>
      <c r="F6608" s="129">
        <f t="shared" si="553"/>
        <v>88</v>
      </c>
      <c r="H6608" s="88"/>
    </row>
    <row r="6609" spans="1:8" x14ac:dyDescent="0.25">
      <c r="A6609" s="140" t="s">
        <v>38</v>
      </c>
      <c r="B6609" s="26">
        <v>44168</v>
      </c>
      <c r="C6609" s="4">
        <v>184</v>
      </c>
      <c r="D6609" s="29">
        <f t="shared" si="552"/>
        <v>23984</v>
      </c>
      <c r="E6609" s="4">
        <v>3</v>
      </c>
      <c r="F6609" s="129">
        <f t="shared" si="553"/>
        <v>478</v>
      </c>
      <c r="H6609" s="88"/>
    </row>
    <row r="6610" spans="1:8" x14ac:dyDescent="0.25">
      <c r="A6610" s="140" t="s">
        <v>48</v>
      </c>
      <c r="B6610" s="26">
        <v>44168</v>
      </c>
      <c r="C6610" s="4">
        <v>2</v>
      </c>
      <c r="D6610" s="29">
        <f t="shared" si="552"/>
        <v>189</v>
      </c>
      <c r="E6610" s="4">
        <v>0</v>
      </c>
      <c r="F6610" s="129">
        <f t="shared" si="553"/>
        <v>3</v>
      </c>
      <c r="H6610" s="88"/>
    </row>
    <row r="6611" spans="1:8" x14ac:dyDescent="0.25">
      <c r="A6611" s="140" t="s">
        <v>39</v>
      </c>
      <c r="B6611" s="26">
        <v>44168</v>
      </c>
      <c r="C6611" s="4">
        <v>7</v>
      </c>
      <c r="D6611" s="29">
        <f t="shared" si="552"/>
        <v>18410</v>
      </c>
      <c r="E6611" s="4">
        <v>0</v>
      </c>
      <c r="F6611" s="129">
        <f t="shared" si="553"/>
        <v>850</v>
      </c>
      <c r="H6611" s="88"/>
    </row>
    <row r="6612" spans="1:8" x14ac:dyDescent="0.25">
      <c r="A6612" s="140" t="s">
        <v>40</v>
      </c>
      <c r="B6612" s="26">
        <v>44168</v>
      </c>
      <c r="C6612" s="4">
        <v>97</v>
      </c>
      <c r="D6612" s="29">
        <f t="shared" si="552"/>
        <v>6074</v>
      </c>
      <c r="E6612" s="4">
        <v>2</v>
      </c>
      <c r="F6612" s="129">
        <f t="shared" si="553"/>
        <v>87</v>
      </c>
      <c r="H6612" s="88"/>
    </row>
    <row r="6613" spans="1:8" x14ac:dyDescent="0.25">
      <c r="A6613" s="140" t="s">
        <v>28</v>
      </c>
      <c r="B6613" s="26">
        <v>44168</v>
      </c>
      <c r="C6613" s="4">
        <v>32</v>
      </c>
      <c r="D6613" s="29">
        <f t="shared" si="552"/>
        <v>8800</v>
      </c>
      <c r="E6613" s="4">
        <v>3</v>
      </c>
      <c r="F6613" s="129">
        <f t="shared" si="553"/>
        <v>320</v>
      </c>
      <c r="H6613" s="88"/>
    </row>
    <row r="6614" spans="1:8" x14ac:dyDescent="0.25">
      <c r="A6614" s="140" t="s">
        <v>24</v>
      </c>
      <c r="B6614" s="26">
        <v>44168</v>
      </c>
      <c r="C6614" s="4">
        <v>242</v>
      </c>
      <c r="D6614" s="29">
        <f t="shared" si="552"/>
        <v>57265</v>
      </c>
      <c r="E6614" s="4">
        <v>8</v>
      </c>
      <c r="F6614" s="129">
        <f t="shared" si="553"/>
        <v>1120</v>
      </c>
      <c r="H6614" s="88"/>
    </row>
    <row r="6615" spans="1:8" x14ac:dyDescent="0.25">
      <c r="A6615" s="140" t="s">
        <v>30</v>
      </c>
      <c r="B6615" s="26">
        <v>44168</v>
      </c>
      <c r="C6615" s="4">
        <v>9</v>
      </c>
      <c r="D6615" s="29">
        <f t="shared" si="552"/>
        <v>542</v>
      </c>
      <c r="E6615" s="4">
        <v>0</v>
      </c>
      <c r="F6615" s="129">
        <f t="shared" si="553"/>
        <v>9</v>
      </c>
      <c r="H6615" s="88"/>
    </row>
    <row r="6616" spans="1:8" x14ac:dyDescent="0.25">
      <c r="A6616" s="140" t="s">
        <v>26</v>
      </c>
      <c r="B6616" s="26">
        <v>44168</v>
      </c>
      <c r="C6616" s="4">
        <v>554</v>
      </c>
      <c r="D6616" s="29">
        <f t="shared" si="552"/>
        <v>33355</v>
      </c>
      <c r="E6616" s="4">
        <v>0</v>
      </c>
      <c r="F6616" s="129">
        <f t="shared" si="553"/>
        <v>644</v>
      </c>
      <c r="H6616" s="88"/>
    </row>
    <row r="6617" spans="1:8" x14ac:dyDescent="0.25">
      <c r="A6617" s="140" t="s">
        <v>25</v>
      </c>
      <c r="B6617" s="26">
        <v>44168</v>
      </c>
      <c r="C6617" s="4">
        <v>209</v>
      </c>
      <c r="D6617" s="29">
        <f t="shared" si="552"/>
        <v>32416</v>
      </c>
      <c r="E6617" s="4">
        <v>2</v>
      </c>
      <c r="F6617" s="129">
        <f t="shared" si="553"/>
        <v>796</v>
      </c>
      <c r="H6617" s="88"/>
    </row>
    <row r="6618" spans="1:8" x14ac:dyDescent="0.25">
      <c r="A6618" s="140" t="s">
        <v>41</v>
      </c>
      <c r="B6618" s="26">
        <v>44168</v>
      </c>
      <c r="C6618" s="4">
        <v>81</v>
      </c>
      <c r="D6618" s="29">
        <f t="shared" ref="D6618:D6624" si="554">C6618+D6594</f>
        <v>21332</v>
      </c>
      <c r="E6618" s="4">
        <v>2</v>
      </c>
      <c r="F6618" s="129">
        <f t="shared" si="553"/>
        <v>1001</v>
      </c>
      <c r="H6618" s="88"/>
    </row>
    <row r="6619" spans="1:8" x14ac:dyDescent="0.25">
      <c r="A6619" s="140" t="s">
        <v>42</v>
      </c>
      <c r="B6619" s="26">
        <v>44168</v>
      </c>
      <c r="C6619" s="4">
        <v>168</v>
      </c>
      <c r="D6619" s="29">
        <f t="shared" si="554"/>
        <v>8235</v>
      </c>
      <c r="E6619" s="4">
        <v>0</v>
      </c>
      <c r="F6619" s="129">
        <f t="shared" si="553"/>
        <v>173</v>
      </c>
      <c r="H6619" s="88"/>
    </row>
    <row r="6620" spans="1:8" x14ac:dyDescent="0.25">
      <c r="A6620" s="140" t="s">
        <v>43</v>
      </c>
      <c r="B6620" s="26">
        <v>44168</v>
      </c>
      <c r="C6620" s="4">
        <v>149</v>
      </c>
      <c r="D6620" s="29">
        <f t="shared" si="554"/>
        <v>14958</v>
      </c>
      <c r="E6620" s="4">
        <v>8</v>
      </c>
      <c r="F6620" s="129">
        <f t="shared" si="553"/>
        <v>228</v>
      </c>
      <c r="H6620" s="88"/>
    </row>
    <row r="6621" spans="1:8" x14ac:dyDescent="0.25">
      <c r="A6621" s="140" t="s">
        <v>44</v>
      </c>
      <c r="B6621" s="26">
        <v>44168</v>
      </c>
      <c r="C6621" s="4">
        <v>218</v>
      </c>
      <c r="D6621" s="29">
        <f t="shared" si="554"/>
        <v>16696</v>
      </c>
      <c r="E6621" s="4">
        <v>6</v>
      </c>
      <c r="F6621" s="129">
        <f t="shared" si="553"/>
        <v>291</v>
      </c>
      <c r="H6621" s="88"/>
    </row>
    <row r="6622" spans="1:8" x14ac:dyDescent="0.25">
      <c r="A6622" s="140" t="s">
        <v>29</v>
      </c>
      <c r="B6622" s="26">
        <v>44168</v>
      </c>
      <c r="C6622" s="4">
        <v>1332</v>
      </c>
      <c r="D6622" s="29">
        <f t="shared" si="554"/>
        <v>151684</v>
      </c>
      <c r="E6622" s="4">
        <v>38</v>
      </c>
      <c r="F6622" s="129">
        <f t="shared" si="553"/>
        <v>2367</v>
      </c>
      <c r="H6622" s="88"/>
    </row>
    <row r="6623" spans="1:8" x14ac:dyDescent="0.25">
      <c r="A6623" s="140" t="s">
        <v>45</v>
      </c>
      <c r="B6623" s="26">
        <v>44168</v>
      </c>
      <c r="C6623" s="4">
        <v>99</v>
      </c>
      <c r="D6623" s="29">
        <f t="shared" si="554"/>
        <v>15942</v>
      </c>
      <c r="E6623" s="4">
        <v>4</v>
      </c>
      <c r="F6623" s="129">
        <f t="shared" si="553"/>
        <v>195</v>
      </c>
      <c r="H6623" s="88"/>
    </row>
    <row r="6624" spans="1:8" x14ac:dyDescent="0.25">
      <c r="A6624" s="140" t="s">
        <v>46</v>
      </c>
      <c r="B6624" s="26">
        <v>44168</v>
      </c>
      <c r="C6624" s="4">
        <v>93</v>
      </c>
      <c r="D6624" s="29">
        <f t="shared" si="554"/>
        <v>16481</v>
      </c>
      <c r="E6624" s="4">
        <v>1</v>
      </c>
      <c r="F6624" s="129">
        <f t="shared" si="553"/>
        <v>236</v>
      </c>
      <c r="H6624" s="88"/>
    </row>
    <row r="6625" spans="1:8" ht="15.75" thickBot="1" x14ac:dyDescent="0.3">
      <c r="A6625" s="141" t="s">
        <v>47</v>
      </c>
      <c r="B6625" s="53">
        <v>44168</v>
      </c>
      <c r="C6625" s="54">
        <v>391</v>
      </c>
      <c r="D6625" s="132">
        <f t="shared" ref="D6625:D6656" si="555">C6625+D6601</f>
        <v>66877</v>
      </c>
      <c r="E6625" s="54">
        <v>6</v>
      </c>
      <c r="F6625" s="130">
        <f t="shared" si="553"/>
        <v>1228</v>
      </c>
      <c r="H6625" s="88"/>
    </row>
    <row r="6626" spans="1:8" ht="15.75" thickBot="1" x14ac:dyDescent="0.3">
      <c r="A6626" s="64" t="s">
        <v>22</v>
      </c>
      <c r="B6626" s="53">
        <v>44169</v>
      </c>
      <c r="C6626" s="48">
        <v>1790</v>
      </c>
      <c r="D6626" s="131">
        <f t="shared" si="555"/>
        <v>626384</v>
      </c>
      <c r="E6626" s="48">
        <v>84</v>
      </c>
      <c r="F6626" s="128">
        <f t="shared" ref="F6626:F6657" si="556">E6626+F6602</f>
        <v>20993</v>
      </c>
    </row>
    <row r="6627" spans="1:8" ht="15.75" thickBot="1" x14ac:dyDescent="0.3">
      <c r="A6627" s="140" t="s">
        <v>20</v>
      </c>
      <c r="B6627" s="53">
        <v>44169</v>
      </c>
      <c r="C6627" s="4">
        <v>313</v>
      </c>
      <c r="D6627" s="29">
        <f t="shared" si="555"/>
        <v>160194</v>
      </c>
      <c r="E6627" s="48">
        <v>6</v>
      </c>
      <c r="F6627" s="129">
        <f t="shared" si="556"/>
        <v>5250</v>
      </c>
    </row>
    <row r="6628" spans="1:8" ht="15.75" thickBot="1" x14ac:dyDescent="0.3">
      <c r="A6628" s="140" t="s">
        <v>35</v>
      </c>
      <c r="B6628" s="53">
        <v>44169</v>
      </c>
      <c r="C6628" s="4">
        <v>33</v>
      </c>
      <c r="D6628" s="29">
        <f t="shared" si="555"/>
        <v>1941</v>
      </c>
      <c r="E6628" s="48">
        <v>0</v>
      </c>
      <c r="F6628" s="129">
        <f t="shared" si="556"/>
        <v>17</v>
      </c>
    </row>
    <row r="6629" spans="1:8" ht="15.75" thickBot="1" x14ac:dyDescent="0.3">
      <c r="A6629" s="140" t="s">
        <v>21</v>
      </c>
      <c r="B6629" s="53">
        <v>44169</v>
      </c>
      <c r="C6629" s="4">
        <v>205</v>
      </c>
      <c r="D6629" s="29">
        <f t="shared" si="555"/>
        <v>20333</v>
      </c>
      <c r="E6629" s="48">
        <v>5</v>
      </c>
      <c r="F6629" s="129">
        <f t="shared" si="556"/>
        <v>581</v>
      </c>
    </row>
    <row r="6630" spans="1:8" ht="15.75" thickBot="1" x14ac:dyDescent="0.3">
      <c r="A6630" s="140" t="s">
        <v>36</v>
      </c>
      <c r="B6630" s="53">
        <v>44169</v>
      </c>
      <c r="C6630" s="4">
        <v>336</v>
      </c>
      <c r="D6630" s="29">
        <f t="shared" si="555"/>
        <v>24197</v>
      </c>
      <c r="E6630" s="48">
        <v>2</v>
      </c>
      <c r="F6630" s="129">
        <f t="shared" si="556"/>
        <v>400</v>
      </c>
    </row>
    <row r="6631" spans="1:8" ht="15.75" thickBot="1" x14ac:dyDescent="0.3">
      <c r="A6631" s="140" t="s">
        <v>27</v>
      </c>
      <c r="B6631" s="53">
        <v>44169</v>
      </c>
      <c r="C6631" s="4">
        <v>555</v>
      </c>
      <c r="D6631" s="29">
        <f t="shared" si="555"/>
        <v>116799</v>
      </c>
      <c r="E6631" s="48">
        <v>10</v>
      </c>
      <c r="F6631" s="129">
        <f t="shared" si="556"/>
        <v>2048</v>
      </c>
    </row>
    <row r="6632" spans="1:8" ht="15.75" thickBot="1" x14ac:dyDescent="0.3">
      <c r="A6632" s="140" t="s">
        <v>37</v>
      </c>
      <c r="B6632" s="53">
        <v>44169</v>
      </c>
      <c r="C6632" s="4">
        <v>522</v>
      </c>
      <c r="D6632" s="29">
        <f t="shared" si="555"/>
        <v>8398</v>
      </c>
      <c r="E6632" s="48">
        <v>0</v>
      </c>
      <c r="F6632" s="129">
        <f t="shared" si="556"/>
        <v>88</v>
      </c>
    </row>
    <row r="6633" spans="1:8" ht="15.75" thickBot="1" x14ac:dyDescent="0.3">
      <c r="A6633" s="140" t="s">
        <v>38</v>
      </c>
      <c r="B6633" s="53">
        <v>44169</v>
      </c>
      <c r="C6633" s="4">
        <v>197</v>
      </c>
      <c r="D6633" s="29">
        <f t="shared" si="555"/>
        <v>24181</v>
      </c>
      <c r="E6633" s="48">
        <v>7</v>
      </c>
      <c r="F6633" s="129">
        <f t="shared" si="556"/>
        <v>485</v>
      </c>
    </row>
    <row r="6634" spans="1:8" ht="15.75" thickBot="1" x14ac:dyDescent="0.3">
      <c r="A6634" s="140" t="s">
        <v>48</v>
      </c>
      <c r="B6634" s="53">
        <v>44169</v>
      </c>
      <c r="C6634" s="4">
        <v>0</v>
      </c>
      <c r="D6634" s="29">
        <f t="shared" si="555"/>
        <v>189</v>
      </c>
      <c r="E6634" s="48">
        <v>0</v>
      </c>
      <c r="F6634" s="129">
        <f t="shared" si="556"/>
        <v>3</v>
      </c>
    </row>
    <row r="6635" spans="1:8" ht="15.75" thickBot="1" x14ac:dyDescent="0.3">
      <c r="A6635" s="140" t="s">
        <v>39</v>
      </c>
      <c r="B6635" s="53">
        <v>44169</v>
      </c>
      <c r="C6635" s="4">
        <v>2</v>
      </c>
      <c r="D6635" s="29">
        <f t="shared" si="555"/>
        <v>18412</v>
      </c>
      <c r="E6635" s="48">
        <v>0</v>
      </c>
      <c r="F6635" s="129">
        <f t="shared" si="556"/>
        <v>850</v>
      </c>
    </row>
    <row r="6636" spans="1:8" ht="15.75" thickBot="1" x14ac:dyDescent="0.3">
      <c r="A6636" s="140" t="s">
        <v>40</v>
      </c>
      <c r="B6636" s="53">
        <v>44169</v>
      </c>
      <c r="C6636" s="4">
        <v>77</v>
      </c>
      <c r="D6636" s="29">
        <f t="shared" si="555"/>
        <v>6151</v>
      </c>
      <c r="E6636" s="48">
        <v>1</v>
      </c>
      <c r="F6636" s="129">
        <f t="shared" si="556"/>
        <v>88</v>
      </c>
    </row>
    <row r="6637" spans="1:8" ht="15.75" thickBot="1" x14ac:dyDescent="0.3">
      <c r="A6637" s="140" t="s">
        <v>28</v>
      </c>
      <c r="B6637" s="53">
        <v>44169</v>
      </c>
      <c r="C6637" s="4">
        <v>12</v>
      </c>
      <c r="D6637" s="29">
        <f t="shared" si="555"/>
        <v>8812</v>
      </c>
      <c r="E6637" s="48">
        <v>0</v>
      </c>
      <c r="F6637" s="129">
        <f t="shared" si="556"/>
        <v>320</v>
      </c>
    </row>
    <row r="6638" spans="1:8" ht="15.75" thickBot="1" x14ac:dyDescent="0.3">
      <c r="A6638" s="140" t="s">
        <v>24</v>
      </c>
      <c r="B6638" s="53">
        <v>44169</v>
      </c>
      <c r="C6638" s="4">
        <v>162</v>
      </c>
      <c r="D6638" s="29">
        <f t="shared" si="555"/>
        <v>57427</v>
      </c>
      <c r="E6638" s="48">
        <v>19</v>
      </c>
      <c r="F6638" s="129">
        <f t="shared" si="556"/>
        <v>1139</v>
      </c>
    </row>
    <row r="6639" spans="1:8" ht="15.75" thickBot="1" x14ac:dyDescent="0.3">
      <c r="A6639" s="140" t="s">
        <v>30</v>
      </c>
      <c r="B6639" s="53">
        <v>44169</v>
      </c>
      <c r="C6639" s="4">
        <v>21</v>
      </c>
      <c r="D6639" s="29">
        <f t="shared" si="555"/>
        <v>563</v>
      </c>
      <c r="E6639" s="48">
        <v>0</v>
      </c>
      <c r="F6639" s="129">
        <f t="shared" si="556"/>
        <v>9</v>
      </c>
    </row>
    <row r="6640" spans="1:8" ht="15.75" thickBot="1" x14ac:dyDescent="0.3">
      <c r="A6640" s="140" t="s">
        <v>26</v>
      </c>
      <c r="B6640" s="53">
        <v>44169</v>
      </c>
      <c r="C6640" s="4">
        <v>600</v>
      </c>
      <c r="D6640" s="29">
        <f t="shared" si="555"/>
        <v>33955</v>
      </c>
      <c r="E6640" s="48">
        <v>6</v>
      </c>
      <c r="F6640" s="129">
        <f t="shared" si="556"/>
        <v>650</v>
      </c>
    </row>
    <row r="6641" spans="1:6" ht="15.75" thickBot="1" x14ac:dyDescent="0.3">
      <c r="A6641" s="140" t="s">
        <v>25</v>
      </c>
      <c r="B6641" s="53">
        <v>44169</v>
      </c>
      <c r="C6641" s="4">
        <v>201</v>
      </c>
      <c r="D6641" s="29">
        <f t="shared" si="555"/>
        <v>32617</v>
      </c>
      <c r="E6641" s="48">
        <v>0</v>
      </c>
      <c r="F6641" s="129">
        <f t="shared" si="556"/>
        <v>796</v>
      </c>
    </row>
    <row r="6642" spans="1:6" ht="15.75" thickBot="1" x14ac:dyDescent="0.3">
      <c r="A6642" s="140" t="s">
        <v>41</v>
      </c>
      <c r="B6642" s="53">
        <v>44169</v>
      </c>
      <c r="C6642" s="4">
        <v>48</v>
      </c>
      <c r="D6642" s="29">
        <f t="shared" si="555"/>
        <v>21380</v>
      </c>
      <c r="E6642" s="48">
        <v>4</v>
      </c>
      <c r="F6642" s="129">
        <f t="shared" si="556"/>
        <v>1005</v>
      </c>
    </row>
    <row r="6643" spans="1:6" ht="15.75" thickBot="1" x14ac:dyDescent="0.3">
      <c r="A6643" s="140" t="s">
        <v>42</v>
      </c>
      <c r="B6643" s="53">
        <v>44169</v>
      </c>
      <c r="C6643" s="4">
        <v>159</v>
      </c>
      <c r="D6643" s="29">
        <f t="shared" si="555"/>
        <v>8394</v>
      </c>
      <c r="E6643" s="48">
        <v>0</v>
      </c>
      <c r="F6643" s="129">
        <f t="shared" si="556"/>
        <v>173</v>
      </c>
    </row>
    <row r="6644" spans="1:6" ht="15.75" thickBot="1" x14ac:dyDescent="0.3">
      <c r="A6644" s="140" t="s">
        <v>43</v>
      </c>
      <c r="B6644" s="53">
        <v>44169</v>
      </c>
      <c r="C6644" s="4">
        <v>72</v>
      </c>
      <c r="D6644" s="29">
        <f t="shared" si="555"/>
        <v>15030</v>
      </c>
      <c r="E6644" s="48">
        <v>7</v>
      </c>
      <c r="F6644" s="129">
        <f t="shared" si="556"/>
        <v>235</v>
      </c>
    </row>
    <row r="6645" spans="1:6" ht="15.75" thickBot="1" x14ac:dyDescent="0.3">
      <c r="A6645" s="140" t="s">
        <v>44</v>
      </c>
      <c r="B6645" s="53">
        <v>44169</v>
      </c>
      <c r="C6645" s="4">
        <v>242</v>
      </c>
      <c r="D6645" s="29">
        <f t="shared" si="555"/>
        <v>16938</v>
      </c>
      <c r="E6645" s="48">
        <v>7</v>
      </c>
      <c r="F6645" s="129">
        <f t="shared" si="556"/>
        <v>298</v>
      </c>
    </row>
    <row r="6646" spans="1:6" ht="15.75" thickBot="1" x14ac:dyDescent="0.3">
      <c r="A6646" s="140" t="s">
        <v>29</v>
      </c>
      <c r="B6646" s="53">
        <v>44169</v>
      </c>
      <c r="C6646" s="4">
        <v>991</v>
      </c>
      <c r="D6646" s="29">
        <f t="shared" si="555"/>
        <v>152675</v>
      </c>
      <c r="E6646" s="48">
        <v>14</v>
      </c>
      <c r="F6646" s="129">
        <f t="shared" si="556"/>
        <v>2381</v>
      </c>
    </row>
    <row r="6647" spans="1:6" ht="15.75" thickBot="1" x14ac:dyDescent="0.3">
      <c r="A6647" s="140" t="s">
        <v>45</v>
      </c>
      <c r="B6647" s="53">
        <v>44169</v>
      </c>
      <c r="C6647" s="4">
        <v>82</v>
      </c>
      <c r="D6647" s="29">
        <f t="shared" si="555"/>
        <v>16024</v>
      </c>
      <c r="E6647" s="48">
        <v>3</v>
      </c>
      <c r="F6647" s="129">
        <f t="shared" si="556"/>
        <v>198</v>
      </c>
    </row>
    <row r="6648" spans="1:6" ht="15.75" thickBot="1" x14ac:dyDescent="0.3">
      <c r="A6648" s="140" t="s">
        <v>46</v>
      </c>
      <c r="B6648" s="53">
        <v>44169</v>
      </c>
      <c r="C6648" s="4">
        <v>107</v>
      </c>
      <c r="D6648" s="29">
        <f t="shared" si="555"/>
        <v>16588</v>
      </c>
      <c r="E6648" s="48">
        <v>1</v>
      </c>
      <c r="F6648" s="129">
        <f t="shared" si="556"/>
        <v>237</v>
      </c>
    </row>
    <row r="6649" spans="1:6" ht="15.75" thickBot="1" x14ac:dyDescent="0.3">
      <c r="A6649" s="141" t="s">
        <v>47</v>
      </c>
      <c r="B6649" s="53">
        <v>44169</v>
      </c>
      <c r="C6649" s="4">
        <v>172</v>
      </c>
      <c r="D6649" s="132">
        <f t="shared" si="555"/>
        <v>67049</v>
      </c>
      <c r="E6649" s="48">
        <v>12</v>
      </c>
      <c r="F6649" s="130">
        <f t="shared" si="556"/>
        <v>1240</v>
      </c>
    </row>
    <row r="6650" spans="1:6" ht="15.75" thickBot="1" x14ac:dyDescent="0.3">
      <c r="A6650" s="64" t="s">
        <v>22</v>
      </c>
      <c r="B6650" s="53">
        <v>44170</v>
      </c>
      <c r="C6650" s="4">
        <v>1374</v>
      </c>
      <c r="D6650" s="131">
        <f t="shared" si="555"/>
        <v>627758</v>
      </c>
      <c r="E6650" s="4">
        <v>25</v>
      </c>
      <c r="F6650" s="128">
        <f t="shared" si="556"/>
        <v>21018</v>
      </c>
    </row>
    <row r="6651" spans="1:6" ht="15.75" thickBot="1" x14ac:dyDescent="0.3">
      <c r="A6651" s="140" t="s">
        <v>20</v>
      </c>
      <c r="B6651" s="53">
        <v>44170</v>
      </c>
      <c r="C6651" s="4">
        <v>253</v>
      </c>
      <c r="D6651" s="29">
        <f t="shared" si="555"/>
        <v>160447</v>
      </c>
      <c r="E6651" s="4">
        <v>9</v>
      </c>
      <c r="F6651" s="129">
        <f t="shared" si="556"/>
        <v>5259</v>
      </c>
    </row>
    <row r="6652" spans="1:6" ht="15.75" thickBot="1" x14ac:dyDescent="0.3">
      <c r="A6652" s="140" t="s">
        <v>35</v>
      </c>
      <c r="B6652" s="53">
        <v>44170</v>
      </c>
      <c r="C6652" s="4">
        <v>3</v>
      </c>
      <c r="D6652" s="29">
        <f t="shared" si="555"/>
        <v>1944</v>
      </c>
      <c r="E6652" s="4">
        <v>0</v>
      </c>
      <c r="F6652" s="129">
        <f t="shared" si="556"/>
        <v>17</v>
      </c>
    </row>
    <row r="6653" spans="1:6" ht="15.75" thickBot="1" x14ac:dyDescent="0.3">
      <c r="A6653" s="140" t="s">
        <v>21</v>
      </c>
      <c r="B6653" s="53">
        <v>44170</v>
      </c>
      <c r="C6653" s="4">
        <v>263</v>
      </c>
      <c r="D6653" s="29">
        <f t="shared" si="555"/>
        <v>20596</v>
      </c>
      <c r="E6653" s="4">
        <v>6</v>
      </c>
      <c r="F6653" s="129">
        <f t="shared" si="556"/>
        <v>587</v>
      </c>
    </row>
    <row r="6654" spans="1:6" ht="15.75" thickBot="1" x14ac:dyDescent="0.3">
      <c r="A6654" s="140" t="s">
        <v>36</v>
      </c>
      <c r="B6654" s="53">
        <v>44170</v>
      </c>
      <c r="C6654" s="4">
        <v>214</v>
      </c>
      <c r="D6654" s="29">
        <f t="shared" si="555"/>
        <v>24411</v>
      </c>
      <c r="E6654" s="4">
        <v>0</v>
      </c>
      <c r="F6654" s="129">
        <f t="shared" si="556"/>
        <v>400</v>
      </c>
    </row>
    <row r="6655" spans="1:6" ht="15.75" thickBot="1" x14ac:dyDescent="0.3">
      <c r="A6655" s="140" t="s">
        <v>27</v>
      </c>
      <c r="B6655" s="53">
        <v>44170</v>
      </c>
      <c r="C6655" s="4">
        <v>451</v>
      </c>
      <c r="D6655" s="29">
        <f t="shared" si="555"/>
        <v>117250</v>
      </c>
      <c r="E6655" s="4">
        <v>25</v>
      </c>
      <c r="F6655" s="129">
        <f t="shared" si="556"/>
        <v>2073</v>
      </c>
    </row>
    <row r="6656" spans="1:6" ht="15.75" thickBot="1" x14ac:dyDescent="0.3">
      <c r="A6656" s="140" t="s">
        <v>37</v>
      </c>
      <c r="B6656" s="53">
        <v>44170</v>
      </c>
      <c r="C6656" s="4">
        <v>192</v>
      </c>
      <c r="D6656" s="29">
        <f t="shared" si="555"/>
        <v>8590</v>
      </c>
      <c r="E6656" s="4">
        <v>7</v>
      </c>
      <c r="F6656" s="129">
        <f t="shared" si="556"/>
        <v>95</v>
      </c>
    </row>
    <row r="6657" spans="1:6" ht="15.75" thickBot="1" x14ac:dyDescent="0.3">
      <c r="A6657" s="140" t="s">
        <v>38</v>
      </c>
      <c r="B6657" s="53">
        <v>44170</v>
      </c>
      <c r="C6657" s="4">
        <v>212</v>
      </c>
      <c r="D6657" s="29">
        <f t="shared" ref="D6657:D6688" si="557">C6657+D6633</f>
        <v>24393</v>
      </c>
      <c r="E6657" s="4">
        <v>1</v>
      </c>
      <c r="F6657" s="129">
        <f t="shared" si="556"/>
        <v>486</v>
      </c>
    </row>
    <row r="6658" spans="1:6" ht="15.75" thickBot="1" x14ac:dyDescent="0.3">
      <c r="A6658" s="140" t="s">
        <v>48</v>
      </c>
      <c r="B6658" s="53">
        <v>44170</v>
      </c>
      <c r="C6658" s="4">
        <v>1</v>
      </c>
      <c r="D6658" s="29">
        <f t="shared" si="557"/>
        <v>190</v>
      </c>
      <c r="E6658" s="4">
        <v>0</v>
      </c>
      <c r="F6658" s="129">
        <f t="shared" ref="F6658:F6689" si="558">E6658+F6634</f>
        <v>3</v>
      </c>
    </row>
    <row r="6659" spans="1:6" ht="15.75" thickBot="1" x14ac:dyDescent="0.3">
      <c r="A6659" s="140" t="s">
        <v>39</v>
      </c>
      <c r="B6659" s="53">
        <v>44170</v>
      </c>
      <c r="C6659" s="4">
        <v>3</v>
      </c>
      <c r="D6659" s="29">
        <f t="shared" si="557"/>
        <v>18415</v>
      </c>
      <c r="E6659" s="4">
        <v>0</v>
      </c>
      <c r="F6659" s="129">
        <f t="shared" si="558"/>
        <v>850</v>
      </c>
    </row>
    <row r="6660" spans="1:6" ht="15.75" thickBot="1" x14ac:dyDescent="0.3">
      <c r="A6660" s="140" t="s">
        <v>40</v>
      </c>
      <c r="B6660" s="53">
        <v>44170</v>
      </c>
      <c r="C6660" s="4">
        <v>68</v>
      </c>
      <c r="D6660" s="29">
        <f t="shared" si="557"/>
        <v>6219</v>
      </c>
      <c r="E6660" s="4">
        <v>0</v>
      </c>
      <c r="F6660" s="129">
        <f t="shared" si="558"/>
        <v>88</v>
      </c>
    </row>
    <row r="6661" spans="1:6" ht="15.75" thickBot="1" x14ac:dyDescent="0.3">
      <c r="A6661" s="140" t="s">
        <v>28</v>
      </c>
      <c r="B6661" s="53">
        <v>44170</v>
      </c>
      <c r="C6661" s="4">
        <v>22</v>
      </c>
      <c r="D6661" s="29">
        <f t="shared" si="557"/>
        <v>8834</v>
      </c>
      <c r="E6661" s="4">
        <v>0</v>
      </c>
      <c r="F6661" s="129">
        <f t="shared" si="558"/>
        <v>320</v>
      </c>
    </row>
    <row r="6662" spans="1:6" ht="15.75" thickBot="1" x14ac:dyDescent="0.3">
      <c r="A6662" s="140" t="s">
        <v>24</v>
      </c>
      <c r="B6662" s="53">
        <v>44170</v>
      </c>
      <c r="C6662" s="4">
        <v>100</v>
      </c>
      <c r="D6662" s="29">
        <f t="shared" si="557"/>
        <v>57527</v>
      </c>
      <c r="E6662" s="4">
        <v>4</v>
      </c>
      <c r="F6662" s="129">
        <f t="shared" si="558"/>
        <v>1143</v>
      </c>
    </row>
    <row r="6663" spans="1:6" ht="15.75" thickBot="1" x14ac:dyDescent="0.3">
      <c r="A6663" s="140" t="s">
        <v>30</v>
      </c>
      <c r="B6663" s="53">
        <v>44170</v>
      </c>
      <c r="C6663" s="4">
        <v>5</v>
      </c>
      <c r="D6663" s="29">
        <f t="shared" si="557"/>
        <v>568</v>
      </c>
      <c r="E6663" s="4">
        <v>0</v>
      </c>
      <c r="F6663" s="129">
        <f t="shared" si="558"/>
        <v>9</v>
      </c>
    </row>
    <row r="6664" spans="1:6" ht="15.75" thickBot="1" x14ac:dyDescent="0.3">
      <c r="A6664" s="140" t="s">
        <v>26</v>
      </c>
      <c r="B6664" s="53">
        <v>44170</v>
      </c>
      <c r="C6664" s="4">
        <v>289</v>
      </c>
      <c r="D6664" s="29">
        <f t="shared" si="557"/>
        <v>34244</v>
      </c>
      <c r="E6664" s="4">
        <v>0</v>
      </c>
      <c r="F6664" s="129">
        <f t="shared" si="558"/>
        <v>650</v>
      </c>
    </row>
    <row r="6665" spans="1:6" ht="15.75" thickBot="1" x14ac:dyDescent="0.3">
      <c r="A6665" s="140" t="s">
        <v>25</v>
      </c>
      <c r="B6665" s="53">
        <v>44170</v>
      </c>
      <c r="C6665" s="4">
        <v>146</v>
      </c>
      <c r="D6665" s="29">
        <f t="shared" si="557"/>
        <v>32763</v>
      </c>
      <c r="E6665" s="4">
        <v>5</v>
      </c>
      <c r="F6665" s="129">
        <f t="shared" si="558"/>
        <v>801</v>
      </c>
    </row>
    <row r="6666" spans="1:6" ht="15.75" thickBot="1" x14ac:dyDescent="0.3">
      <c r="A6666" s="140" t="s">
        <v>41</v>
      </c>
      <c r="B6666" s="53">
        <v>44170</v>
      </c>
      <c r="C6666" s="4">
        <v>24</v>
      </c>
      <c r="D6666" s="29">
        <f t="shared" si="557"/>
        <v>21404</v>
      </c>
      <c r="E6666" s="4">
        <v>1</v>
      </c>
      <c r="F6666" s="129">
        <f t="shared" si="558"/>
        <v>1006</v>
      </c>
    </row>
    <row r="6667" spans="1:6" ht="15.75" thickBot="1" x14ac:dyDescent="0.3">
      <c r="A6667" s="140" t="s">
        <v>42</v>
      </c>
      <c r="B6667" s="53">
        <v>44170</v>
      </c>
      <c r="C6667" s="4">
        <v>51</v>
      </c>
      <c r="D6667" s="29">
        <f t="shared" si="557"/>
        <v>8445</v>
      </c>
      <c r="E6667" s="4">
        <v>0</v>
      </c>
      <c r="F6667" s="129">
        <f t="shared" si="558"/>
        <v>173</v>
      </c>
    </row>
    <row r="6668" spans="1:6" ht="15.75" thickBot="1" x14ac:dyDescent="0.3">
      <c r="A6668" s="140" t="s">
        <v>43</v>
      </c>
      <c r="B6668" s="53">
        <v>44170</v>
      </c>
      <c r="C6668" s="4">
        <v>54</v>
      </c>
      <c r="D6668" s="29">
        <f t="shared" si="557"/>
        <v>15084</v>
      </c>
      <c r="E6668" s="4">
        <v>1</v>
      </c>
      <c r="F6668" s="129">
        <f t="shared" si="558"/>
        <v>236</v>
      </c>
    </row>
    <row r="6669" spans="1:6" ht="15.75" thickBot="1" x14ac:dyDescent="0.3">
      <c r="A6669" s="140" t="s">
        <v>44</v>
      </c>
      <c r="B6669" s="53">
        <v>44170</v>
      </c>
      <c r="C6669" s="4">
        <v>187</v>
      </c>
      <c r="D6669" s="29">
        <f t="shared" si="557"/>
        <v>17125</v>
      </c>
      <c r="E6669" s="4">
        <v>4</v>
      </c>
      <c r="F6669" s="129">
        <f t="shared" si="558"/>
        <v>302</v>
      </c>
    </row>
    <row r="6670" spans="1:6" ht="15.75" thickBot="1" x14ac:dyDescent="0.3">
      <c r="A6670" s="140" t="s">
        <v>29</v>
      </c>
      <c r="B6670" s="53">
        <v>44170</v>
      </c>
      <c r="C6670" s="4">
        <v>976</v>
      </c>
      <c r="D6670" s="29">
        <f t="shared" si="557"/>
        <v>153651</v>
      </c>
      <c r="E6670" s="4">
        <v>25</v>
      </c>
      <c r="F6670" s="129">
        <f t="shared" si="558"/>
        <v>2406</v>
      </c>
    </row>
    <row r="6671" spans="1:6" ht="15.75" thickBot="1" x14ac:dyDescent="0.3">
      <c r="A6671" s="140" t="s">
        <v>45</v>
      </c>
      <c r="B6671" s="53">
        <v>44170</v>
      </c>
      <c r="C6671" s="4">
        <v>83</v>
      </c>
      <c r="D6671" s="29">
        <f t="shared" si="557"/>
        <v>16107</v>
      </c>
      <c r="E6671" s="4">
        <v>1</v>
      </c>
      <c r="F6671" s="129">
        <f t="shared" si="558"/>
        <v>199</v>
      </c>
    </row>
    <row r="6672" spans="1:6" ht="15.75" thickBot="1" x14ac:dyDescent="0.3">
      <c r="A6672" s="140" t="s">
        <v>46</v>
      </c>
      <c r="B6672" s="53">
        <v>44170</v>
      </c>
      <c r="C6672" s="4">
        <v>96</v>
      </c>
      <c r="D6672" s="29">
        <f t="shared" si="557"/>
        <v>16684</v>
      </c>
      <c r="E6672" s="4">
        <v>0</v>
      </c>
      <c r="F6672" s="129">
        <f t="shared" si="558"/>
        <v>237</v>
      </c>
    </row>
    <row r="6673" spans="1:6" ht="15.75" thickBot="1" x14ac:dyDescent="0.3">
      <c r="A6673" s="141" t="s">
        <v>47</v>
      </c>
      <c r="B6673" s="53">
        <v>44170</v>
      </c>
      <c r="C6673" s="4">
        <v>134</v>
      </c>
      <c r="D6673" s="132">
        <f t="shared" si="557"/>
        <v>67183</v>
      </c>
      <c r="E6673" s="4">
        <v>7</v>
      </c>
      <c r="F6673" s="130">
        <f t="shared" si="558"/>
        <v>1247</v>
      </c>
    </row>
    <row r="6674" spans="1:6" ht="15.75" thickBot="1" x14ac:dyDescent="0.3">
      <c r="A6674" s="64" t="s">
        <v>22</v>
      </c>
      <c r="B6674" s="53">
        <v>44171</v>
      </c>
      <c r="C6674" s="4">
        <v>719</v>
      </c>
      <c r="D6674" s="131">
        <f t="shared" si="557"/>
        <v>628477</v>
      </c>
      <c r="E6674" s="4">
        <v>87</v>
      </c>
      <c r="F6674" s="128">
        <f t="shared" si="558"/>
        <v>21105</v>
      </c>
    </row>
    <row r="6675" spans="1:6" ht="15.75" thickBot="1" x14ac:dyDescent="0.3">
      <c r="A6675" s="140" t="s">
        <v>20</v>
      </c>
      <c r="B6675" s="53">
        <v>44171</v>
      </c>
      <c r="C6675" s="4">
        <v>226</v>
      </c>
      <c r="D6675" s="29">
        <f t="shared" si="557"/>
        <v>160673</v>
      </c>
      <c r="E6675" s="4">
        <v>3</v>
      </c>
      <c r="F6675" s="129">
        <f t="shared" si="558"/>
        <v>5262</v>
      </c>
    </row>
    <row r="6676" spans="1:6" ht="15.75" thickBot="1" x14ac:dyDescent="0.3">
      <c r="A6676" s="140" t="s">
        <v>35</v>
      </c>
      <c r="B6676" s="53">
        <v>44171</v>
      </c>
      <c r="C6676" s="4">
        <v>41</v>
      </c>
      <c r="D6676" s="29">
        <f t="shared" si="557"/>
        <v>1985</v>
      </c>
      <c r="E6676" s="4">
        <v>0</v>
      </c>
      <c r="F6676" s="129">
        <f t="shared" si="558"/>
        <v>17</v>
      </c>
    </row>
    <row r="6677" spans="1:6" ht="15.75" thickBot="1" x14ac:dyDescent="0.3">
      <c r="A6677" s="140" t="s">
        <v>21</v>
      </c>
      <c r="B6677" s="53">
        <v>44171</v>
      </c>
      <c r="C6677" s="4">
        <v>134</v>
      </c>
      <c r="D6677" s="29">
        <f t="shared" si="557"/>
        <v>20730</v>
      </c>
      <c r="E6677" s="4">
        <v>3</v>
      </c>
      <c r="F6677" s="129">
        <f t="shared" si="558"/>
        <v>590</v>
      </c>
    </row>
    <row r="6678" spans="1:6" ht="15.75" thickBot="1" x14ac:dyDescent="0.3">
      <c r="A6678" s="140" t="s">
        <v>36</v>
      </c>
      <c r="B6678" s="53">
        <v>44171</v>
      </c>
      <c r="C6678" s="4">
        <v>77</v>
      </c>
      <c r="D6678" s="29">
        <f t="shared" si="557"/>
        <v>24488</v>
      </c>
      <c r="E6678" s="4">
        <v>0</v>
      </c>
      <c r="F6678" s="129">
        <f t="shared" si="558"/>
        <v>400</v>
      </c>
    </row>
    <row r="6679" spans="1:6" ht="15.75" thickBot="1" x14ac:dyDescent="0.3">
      <c r="A6679" s="140" t="s">
        <v>27</v>
      </c>
      <c r="B6679" s="53">
        <v>44171</v>
      </c>
      <c r="C6679" s="4">
        <v>262</v>
      </c>
      <c r="D6679" s="29">
        <f t="shared" si="557"/>
        <v>117512</v>
      </c>
      <c r="E6679" s="4">
        <v>16</v>
      </c>
      <c r="F6679" s="129">
        <f t="shared" si="558"/>
        <v>2089</v>
      </c>
    </row>
    <row r="6680" spans="1:6" ht="15.75" thickBot="1" x14ac:dyDescent="0.3">
      <c r="A6680" s="140" t="s">
        <v>37</v>
      </c>
      <c r="B6680" s="53">
        <v>44171</v>
      </c>
      <c r="C6680" s="4">
        <v>87</v>
      </c>
      <c r="D6680" s="29">
        <f t="shared" si="557"/>
        <v>8677</v>
      </c>
      <c r="E6680" s="4">
        <v>9</v>
      </c>
      <c r="F6680" s="129">
        <f t="shared" si="558"/>
        <v>104</v>
      </c>
    </row>
    <row r="6681" spans="1:6" ht="15.75" thickBot="1" x14ac:dyDescent="0.3">
      <c r="A6681" s="140" t="s">
        <v>38</v>
      </c>
      <c r="B6681" s="53">
        <v>44171</v>
      </c>
      <c r="C6681" s="4">
        <v>127</v>
      </c>
      <c r="D6681" s="29">
        <f t="shared" si="557"/>
        <v>24520</v>
      </c>
      <c r="E6681" s="4">
        <v>1</v>
      </c>
      <c r="F6681" s="129">
        <f t="shared" si="558"/>
        <v>487</v>
      </c>
    </row>
    <row r="6682" spans="1:6" ht="15.75" thickBot="1" x14ac:dyDescent="0.3">
      <c r="A6682" s="140" t="s">
        <v>48</v>
      </c>
      <c r="B6682" s="53">
        <v>44171</v>
      </c>
      <c r="C6682" s="4">
        <v>-1</v>
      </c>
      <c r="D6682" s="29">
        <f t="shared" si="557"/>
        <v>189</v>
      </c>
      <c r="E6682" s="4">
        <v>0</v>
      </c>
      <c r="F6682" s="129">
        <f t="shared" si="558"/>
        <v>3</v>
      </c>
    </row>
    <row r="6683" spans="1:6" ht="15.75" thickBot="1" x14ac:dyDescent="0.3">
      <c r="A6683" s="140" t="s">
        <v>39</v>
      </c>
      <c r="B6683" s="53">
        <v>44171</v>
      </c>
      <c r="C6683" s="4">
        <v>0</v>
      </c>
      <c r="D6683" s="29">
        <f t="shared" si="557"/>
        <v>18415</v>
      </c>
      <c r="E6683" s="4">
        <v>1</v>
      </c>
      <c r="F6683" s="129">
        <f t="shared" si="558"/>
        <v>851</v>
      </c>
    </row>
    <row r="6684" spans="1:6" ht="15.75" thickBot="1" x14ac:dyDescent="0.3">
      <c r="A6684" s="140" t="s">
        <v>40</v>
      </c>
      <c r="B6684" s="53">
        <v>44171</v>
      </c>
      <c r="C6684" s="4">
        <v>61</v>
      </c>
      <c r="D6684" s="29">
        <f t="shared" si="557"/>
        <v>6280</v>
      </c>
      <c r="E6684" s="4">
        <v>0</v>
      </c>
      <c r="F6684" s="129">
        <f t="shared" si="558"/>
        <v>88</v>
      </c>
    </row>
    <row r="6685" spans="1:6" ht="15.75" thickBot="1" x14ac:dyDescent="0.3">
      <c r="A6685" s="140" t="s">
        <v>28</v>
      </c>
      <c r="B6685" s="53">
        <v>44171</v>
      </c>
      <c r="C6685" s="4">
        <v>5</v>
      </c>
      <c r="D6685" s="29">
        <f t="shared" si="557"/>
        <v>8839</v>
      </c>
      <c r="E6685" s="4">
        <v>1</v>
      </c>
      <c r="F6685" s="129">
        <f t="shared" si="558"/>
        <v>321</v>
      </c>
    </row>
    <row r="6686" spans="1:6" ht="15.75" thickBot="1" x14ac:dyDescent="0.3">
      <c r="A6686" s="140" t="s">
        <v>24</v>
      </c>
      <c r="B6686" s="53">
        <v>44171</v>
      </c>
      <c r="C6686" s="4">
        <v>41</v>
      </c>
      <c r="D6686" s="29">
        <f t="shared" si="557"/>
        <v>57568</v>
      </c>
      <c r="E6686" s="4">
        <v>0</v>
      </c>
      <c r="F6686" s="129">
        <f t="shared" si="558"/>
        <v>1143</v>
      </c>
    </row>
    <row r="6687" spans="1:6" ht="15.75" thickBot="1" x14ac:dyDescent="0.3">
      <c r="A6687" s="140" t="s">
        <v>30</v>
      </c>
      <c r="B6687" s="53">
        <v>44171</v>
      </c>
      <c r="C6687" s="4">
        <v>5</v>
      </c>
      <c r="D6687" s="29">
        <f t="shared" si="557"/>
        <v>573</v>
      </c>
      <c r="E6687" s="4">
        <v>0</v>
      </c>
      <c r="F6687" s="129">
        <f t="shared" si="558"/>
        <v>9</v>
      </c>
    </row>
    <row r="6688" spans="1:6" ht="15.75" thickBot="1" x14ac:dyDescent="0.3">
      <c r="A6688" s="140" t="s">
        <v>26</v>
      </c>
      <c r="B6688" s="53">
        <v>44171</v>
      </c>
      <c r="C6688" s="4">
        <v>395</v>
      </c>
      <c r="D6688" s="29">
        <f t="shared" si="557"/>
        <v>34639</v>
      </c>
      <c r="E6688" s="4">
        <v>7</v>
      </c>
      <c r="F6688" s="129">
        <f t="shared" si="558"/>
        <v>657</v>
      </c>
    </row>
    <row r="6689" spans="1:9" ht="15.75" thickBot="1" x14ac:dyDescent="0.3">
      <c r="A6689" s="140" t="s">
        <v>25</v>
      </c>
      <c r="B6689" s="53">
        <v>44171</v>
      </c>
      <c r="C6689" s="4">
        <v>115</v>
      </c>
      <c r="D6689" s="29">
        <f t="shared" ref="D6689:D6752" si="559">C6689+D6665</f>
        <v>32878</v>
      </c>
      <c r="E6689" s="4">
        <v>0</v>
      </c>
      <c r="F6689" s="129">
        <f t="shared" si="558"/>
        <v>801</v>
      </c>
    </row>
    <row r="6690" spans="1:9" ht="15.75" thickBot="1" x14ac:dyDescent="0.3">
      <c r="A6690" s="140" t="s">
        <v>41</v>
      </c>
      <c r="B6690" s="53">
        <v>44171</v>
      </c>
      <c r="C6690" s="4">
        <v>14</v>
      </c>
      <c r="D6690" s="29">
        <f t="shared" si="559"/>
        <v>21418</v>
      </c>
      <c r="E6690" s="4">
        <v>0</v>
      </c>
      <c r="F6690" s="129">
        <f t="shared" ref="F6690:F6753" si="560">E6690+F6666</f>
        <v>1006</v>
      </c>
    </row>
    <row r="6691" spans="1:9" ht="15.75" thickBot="1" x14ac:dyDescent="0.3">
      <c r="A6691" s="140" t="s">
        <v>42</v>
      </c>
      <c r="B6691" s="53">
        <v>44171</v>
      </c>
      <c r="C6691" s="4">
        <v>19</v>
      </c>
      <c r="D6691" s="29">
        <f t="shared" si="559"/>
        <v>8464</v>
      </c>
      <c r="E6691" s="4">
        <v>0</v>
      </c>
      <c r="F6691" s="129">
        <f t="shared" si="560"/>
        <v>173</v>
      </c>
    </row>
    <row r="6692" spans="1:9" ht="15.75" thickBot="1" x14ac:dyDescent="0.3">
      <c r="A6692" s="140" t="s">
        <v>43</v>
      </c>
      <c r="B6692" s="53">
        <v>44171</v>
      </c>
      <c r="C6692" s="4">
        <v>17</v>
      </c>
      <c r="D6692" s="29">
        <f t="shared" si="559"/>
        <v>15101</v>
      </c>
      <c r="E6692" s="4">
        <v>0</v>
      </c>
      <c r="F6692" s="129">
        <f t="shared" si="560"/>
        <v>236</v>
      </c>
    </row>
    <row r="6693" spans="1:9" ht="15.75" thickBot="1" x14ac:dyDescent="0.3">
      <c r="A6693" s="140" t="s">
        <v>44</v>
      </c>
      <c r="B6693" s="53">
        <v>44171</v>
      </c>
      <c r="C6693" s="4">
        <v>172</v>
      </c>
      <c r="D6693" s="29">
        <f t="shared" si="559"/>
        <v>17297</v>
      </c>
      <c r="E6693" s="4">
        <v>1</v>
      </c>
      <c r="F6693" s="129">
        <f t="shared" si="560"/>
        <v>303</v>
      </c>
    </row>
    <row r="6694" spans="1:9" ht="15.75" thickBot="1" x14ac:dyDescent="0.3">
      <c r="A6694" s="140" t="s">
        <v>29</v>
      </c>
      <c r="B6694" s="53">
        <v>44171</v>
      </c>
      <c r="C6694" s="4">
        <v>568</v>
      </c>
      <c r="D6694" s="29">
        <f t="shared" si="559"/>
        <v>154219</v>
      </c>
      <c r="E6694" s="4">
        <v>4</v>
      </c>
      <c r="F6694" s="129">
        <f t="shared" si="560"/>
        <v>2410</v>
      </c>
    </row>
    <row r="6695" spans="1:9" ht="15.75" thickBot="1" x14ac:dyDescent="0.3">
      <c r="A6695" s="140" t="s">
        <v>45</v>
      </c>
      <c r="B6695" s="53">
        <v>44171</v>
      </c>
      <c r="C6695" s="4">
        <v>52</v>
      </c>
      <c r="D6695" s="29">
        <f t="shared" si="559"/>
        <v>16159</v>
      </c>
      <c r="E6695" s="4">
        <v>1</v>
      </c>
      <c r="F6695" s="129">
        <f t="shared" si="560"/>
        <v>200</v>
      </c>
    </row>
    <row r="6696" spans="1:9" ht="15.75" thickBot="1" x14ac:dyDescent="0.3">
      <c r="A6696" s="140" t="s">
        <v>46</v>
      </c>
      <c r="B6696" s="53">
        <v>44171</v>
      </c>
      <c r="C6696" s="4">
        <v>61</v>
      </c>
      <c r="D6696" s="29">
        <f t="shared" si="559"/>
        <v>16745</v>
      </c>
      <c r="E6696" s="4">
        <v>1</v>
      </c>
      <c r="F6696" s="129">
        <f t="shared" si="560"/>
        <v>238</v>
      </c>
    </row>
    <row r="6697" spans="1:9" ht="15.75" thickBot="1" x14ac:dyDescent="0.3">
      <c r="A6697" s="141" t="s">
        <v>47</v>
      </c>
      <c r="B6697" s="53">
        <v>44171</v>
      </c>
      <c r="C6697" s="4">
        <v>81</v>
      </c>
      <c r="D6697" s="132">
        <f t="shared" si="559"/>
        <v>67264</v>
      </c>
      <c r="E6697" s="4">
        <v>0</v>
      </c>
      <c r="F6697" s="130">
        <f t="shared" si="560"/>
        <v>1247</v>
      </c>
    </row>
    <row r="6698" spans="1:9" ht="15.75" thickBot="1" x14ac:dyDescent="0.3">
      <c r="A6698" s="64" t="s">
        <v>22</v>
      </c>
      <c r="B6698" s="53">
        <v>44172</v>
      </c>
      <c r="C6698" s="4">
        <v>693</v>
      </c>
      <c r="D6698" s="131">
        <f t="shared" si="559"/>
        <v>629170</v>
      </c>
      <c r="E6698" s="4">
        <v>53</v>
      </c>
      <c r="F6698" s="128">
        <f t="shared" si="560"/>
        <v>21158</v>
      </c>
      <c r="I6698" s="88"/>
    </row>
    <row r="6699" spans="1:9" ht="15.75" thickBot="1" x14ac:dyDescent="0.3">
      <c r="A6699" s="140" t="s">
        <v>20</v>
      </c>
      <c r="B6699" s="53">
        <v>44172</v>
      </c>
      <c r="C6699" s="4">
        <v>164</v>
      </c>
      <c r="D6699" s="29">
        <f t="shared" si="559"/>
        <v>160837</v>
      </c>
      <c r="E6699" s="4">
        <v>8</v>
      </c>
      <c r="F6699" s="129">
        <f t="shared" si="560"/>
        <v>5270</v>
      </c>
      <c r="I6699" s="88"/>
    </row>
    <row r="6700" spans="1:9" ht="15.75" thickBot="1" x14ac:dyDescent="0.3">
      <c r="A6700" s="140" t="s">
        <v>35</v>
      </c>
      <c r="B6700" s="53">
        <v>44172</v>
      </c>
      <c r="C6700" s="4">
        <v>30</v>
      </c>
      <c r="D6700" s="29">
        <f t="shared" si="559"/>
        <v>2015</v>
      </c>
      <c r="E6700" s="4">
        <v>0</v>
      </c>
      <c r="F6700" s="129">
        <f t="shared" si="560"/>
        <v>17</v>
      </c>
      <c r="I6700" s="88"/>
    </row>
    <row r="6701" spans="1:9" ht="15.75" thickBot="1" x14ac:dyDescent="0.3">
      <c r="A6701" s="140" t="s">
        <v>21</v>
      </c>
      <c r="B6701" s="53">
        <v>44172</v>
      </c>
      <c r="C6701" s="4">
        <v>96</v>
      </c>
      <c r="D6701" s="29">
        <f t="shared" si="559"/>
        <v>20826</v>
      </c>
      <c r="E6701" s="4">
        <v>0</v>
      </c>
      <c r="F6701" s="129">
        <f t="shared" si="560"/>
        <v>590</v>
      </c>
      <c r="I6701" s="88"/>
    </row>
    <row r="6702" spans="1:9" ht="15.75" thickBot="1" x14ac:dyDescent="0.3">
      <c r="A6702" s="140" t="s">
        <v>36</v>
      </c>
      <c r="B6702" s="53">
        <v>44172</v>
      </c>
      <c r="C6702" s="4">
        <v>161</v>
      </c>
      <c r="D6702" s="29">
        <f t="shared" si="559"/>
        <v>24649</v>
      </c>
      <c r="E6702" s="4">
        <v>7</v>
      </c>
      <c r="F6702" s="129">
        <f t="shared" si="560"/>
        <v>407</v>
      </c>
      <c r="I6702" s="88"/>
    </row>
    <row r="6703" spans="1:9" ht="15.75" thickBot="1" x14ac:dyDescent="0.3">
      <c r="A6703" s="140" t="s">
        <v>27</v>
      </c>
      <c r="B6703" s="53">
        <v>44172</v>
      </c>
      <c r="C6703" s="4">
        <v>95</v>
      </c>
      <c r="D6703" s="29">
        <f t="shared" si="559"/>
        <v>117607</v>
      </c>
      <c r="E6703" s="4">
        <v>9</v>
      </c>
      <c r="F6703" s="129">
        <f t="shared" si="560"/>
        <v>2098</v>
      </c>
      <c r="I6703" s="88"/>
    </row>
    <row r="6704" spans="1:9" ht="15.75" thickBot="1" x14ac:dyDescent="0.3">
      <c r="A6704" s="140" t="s">
        <v>37</v>
      </c>
      <c r="B6704" s="53">
        <v>44172</v>
      </c>
      <c r="C6704" s="4">
        <v>185</v>
      </c>
      <c r="D6704" s="29">
        <f t="shared" si="559"/>
        <v>8862</v>
      </c>
      <c r="E6704" s="4">
        <v>7</v>
      </c>
      <c r="F6704" s="129">
        <f t="shared" si="560"/>
        <v>111</v>
      </c>
      <c r="I6704" s="88"/>
    </row>
    <row r="6705" spans="1:9" ht="15.75" thickBot="1" x14ac:dyDescent="0.3">
      <c r="A6705" s="140" t="s">
        <v>38</v>
      </c>
      <c r="B6705" s="53">
        <v>44172</v>
      </c>
      <c r="C6705" s="4">
        <v>55</v>
      </c>
      <c r="D6705" s="29">
        <f t="shared" si="559"/>
        <v>24575</v>
      </c>
      <c r="E6705" s="4">
        <v>5</v>
      </c>
      <c r="F6705" s="129">
        <f t="shared" si="560"/>
        <v>492</v>
      </c>
      <c r="I6705" s="88"/>
    </row>
    <row r="6706" spans="1:9" ht="15.75" thickBot="1" x14ac:dyDescent="0.3">
      <c r="A6706" s="140" t="s">
        <v>48</v>
      </c>
      <c r="B6706" s="53">
        <v>44172</v>
      </c>
      <c r="C6706" s="4">
        <v>0</v>
      </c>
      <c r="D6706" s="29">
        <f t="shared" si="559"/>
        <v>189</v>
      </c>
      <c r="E6706" s="4">
        <v>0</v>
      </c>
      <c r="F6706" s="129">
        <f t="shared" si="560"/>
        <v>3</v>
      </c>
      <c r="I6706" s="88"/>
    </row>
    <row r="6707" spans="1:9" ht="15.75" thickBot="1" x14ac:dyDescent="0.3">
      <c r="A6707" s="140" t="s">
        <v>39</v>
      </c>
      <c r="B6707" s="53">
        <v>44172</v>
      </c>
      <c r="C6707" s="4">
        <v>1</v>
      </c>
      <c r="D6707" s="29">
        <f t="shared" si="559"/>
        <v>18416</v>
      </c>
      <c r="E6707" s="4">
        <v>1</v>
      </c>
      <c r="F6707" s="129">
        <f t="shared" si="560"/>
        <v>852</v>
      </c>
      <c r="I6707" s="88"/>
    </row>
    <row r="6708" spans="1:9" ht="15.75" thickBot="1" x14ac:dyDescent="0.3">
      <c r="A6708" s="140" t="s">
        <v>40</v>
      </c>
      <c r="B6708" s="53">
        <v>44172</v>
      </c>
      <c r="C6708" s="4">
        <v>58</v>
      </c>
      <c r="D6708" s="29">
        <f t="shared" si="559"/>
        <v>6338</v>
      </c>
      <c r="E6708" s="4">
        <v>7</v>
      </c>
      <c r="F6708" s="129">
        <f t="shared" si="560"/>
        <v>95</v>
      </c>
      <c r="I6708" s="88"/>
    </row>
    <row r="6709" spans="1:9" ht="15.75" thickBot="1" x14ac:dyDescent="0.3">
      <c r="A6709" s="140" t="s">
        <v>28</v>
      </c>
      <c r="B6709" s="53">
        <v>44172</v>
      </c>
      <c r="C6709" s="4">
        <v>19</v>
      </c>
      <c r="D6709" s="29">
        <f t="shared" si="559"/>
        <v>8858</v>
      </c>
      <c r="E6709" s="4">
        <v>0</v>
      </c>
      <c r="F6709" s="129">
        <f t="shared" si="560"/>
        <v>321</v>
      </c>
      <c r="I6709" s="88"/>
    </row>
    <row r="6710" spans="1:9" ht="15.75" thickBot="1" x14ac:dyDescent="0.3">
      <c r="A6710" s="140" t="s">
        <v>24</v>
      </c>
      <c r="B6710" s="53">
        <v>44172</v>
      </c>
      <c r="C6710" s="4">
        <v>32</v>
      </c>
      <c r="D6710" s="29">
        <f t="shared" si="559"/>
        <v>57600</v>
      </c>
      <c r="E6710" s="4">
        <v>1</v>
      </c>
      <c r="F6710" s="129">
        <f t="shared" si="560"/>
        <v>1144</v>
      </c>
      <c r="I6710" s="88"/>
    </row>
    <row r="6711" spans="1:9" ht="15.75" thickBot="1" x14ac:dyDescent="0.3">
      <c r="A6711" s="140" t="s">
        <v>30</v>
      </c>
      <c r="B6711" s="53">
        <v>44172</v>
      </c>
      <c r="C6711" s="4">
        <v>6</v>
      </c>
      <c r="D6711" s="29">
        <f t="shared" si="559"/>
        <v>579</v>
      </c>
      <c r="E6711" s="4">
        <v>0</v>
      </c>
      <c r="F6711" s="129">
        <f t="shared" si="560"/>
        <v>9</v>
      </c>
      <c r="I6711" s="88"/>
    </row>
    <row r="6712" spans="1:9" ht="15.75" thickBot="1" x14ac:dyDescent="0.3">
      <c r="A6712" s="140" t="s">
        <v>26</v>
      </c>
      <c r="B6712" s="53">
        <v>44172</v>
      </c>
      <c r="C6712" s="4">
        <v>473</v>
      </c>
      <c r="D6712" s="29">
        <f t="shared" si="559"/>
        <v>35112</v>
      </c>
      <c r="E6712" s="4">
        <v>1</v>
      </c>
      <c r="F6712" s="129">
        <f t="shared" si="560"/>
        <v>658</v>
      </c>
      <c r="I6712" s="88"/>
    </row>
    <row r="6713" spans="1:9" ht="15.75" thickBot="1" x14ac:dyDescent="0.3">
      <c r="A6713" s="140" t="s">
        <v>25</v>
      </c>
      <c r="B6713" s="53">
        <v>44172</v>
      </c>
      <c r="C6713" s="4">
        <v>93</v>
      </c>
      <c r="D6713" s="29">
        <f t="shared" si="559"/>
        <v>32971</v>
      </c>
      <c r="E6713" s="4">
        <v>0</v>
      </c>
      <c r="F6713" s="129">
        <f t="shared" si="560"/>
        <v>801</v>
      </c>
      <c r="I6713" s="88"/>
    </row>
    <row r="6714" spans="1:9" ht="15.75" thickBot="1" x14ac:dyDescent="0.3">
      <c r="A6714" s="140" t="s">
        <v>41</v>
      </c>
      <c r="B6714" s="53">
        <v>44172</v>
      </c>
      <c r="C6714" s="4">
        <v>13</v>
      </c>
      <c r="D6714" s="29">
        <f t="shared" si="559"/>
        <v>21431</v>
      </c>
      <c r="E6714" s="4">
        <v>0</v>
      </c>
      <c r="F6714" s="129">
        <f t="shared" si="560"/>
        <v>1006</v>
      </c>
      <c r="I6714" s="88"/>
    </row>
    <row r="6715" spans="1:9" ht="15.75" thickBot="1" x14ac:dyDescent="0.3">
      <c r="A6715" s="140" t="s">
        <v>42</v>
      </c>
      <c r="B6715" s="53">
        <v>44172</v>
      </c>
      <c r="C6715" s="4">
        <v>35</v>
      </c>
      <c r="D6715" s="29">
        <f t="shared" si="559"/>
        <v>8499</v>
      </c>
      <c r="E6715" s="4">
        <v>0</v>
      </c>
      <c r="F6715" s="129">
        <f t="shared" si="560"/>
        <v>173</v>
      </c>
      <c r="I6715" s="88"/>
    </row>
    <row r="6716" spans="1:9" ht="15.75" thickBot="1" x14ac:dyDescent="0.3">
      <c r="A6716" s="140" t="s">
        <v>43</v>
      </c>
      <c r="B6716" s="53">
        <v>44172</v>
      </c>
      <c r="C6716" s="4">
        <v>43</v>
      </c>
      <c r="D6716" s="29">
        <f t="shared" si="559"/>
        <v>15144</v>
      </c>
      <c r="E6716" s="4">
        <v>0</v>
      </c>
      <c r="F6716" s="129">
        <f t="shared" si="560"/>
        <v>236</v>
      </c>
      <c r="I6716" s="88"/>
    </row>
    <row r="6717" spans="1:9" ht="15.75" thickBot="1" x14ac:dyDescent="0.3">
      <c r="A6717" s="140" t="s">
        <v>44</v>
      </c>
      <c r="B6717" s="53">
        <v>44172</v>
      </c>
      <c r="C6717" s="4">
        <v>119</v>
      </c>
      <c r="D6717" s="29">
        <f t="shared" si="559"/>
        <v>17416</v>
      </c>
      <c r="E6717" s="4">
        <v>5</v>
      </c>
      <c r="F6717" s="129">
        <f t="shared" si="560"/>
        <v>308</v>
      </c>
      <c r="I6717" s="88"/>
    </row>
    <row r="6718" spans="1:9" ht="15.75" thickBot="1" x14ac:dyDescent="0.3">
      <c r="A6718" s="140" t="s">
        <v>29</v>
      </c>
      <c r="B6718" s="53">
        <v>44172</v>
      </c>
      <c r="C6718" s="4">
        <v>576</v>
      </c>
      <c r="D6718" s="29">
        <f t="shared" si="559"/>
        <v>154795</v>
      </c>
      <c r="E6718" s="4">
        <v>14</v>
      </c>
      <c r="F6718" s="129">
        <f t="shared" si="560"/>
        <v>2424</v>
      </c>
      <c r="I6718" s="88"/>
    </row>
    <row r="6719" spans="1:9" ht="15.75" thickBot="1" x14ac:dyDescent="0.3">
      <c r="A6719" s="140" t="s">
        <v>45</v>
      </c>
      <c r="B6719" s="53">
        <v>44172</v>
      </c>
      <c r="C6719" s="4">
        <v>57</v>
      </c>
      <c r="D6719" s="29">
        <f t="shared" si="559"/>
        <v>16216</v>
      </c>
      <c r="E6719" s="4">
        <v>0</v>
      </c>
      <c r="F6719" s="129">
        <f t="shared" si="560"/>
        <v>200</v>
      </c>
      <c r="I6719" s="88"/>
    </row>
    <row r="6720" spans="1:9" ht="15.75" thickBot="1" x14ac:dyDescent="0.3">
      <c r="A6720" s="140" t="s">
        <v>46</v>
      </c>
      <c r="B6720" s="53">
        <v>44172</v>
      </c>
      <c r="C6720" s="4">
        <v>109</v>
      </c>
      <c r="D6720" s="29">
        <f t="shared" si="559"/>
        <v>16854</v>
      </c>
      <c r="E6720" s="4">
        <v>0</v>
      </c>
      <c r="F6720" s="129">
        <f t="shared" si="560"/>
        <v>238</v>
      </c>
      <c r="I6720" s="88"/>
    </row>
    <row r="6721" spans="1:6" ht="15.75" thickBot="1" x14ac:dyDescent="0.3">
      <c r="A6721" s="142" t="s">
        <v>47</v>
      </c>
      <c r="B6721" s="46">
        <v>44172</v>
      </c>
      <c r="C6721" s="47">
        <v>86</v>
      </c>
      <c r="D6721" s="85">
        <f>C6721+D6697</f>
        <v>67350</v>
      </c>
      <c r="E6721" s="47">
        <v>0</v>
      </c>
      <c r="F6721" s="139">
        <f t="shared" si="560"/>
        <v>1247</v>
      </c>
    </row>
    <row r="6722" spans="1:6" x14ac:dyDescent="0.25">
      <c r="A6722" s="64" t="s">
        <v>22</v>
      </c>
      <c r="B6722" s="49">
        <v>44173</v>
      </c>
      <c r="C6722" s="50">
        <v>836</v>
      </c>
      <c r="D6722" s="131">
        <f t="shared" si="559"/>
        <v>630006</v>
      </c>
      <c r="E6722" s="50">
        <v>39</v>
      </c>
      <c r="F6722" s="128">
        <f t="shared" si="560"/>
        <v>21197</v>
      </c>
    </row>
    <row r="6723" spans="1:6" x14ac:dyDescent="0.25">
      <c r="A6723" s="140" t="s">
        <v>20</v>
      </c>
      <c r="B6723" s="26">
        <v>44173</v>
      </c>
      <c r="C6723" s="4">
        <v>159</v>
      </c>
      <c r="D6723" s="29">
        <f t="shared" si="559"/>
        <v>160996</v>
      </c>
      <c r="E6723" s="4">
        <v>3</v>
      </c>
      <c r="F6723" s="129">
        <f t="shared" si="560"/>
        <v>5273</v>
      </c>
    </row>
    <row r="6724" spans="1:6" x14ac:dyDescent="0.25">
      <c r="A6724" s="140" t="s">
        <v>35</v>
      </c>
      <c r="B6724" s="26">
        <v>44173</v>
      </c>
      <c r="C6724" s="4">
        <v>12</v>
      </c>
      <c r="D6724" s="29">
        <f t="shared" si="559"/>
        <v>2027</v>
      </c>
      <c r="E6724" s="4">
        <v>0</v>
      </c>
      <c r="F6724" s="129">
        <f t="shared" si="560"/>
        <v>17</v>
      </c>
    </row>
    <row r="6725" spans="1:6" x14ac:dyDescent="0.25">
      <c r="A6725" s="140" t="s">
        <v>21</v>
      </c>
      <c r="B6725" s="26">
        <v>44173</v>
      </c>
      <c r="C6725" s="4">
        <v>59</v>
      </c>
      <c r="D6725" s="29">
        <f t="shared" si="559"/>
        <v>20885</v>
      </c>
      <c r="E6725" s="4">
        <v>10</v>
      </c>
      <c r="F6725" s="129">
        <f t="shared" si="560"/>
        <v>600</v>
      </c>
    </row>
    <row r="6726" spans="1:6" x14ac:dyDescent="0.25">
      <c r="A6726" s="140" t="s">
        <v>36</v>
      </c>
      <c r="B6726" s="26">
        <v>44173</v>
      </c>
      <c r="C6726" s="4">
        <v>121</v>
      </c>
      <c r="D6726" s="29">
        <f t="shared" si="559"/>
        <v>24770</v>
      </c>
      <c r="E6726" s="4">
        <v>4</v>
      </c>
      <c r="F6726" s="129">
        <f t="shared" si="560"/>
        <v>411</v>
      </c>
    </row>
    <row r="6727" spans="1:6" x14ac:dyDescent="0.25">
      <c r="A6727" s="140" t="s">
        <v>27</v>
      </c>
      <c r="B6727" s="26">
        <v>44173</v>
      </c>
      <c r="C6727" s="4">
        <v>241</v>
      </c>
      <c r="D6727" s="29">
        <f t="shared" si="559"/>
        <v>117848</v>
      </c>
      <c r="E6727" s="4">
        <v>19</v>
      </c>
      <c r="F6727" s="129">
        <f t="shared" si="560"/>
        <v>2117</v>
      </c>
    </row>
    <row r="6728" spans="1:6" x14ac:dyDescent="0.25">
      <c r="A6728" s="140" t="s">
        <v>37</v>
      </c>
      <c r="B6728" s="26">
        <v>44173</v>
      </c>
      <c r="C6728" s="4">
        <v>127</v>
      </c>
      <c r="D6728" s="29">
        <f t="shared" si="559"/>
        <v>8989</v>
      </c>
      <c r="E6728" s="4">
        <v>9</v>
      </c>
      <c r="F6728" s="129">
        <f t="shared" si="560"/>
        <v>120</v>
      </c>
    </row>
    <row r="6729" spans="1:6" x14ac:dyDescent="0.25">
      <c r="A6729" s="140" t="s">
        <v>38</v>
      </c>
      <c r="B6729" s="26">
        <v>44173</v>
      </c>
      <c r="C6729" s="4">
        <v>137</v>
      </c>
      <c r="D6729" s="29">
        <f t="shared" si="559"/>
        <v>24712</v>
      </c>
      <c r="E6729" s="4">
        <v>6</v>
      </c>
      <c r="F6729" s="129">
        <f t="shared" si="560"/>
        <v>498</v>
      </c>
    </row>
    <row r="6730" spans="1:6" x14ac:dyDescent="0.25">
      <c r="A6730" s="140" t="s">
        <v>48</v>
      </c>
      <c r="B6730" s="26">
        <v>44173</v>
      </c>
      <c r="C6730" s="4">
        <v>4</v>
      </c>
      <c r="D6730" s="29">
        <f t="shared" si="559"/>
        <v>193</v>
      </c>
      <c r="E6730" s="4">
        <v>0</v>
      </c>
      <c r="F6730" s="129">
        <f t="shared" si="560"/>
        <v>3</v>
      </c>
    </row>
    <row r="6731" spans="1:6" x14ac:dyDescent="0.25">
      <c r="A6731" s="140" t="s">
        <v>39</v>
      </c>
      <c r="B6731" s="26">
        <v>44173</v>
      </c>
      <c r="C6731" s="4">
        <v>9</v>
      </c>
      <c r="D6731" s="29">
        <f t="shared" si="559"/>
        <v>18425</v>
      </c>
      <c r="E6731" s="4">
        <v>0</v>
      </c>
      <c r="F6731" s="129">
        <f t="shared" si="560"/>
        <v>852</v>
      </c>
    </row>
    <row r="6732" spans="1:6" x14ac:dyDescent="0.25">
      <c r="A6732" s="140" t="s">
        <v>40</v>
      </c>
      <c r="B6732" s="26">
        <v>44173</v>
      </c>
      <c r="C6732" s="4">
        <v>62</v>
      </c>
      <c r="D6732" s="29">
        <f t="shared" si="559"/>
        <v>6400</v>
      </c>
      <c r="E6732" s="4">
        <v>0</v>
      </c>
      <c r="F6732" s="129">
        <f t="shared" si="560"/>
        <v>95</v>
      </c>
    </row>
    <row r="6733" spans="1:6" x14ac:dyDescent="0.25">
      <c r="A6733" s="140" t="s">
        <v>28</v>
      </c>
      <c r="B6733" s="26">
        <v>44173</v>
      </c>
      <c r="C6733" s="4">
        <v>7</v>
      </c>
      <c r="D6733" s="29">
        <f t="shared" si="559"/>
        <v>8865</v>
      </c>
      <c r="E6733" s="4">
        <v>1</v>
      </c>
      <c r="F6733" s="129">
        <f t="shared" si="560"/>
        <v>322</v>
      </c>
    </row>
    <row r="6734" spans="1:6" x14ac:dyDescent="0.25">
      <c r="A6734" s="140" t="s">
        <v>24</v>
      </c>
      <c r="B6734" s="26">
        <v>44173</v>
      </c>
      <c r="C6734" s="4">
        <v>32</v>
      </c>
      <c r="D6734" s="29">
        <f t="shared" si="559"/>
        <v>57632</v>
      </c>
      <c r="E6734" s="4">
        <v>2</v>
      </c>
      <c r="F6734" s="129">
        <f t="shared" si="560"/>
        <v>1146</v>
      </c>
    </row>
    <row r="6735" spans="1:6" x14ac:dyDescent="0.25">
      <c r="A6735" s="140" t="s">
        <v>30</v>
      </c>
      <c r="B6735" s="26">
        <v>44173</v>
      </c>
      <c r="C6735" s="4">
        <v>11</v>
      </c>
      <c r="D6735" s="29">
        <f t="shared" si="559"/>
        <v>590</v>
      </c>
      <c r="E6735" s="4">
        <v>0</v>
      </c>
      <c r="F6735" s="129">
        <f t="shared" si="560"/>
        <v>9</v>
      </c>
    </row>
    <row r="6736" spans="1:6" x14ac:dyDescent="0.25">
      <c r="A6736" s="140" t="s">
        <v>26</v>
      </c>
      <c r="B6736" s="26">
        <v>44173</v>
      </c>
      <c r="C6736" s="4">
        <v>477</v>
      </c>
      <c r="D6736" s="29">
        <f t="shared" si="559"/>
        <v>35589</v>
      </c>
      <c r="E6736" s="4">
        <v>0</v>
      </c>
      <c r="F6736" s="129">
        <f t="shared" si="560"/>
        <v>658</v>
      </c>
    </row>
    <row r="6737" spans="1:10" x14ac:dyDescent="0.25">
      <c r="A6737" s="140" t="s">
        <v>25</v>
      </c>
      <c r="B6737" s="26">
        <v>44173</v>
      </c>
      <c r="C6737" s="4">
        <v>137</v>
      </c>
      <c r="D6737" s="29">
        <f t="shared" si="559"/>
        <v>33108</v>
      </c>
      <c r="E6737" s="4">
        <v>2</v>
      </c>
      <c r="F6737" s="129">
        <f t="shared" si="560"/>
        <v>803</v>
      </c>
    </row>
    <row r="6738" spans="1:10" x14ac:dyDescent="0.25">
      <c r="A6738" s="140" t="s">
        <v>41</v>
      </c>
      <c r="B6738" s="26">
        <v>44173</v>
      </c>
      <c r="C6738" s="4">
        <v>7</v>
      </c>
      <c r="D6738" s="29">
        <f t="shared" si="559"/>
        <v>21438</v>
      </c>
      <c r="E6738" s="4">
        <v>0</v>
      </c>
      <c r="F6738" s="129">
        <f t="shared" si="560"/>
        <v>1006</v>
      </c>
    </row>
    <row r="6739" spans="1:10" x14ac:dyDescent="0.25">
      <c r="A6739" s="140" t="s">
        <v>42</v>
      </c>
      <c r="B6739" s="26">
        <v>44173</v>
      </c>
      <c r="C6739" s="4">
        <v>107</v>
      </c>
      <c r="D6739" s="29">
        <f t="shared" si="559"/>
        <v>8606</v>
      </c>
      <c r="E6739" s="4">
        <v>0</v>
      </c>
      <c r="F6739" s="129">
        <f t="shared" si="560"/>
        <v>173</v>
      </c>
    </row>
    <row r="6740" spans="1:10" x14ac:dyDescent="0.25">
      <c r="A6740" s="140" t="s">
        <v>43</v>
      </c>
      <c r="B6740" s="26">
        <v>44173</v>
      </c>
      <c r="C6740" s="4">
        <v>87</v>
      </c>
      <c r="D6740" s="29">
        <f t="shared" si="559"/>
        <v>15231</v>
      </c>
      <c r="E6740" s="4">
        <v>0</v>
      </c>
      <c r="F6740" s="129">
        <f t="shared" si="560"/>
        <v>236</v>
      </c>
    </row>
    <row r="6741" spans="1:10" x14ac:dyDescent="0.25">
      <c r="A6741" s="140" t="s">
        <v>44</v>
      </c>
      <c r="B6741" s="26">
        <v>44173</v>
      </c>
      <c r="C6741" s="4">
        <v>238</v>
      </c>
      <c r="D6741" s="29">
        <f t="shared" si="559"/>
        <v>17654</v>
      </c>
      <c r="E6741" s="4">
        <v>2</v>
      </c>
      <c r="F6741" s="129">
        <f t="shared" si="560"/>
        <v>310</v>
      </c>
    </row>
    <row r="6742" spans="1:10" x14ac:dyDescent="0.25">
      <c r="A6742" s="140" t="s">
        <v>29</v>
      </c>
      <c r="B6742" s="26">
        <v>44173</v>
      </c>
      <c r="C6742" s="4">
        <v>559</v>
      </c>
      <c r="D6742" s="29">
        <f t="shared" si="559"/>
        <v>155354</v>
      </c>
      <c r="E6742" s="4">
        <v>21</v>
      </c>
      <c r="F6742" s="129">
        <f t="shared" si="560"/>
        <v>2445</v>
      </c>
    </row>
    <row r="6743" spans="1:10" x14ac:dyDescent="0.25">
      <c r="A6743" s="140" t="s">
        <v>45</v>
      </c>
      <c r="B6743" s="26">
        <v>44173</v>
      </c>
      <c r="C6743" s="4">
        <v>23</v>
      </c>
      <c r="D6743" s="29">
        <f t="shared" si="559"/>
        <v>16239</v>
      </c>
      <c r="E6743" s="4">
        <v>1</v>
      </c>
      <c r="F6743" s="129">
        <f t="shared" si="560"/>
        <v>201</v>
      </c>
    </row>
    <row r="6744" spans="1:10" x14ac:dyDescent="0.25">
      <c r="A6744" s="140" t="s">
        <v>46</v>
      </c>
      <c r="B6744" s="26">
        <v>44173</v>
      </c>
      <c r="C6744" s="4">
        <v>65</v>
      </c>
      <c r="D6744" s="29">
        <f t="shared" si="559"/>
        <v>16919</v>
      </c>
      <c r="E6744" s="4">
        <v>1</v>
      </c>
      <c r="F6744" s="129">
        <f t="shared" si="560"/>
        <v>239</v>
      </c>
    </row>
    <row r="6745" spans="1:10" ht="15.75" thickBot="1" x14ac:dyDescent="0.3">
      <c r="A6745" s="141" t="s">
        <v>47</v>
      </c>
      <c r="B6745" s="53">
        <v>44173</v>
      </c>
      <c r="C6745" s="54">
        <v>93</v>
      </c>
      <c r="D6745" s="132">
        <f>C6745+D6721</f>
        <v>67443</v>
      </c>
      <c r="E6745" s="54">
        <v>0</v>
      </c>
      <c r="F6745" s="130">
        <f t="shared" si="560"/>
        <v>1247</v>
      </c>
    </row>
    <row r="6746" spans="1:10" x14ac:dyDescent="0.25">
      <c r="A6746" s="203" t="s">
        <v>22</v>
      </c>
      <c r="B6746" s="136">
        <v>44174</v>
      </c>
      <c r="C6746" s="48">
        <v>1460</v>
      </c>
      <c r="D6746" s="144">
        <f t="shared" si="559"/>
        <v>631466</v>
      </c>
      <c r="E6746" s="48">
        <v>66</v>
      </c>
      <c r="F6746" s="246">
        <f t="shared" si="560"/>
        <v>21263</v>
      </c>
      <c r="J6746" s="88"/>
    </row>
    <row r="6747" spans="1:10" x14ac:dyDescent="0.25">
      <c r="A6747" s="140" t="s">
        <v>20</v>
      </c>
      <c r="B6747" s="26">
        <v>44174</v>
      </c>
      <c r="C6747" s="4">
        <v>334</v>
      </c>
      <c r="D6747" s="29">
        <f t="shared" si="559"/>
        <v>161330</v>
      </c>
      <c r="E6747" s="4">
        <v>14</v>
      </c>
      <c r="F6747" s="129">
        <f t="shared" si="560"/>
        <v>5287</v>
      </c>
      <c r="J6747" s="88"/>
    </row>
    <row r="6748" spans="1:10" x14ac:dyDescent="0.25">
      <c r="A6748" s="140" t="s">
        <v>35</v>
      </c>
      <c r="B6748" s="26">
        <v>44174</v>
      </c>
      <c r="C6748" s="4">
        <v>3</v>
      </c>
      <c r="D6748" s="29">
        <f t="shared" si="559"/>
        <v>2030</v>
      </c>
      <c r="E6748" s="4">
        <v>0</v>
      </c>
      <c r="F6748" s="129">
        <f t="shared" si="560"/>
        <v>17</v>
      </c>
      <c r="J6748" s="88"/>
    </row>
    <row r="6749" spans="1:10" x14ac:dyDescent="0.25">
      <c r="A6749" s="140" t="s">
        <v>21</v>
      </c>
      <c r="B6749" s="26">
        <v>44174</v>
      </c>
      <c r="C6749" s="4">
        <v>151</v>
      </c>
      <c r="D6749" s="29">
        <f t="shared" si="559"/>
        <v>21036</v>
      </c>
      <c r="E6749" s="4">
        <v>4</v>
      </c>
      <c r="F6749" s="129">
        <f t="shared" si="560"/>
        <v>604</v>
      </c>
      <c r="J6749" s="88"/>
    </row>
    <row r="6750" spans="1:10" x14ac:dyDescent="0.25">
      <c r="A6750" s="140" t="s">
        <v>36</v>
      </c>
      <c r="B6750" s="26">
        <v>44174</v>
      </c>
      <c r="C6750" s="4">
        <v>266</v>
      </c>
      <c r="D6750" s="29">
        <f t="shared" si="559"/>
        <v>25036</v>
      </c>
      <c r="E6750" s="4">
        <v>0</v>
      </c>
      <c r="F6750" s="129">
        <f t="shared" si="560"/>
        <v>411</v>
      </c>
      <c r="J6750" s="88"/>
    </row>
    <row r="6751" spans="1:10" x14ac:dyDescent="0.25">
      <c r="A6751" s="140" t="s">
        <v>27</v>
      </c>
      <c r="B6751" s="26">
        <v>44174</v>
      </c>
      <c r="C6751" s="4">
        <v>251</v>
      </c>
      <c r="D6751" s="29">
        <f t="shared" si="559"/>
        <v>118099</v>
      </c>
      <c r="E6751" s="4">
        <v>24</v>
      </c>
      <c r="F6751" s="129">
        <f t="shared" si="560"/>
        <v>2141</v>
      </c>
      <c r="J6751" s="88"/>
    </row>
    <row r="6752" spans="1:10" x14ac:dyDescent="0.25">
      <c r="A6752" s="140" t="s">
        <v>37</v>
      </c>
      <c r="B6752" s="26">
        <v>44174</v>
      </c>
      <c r="C6752" s="4">
        <v>61</v>
      </c>
      <c r="D6752" s="29">
        <f t="shared" si="559"/>
        <v>9050</v>
      </c>
      <c r="E6752" s="4">
        <v>10</v>
      </c>
      <c r="F6752" s="129">
        <f t="shared" si="560"/>
        <v>130</v>
      </c>
      <c r="J6752" s="88"/>
    </row>
    <row r="6753" spans="1:10" x14ac:dyDescent="0.25">
      <c r="A6753" s="140" t="s">
        <v>38</v>
      </c>
      <c r="B6753" s="26">
        <v>44174</v>
      </c>
      <c r="C6753" s="4">
        <v>103</v>
      </c>
      <c r="D6753" s="29">
        <f t="shared" ref="D6753:D6818" si="561">C6753+D6729</f>
        <v>24815</v>
      </c>
      <c r="E6753" s="4">
        <v>7</v>
      </c>
      <c r="F6753" s="129">
        <f t="shared" si="560"/>
        <v>505</v>
      </c>
      <c r="J6753" s="88"/>
    </row>
    <row r="6754" spans="1:10" x14ac:dyDescent="0.25">
      <c r="A6754" s="140" t="s">
        <v>48</v>
      </c>
      <c r="B6754" s="26">
        <v>44174</v>
      </c>
      <c r="C6754" s="4">
        <v>4</v>
      </c>
      <c r="D6754" s="29">
        <f t="shared" si="561"/>
        <v>197</v>
      </c>
      <c r="E6754" s="4">
        <v>0</v>
      </c>
      <c r="F6754" s="129">
        <f t="shared" ref="F6754:F6818" si="562">E6754+F6730</f>
        <v>3</v>
      </c>
      <c r="J6754" s="88"/>
    </row>
    <row r="6755" spans="1:10" x14ac:dyDescent="0.25">
      <c r="A6755" s="140" t="s">
        <v>39</v>
      </c>
      <c r="B6755" s="26">
        <v>44174</v>
      </c>
      <c r="C6755" s="4">
        <v>4</v>
      </c>
      <c r="D6755" s="29">
        <f t="shared" si="561"/>
        <v>18429</v>
      </c>
      <c r="E6755" s="4">
        <v>0</v>
      </c>
      <c r="F6755" s="129">
        <f t="shared" si="562"/>
        <v>852</v>
      </c>
      <c r="J6755" s="88"/>
    </row>
    <row r="6756" spans="1:10" x14ac:dyDescent="0.25">
      <c r="A6756" s="140" t="s">
        <v>40</v>
      </c>
      <c r="B6756" s="26">
        <v>44174</v>
      </c>
      <c r="C6756" s="4">
        <v>123</v>
      </c>
      <c r="D6756" s="29">
        <f t="shared" si="561"/>
        <v>6523</v>
      </c>
      <c r="E6756" s="4">
        <v>0</v>
      </c>
      <c r="F6756" s="129">
        <f t="shared" si="562"/>
        <v>95</v>
      </c>
      <c r="J6756" s="88"/>
    </row>
    <row r="6757" spans="1:10" x14ac:dyDescent="0.25">
      <c r="A6757" s="140" t="s">
        <v>28</v>
      </c>
      <c r="B6757" s="26">
        <v>44174</v>
      </c>
      <c r="C6757" s="4">
        <v>28</v>
      </c>
      <c r="D6757" s="29">
        <f t="shared" si="561"/>
        <v>8893</v>
      </c>
      <c r="E6757" s="4">
        <v>0</v>
      </c>
      <c r="F6757" s="129">
        <f t="shared" si="562"/>
        <v>322</v>
      </c>
      <c r="J6757" s="88"/>
    </row>
    <row r="6758" spans="1:10" x14ac:dyDescent="0.25">
      <c r="A6758" s="140" t="s">
        <v>24</v>
      </c>
      <c r="B6758" s="26">
        <v>44174</v>
      </c>
      <c r="C6758" s="4">
        <v>108</v>
      </c>
      <c r="D6758" s="29">
        <f t="shared" si="561"/>
        <v>57740</v>
      </c>
      <c r="E6758" s="4">
        <v>18</v>
      </c>
      <c r="F6758" s="129">
        <f t="shared" si="562"/>
        <v>1164</v>
      </c>
      <c r="J6758" s="88"/>
    </row>
    <row r="6759" spans="1:10" x14ac:dyDescent="0.25">
      <c r="A6759" s="140" t="s">
        <v>30</v>
      </c>
      <c r="B6759" s="26">
        <v>44174</v>
      </c>
      <c r="C6759" s="4">
        <v>18</v>
      </c>
      <c r="D6759" s="29">
        <f t="shared" si="561"/>
        <v>608</v>
      </c>
      <c r="E6759" s="4">
        <v>0</v>
      </c>
      <c r="F6759" s="129">
        <f t="shared" si="562"/>
        <v>9</v>
      </c>
      <c r="J6759" s="88"/>
    </row>
    <row r="6760" spans="1:10" x14ac:dyDescent="0.25">
      <c r="A6760" s="140" t="s">
        <v>26</v>
      </c>
      <c r="B6760" s="26">
        <v>44174</v>
      </c>
      <c r="C6760" s="4">
        <v>550</v>
      </c>
      <c r="D6760" s="29">
        <f t="shared" si="561"/>
        <v>36139</v>
      </c>
      <c r="E6760" s="4">
        <v>1</v>
      </c>
      <c r="F6760" s="129">
        <f t="shared" si="562"/>
        <v>659</v>
      </c>
      <c r="J6760" s="88"/>
    </row>
    <row r="6761" spans="1:10" x14ac:dyDescent="0.25">
      <c r="A6761" s="140" t="s">
        <v>25</v>
      </c>
      <c r="B6761" s="26">
        <v>44174</v>
      </c>
      <c r="C6761" s="4">
        <v>128</v>
      </c>
      <c r="D6761" s="29">
        <f t="shared" si="561"/>
        <v>33236</v>
      </c>
      <c r="E6761" s="4">
        <v>5</v>
      </c>
      <c r="F6761" s="129">
        <f t="shared" si="562"/>
        <v>808</v>
      </c>
      <c r="J6761" s="88"/>
    </row>
    <row r="6762" spans="1:10" x14ac:dyDescent="0.25">
      <c r="A6762" s="140" t="s">
        <v>41</v>
      </c>
      <c r="B6762" s="26">
        <v>44174</v>
      </c>
      <c r="C6762" s="4">
        <v>15</v>
      </c>
      <c r="D6762" s="29">
        <f t="shared" si="561"/>
        <v>21453</v>
      </c>
      <c r="E6762" s="4">
        <v>1</v>
      </c>
      <c r="F6762" s="129">
        <f t="shared" si="562"/>
        <v>1007</v>
      </c>
      <c r="J6762" s="88"/>
    </row>
    <row r="6763" spans="1:10" x14ac:dyDescent="0.25">
      <c r="A6763" s="140" t="s">
        <v>42</v>
      </c>
      <c r="B6763" s="26">
        <v>44174</v>
      </c>
      <c r="C6763" s="4">
        <v>197</v>
      </c>
      <c r="D6763" s="29">
        <f t="shared" si="561"/>
        <v>8803</v>
      </c>
      <c r="E6763" s="4">
        <v>1</v>
      </c>
      <c r="F6763" s="129">
        <f t="shared" si="562"/>
        <v>174</v>
      </c>
      <c r="J6763" s="88"/>
    </row>
    <row r="6764" spans="1:10" x14ac:dyDescent="0.25">
      <c r="A6764" s="140" t="s">
        <v>43</v>
      </c>
      <c r="B6764" s="26">
        <v>44174</v>
      </c>
      <c r="C6764" s="4">
        <v>56</v>
      </c>
      <c r="D6764" s="29">
        <f t="shared" si="561"/>
        <v>15287</v>
      </c>
      <c r="E6764" s="4">
        <v>3</v>
      </c>
      <c r="F6764" s="129">
        <f t="shared" si="562"/>
        <v>239</v>
      </c>
      <c r="J6764" s="88"/>
    </row>
    <row r="6765" spans="1:10" x14ac:dyDescent="0.25">
      <c r="A6765" s="140" t="s">
        <v>44</v>
      </c>
      <c r="B6765" s="26">
        <v>44174</v>
      </c>
      <c r="C6765" s="4">
        <v>135</v>
      </c>
      <c r="D6765" s="29">
        <f t="shared" si="561"/>
        <v>17789</v>
      </c>
      <c r="E6765" s="4">
        <v>4</v>
      </c>
      <c r="F6765" s="129">
        <f t="shared" si="562"/>
        <v>314</v>
      </c>
      <c r="J6765" s="88"/>
    </row>
    <row r="6766" spans="1:10" x14ac:dyDescent="0.25">
      <c r="A6766" s="140" t="s">
        <v>29</v>
      </c>
      <c r="B6766" s="26">
        <v>44174</v>
      </c>
      <c r="C6766" s="4">
        <v>996</v>
      </c>
      <c r="D6766" s="29">
        <f t="shared" si="561"/>
        <v>156350</v>
      </c>
      <c r="E6766" s="4">
        <v>37</v>
      </c>
      <c r="F6766" s="129">
        <f t="shared" si="562"/>
        <v>2482</v>
      </c>
      <c r="J6766" s="88"/>
    </row>
    <row r="6767" spans="1:10" x14ac:dyDescent="0.25">
      <c r="A6767" s="140" t="s">
        <v>45</v>
      </c>
      <c r="B6767" s="26">
        <v>44174</v>
      </c>
      <c r="C6767" s="4">
        <v>56</v>
      </c>
      <c r="D6767" s="29">
        <f t="shared" si="561"/>
        <v>16295</v>
      </c>
      <c r="E6767" s="4">
        <v>1</v>
      </c>
      <c r="F6767" s="129">
        <f t="shared" si="562"/>
        <v>202</v>
      </c>
      <c r="J6767" s="88"/>
    </row>
    <row r="6768" spans="1:10" x14ac:dyDescent="0.25">
      <c r="A6768" s="140" t="s">
        <v>46</v>
      </c>
      <c r="B6768" s="26">
        <v>44174</v>
      </c>
      <c r="C6768" s="4">
        <v>89</v>
      </c>
      <c r="D6768" s="29">
        <f t="shared" si="561"/>
        <v>17008</v>
      </c>
      <c r="E6768" s="4">
        <v>2</v>
      </c>
      <c r="F6768" s="129">
        <f t="shared" si="562"/>
        <v>241</v>
      </c>
      <c r="J6768" s="88"/>
    </row>
    <row r="6769" spans="1:10" ht="15.75" thickBot="1" x14ac:dyDescent="0.3">
      <c r="A6769" s="142" t="s">
        <v>47</v>
      </c>
      <c r="B6769" s="46">
        <v>44174</v>
      </c>
      <c r="C6769" s="47">
        <v>167</v>
      </c>
      <c r="D6769" s="85">
        <f t="shared" si="561"/>
        <v>67610</v>
      </c>
      <c r="E6769" s="47">
        <v>10</v>
      </c>
      <c r="F6769" s="139">
        <f t="shared" si="562"/>
        <v>1257</v>
      </c>
    </row>
    <row r="6770" spans="1:10" x14ac:dyDescent="0.25">
      <c r="A6770" s="64" t="s">
        <v>22</v>
      </c>
      <c r="B6770" s="49">
        <v>44175</v>
      </c>
      <c r="C6770" s="50">
        <v>1906</v>
      </c>
      <c r="D6770" s="131">
        <f t="shared" si="561"/>
        <v>633372</v>
      </c>
      <c r="E6770" s="50">
        <v>57</v>
      </c>
      <c r="F6770" s="128">
        <f t="shared" si="562"/>
        <v>21320</v>
      </c>
    </row>
    <row r="6771" spans="1:10" x14ac:dyDescent="0.25">
      <c r="A6771" s="140" t="s">
        <v>20</v>
      </c>
      <c r="B6771" s="26">
        <v>44175</v>
      </c>
      <c r="C6771" s="4">
        <v>402</v>
      </c>
      <c r="D6771" s="29">
        <f t="shared" si="561"/>
        <v>161732</v>
      </c>
      <c r="E6771" s="4">
        <v>3</v>
      </c>
      <c r="F6771" s="129">
        <f t="shared" si="562"/>
        <v>5290</v>
      </c>
      <c r="J6771" s="88"/>
    </row>
    <row r="6772" spans="1:10" x14ac:dyDescent="0.25">
      <c r="A6772" s="140" t="s">
        <v>35</v>
      </c>
      <c r="B6772" s="26">
        <v>44175</v>
      </c>
      <c r="C6772" s="4">
        <v>27</v>
      </c>
      <c r="D6772" s="29">
        <f t="shared" si="561"/>
        <v>2057</v>
      </c>
      <c r="E6772" s="4">
        <v>0</v>
      </c>
      <c r="F6772" s="129">
        <f t="shared" si="562"/>
        <v>17</v>
      </c>
      <c r="J6772" s="88"/>
    </row>
    <row r="6773" spans="1:10" x14ac:dyDescent="0.25">
      <c r="A6773" s="140" t="s">
        <v>21</v>
      </c>
      <c r="B6773" s="26">
        <v>44175</v>
      </c>
      <c r="C6773" s="4">
        <v>155</v>
      </c>
      <c r="D6773" s="29">
        <f t="shared" si="561"/>
        <v>21191</v>
      </c>
      <c r="E6773" s="4">
        <v>2</v>
      </c>
      <c r="F6773" s="129">
        <f t="shared" si="562"/>
        <v>606</v>
      </c>
      <c r="J6773" s="88"/>
    </row>
    <row r="6774" spans="1:10" x14ac:dyDescent="0.25">
      <c r="A6774" s="140" t="s">
        <v>36</v>
      </c>
      <c r="B6774" s="26">
        <v>44175</v>
      </c>
      <c r="C6774" s="4">
        <v>337</v>
      </c>
      <c r="D6774" s="29">
        <f t="shared" si="561"/>
        <v>25373</v>
      </c>
      <c r="E6774" s="4">
        <v>15</v>
      </c>
      <c r="F6774" s="129">
        <f t="shared" si="562"/>
        <v>426</v>
      </c>
      <c r="J6774" s="88"/>
    </row>
    <row r="6775" spans="1:10" x14ac:dyDescent="0.25">
      <c r="A6775" s="140" t="s">
        <v>27</v>
      </c>
      <c r="B6775" s="26">
        <v>44175</v>
      </c>
      <c r="C6775" s="4">
        <v>610</v>
      </c>
      <c r="D6775" s="29">
        <f t="shared" si="561"/>
        <v>118709</v>
      </c>
      <c r="E6775" s="4">
        <v>26</v>
      </c>
      <c r="F6775" s="129">
        <f t="shared" si="562"/>
        <v>2167</v>
      </c>
      <c r="J6775" s="88"/>
    </row>
    <row r="6776" spans="1:10" x14ac:dyDescent="0.25">
      <c r="A6776" s="140" t="s">
        <v>37</v>
      </c>
      <c r="B6776" s="26">
        <v>44175</v>
      </c>
      <c r="C6776" s="4">
        <v>221</v>
      </c>
      <c r="D6776" s="29">
        <f t="shared" si="561"/>
        <v>9271</v>
      </c>
      <c r="E6776" s="4">
        <v>0</v>
      </c>
      <c r="F6776" s="129">
        <f t="shared" si="562"/>
        <v>130</v>
      </c>
      <c r="J6776" s="88"/>
    </row>
    <row r="6777" spans="1:10" x14ac:dyDescent="0.25">
      <c r="A6777" s="140" t="s">
        <v>38</v>
      </c>
      <c r="B6777" s="26">
        <v>44175</v>
      </c>
      <c r="C6777" s="4">
        <v>174</v>
      </c>
      <c r="D6777" s="29">
        <f t="shared" si="561"/>
        <v>24989</v>
      </c>
      <c r="E6777" s="4">
        <v>3</v>
      </c>
      <c r="F6777" s="129">
        <f t="shared" si="562"/>
        <v>508</v>
      </c>
      <c r="J6777" s="88"/>
    </row>
    <row r="6778" spans="1:10" x14ac:dyDescent="0.25">
      <c r="A6778" s="140" t="s">
        <v>48</v>
      </c>
      <c r="B6778" s="26">
        <v>44175</v>
      </c>
      <c r="C6778" s="4">
        <v>-2</v>
      </c>
      <c r="D6778" s="29">
        <f t="shared" si="561"/>
        <v>195</v>
      </c>
      <c r="E6778" s="4">
        <v>0</v>
      </c>
      <c r="F6778" s="129">
        <f t="shared" si="562"/>
        <v>3</v>
      </c>
      <c r="J6778" s="88"/>
    </row>
    <row r="6779" spans="1:10" x14ac:dyDescent="0.25">
      <c r="A6779" s="140" t="s">
        <v>39</v>
      </c>
      <c r="B6779" s="26">
        <v>44175</v>
      </c>
      <c r="C6779" s="4">
        <v>2</v>
      </c>
      <c r="D6779" s="29">
        <f t="shared" si="561"/>
        <v>18431</v>
      </c>
      <c r="E6779" s="4">
        <v>1</v>
      </c>
      <c r="F6779" s="129">
        <f t="shared" si="562"/>
        <v>853</v>
      </c>
      <c r="J6779" s="88"/>
    </row>
    <row r="6780" spans="1:10" x14ac:dyDescent="0.25">
      <c r="A6780" s="140" t="s">
        <v>40</v>
      </c>
      <c r="B6780" s="26">
        <v>44175</v>
      </c>
      <c r="C6780" s="4">
        <v>102</v>
      </c>
      <c r="D6780" s="29">
        <f t="shared" si="561"/>
        <v>6625</v>
      </c>
      <c r="E6780" s="4">
        <v>1</v>
      </c>
      <c r="F6780" s="129">
        <f t="shared" si="562"/>
        <v>96</v>
      </c>
      <c r="J6780" s="88"/>
    </row>
    <row r="6781" spans="1:10" x14ac:dyDescent="0.25">
      <c r="A6781" s="140" t="s">
        <v>28</v>
      </c>
      <c r="B6781" s="26">
        <v>44175</v>
      </c>
      <c r="C6781" s="4">
        <v>9</v>
      </c>
      <c r="D6781" s="29">
        <f t="shared" si="561"/>
        <v>8902</v>
      </c>
      <c r="E6781" s="4">
        <v>0</v>
      </c>
      <c r="F6781" s="129">
        <f t="shared" si="562"/>
        <v>322</v>
      </c>
      <c r="J6781" s="88"/>
    </row>
    <row r="6782" spans="1:10" x14ac:dyDescent="0.25">
      <c r="A6782" s="140" t="s">
        <v>24</v>
      </c>
      <c r="B6782" s="26">
        <v>44175</v>
      </c>
      <c r="C6782" s="4">
        <v>163</v>
      </c>
      <c r="D6782" s="29">
        <f t="shared" si="561"/>
        <v>57903</v>
      </c>
      <c r="E6782" s="4">
        <v>8</v>
      </c>
      <c r="F6782" s="129">
        <f t="shared" si="562"/>
        <v>1172</v>
      </c>
      <c r="J6782" s="88"/>
    </row>
    <row r="6783" spans="1:10" x14ac:dyDescent="0.25">
      <c r="A6783" s="140" t="s">
        <v>30</v>
      </c>
      <c r="B6783" s="26">
        <v>44175</v>
      </c>
      <c r="C6783" s="4">
        <v>8</v>
      </c>
      <c r="D6783" s="29">
        <f t="shared" si="561"/>
        <v>616</v>
      </c>
      <c r="E6783" s="4">
        <v>0</v>
      </c>
      <c r="F6783" s="129">
        <f t="shared" si="562"/>
        <v>9</v>
      </c>
      <c r="J6783" s="88"/>
    </row>
    <row r="6784" spans="1:10" x14ac:dyDescent="0.25">
      <c r="A6784" s="140" t="s">
        <v>26</v>
      </c>
      <c r="B6784" s="26">
        <v>44175</v>
      </c>
      <c r="C6784" s="4">
        <v>368</v>
      </c>
      <c r="D6784" s="29">
        <f t="shared" si="561"/>
        <v>36507</v>
      </c>
      <c r="E6784" s="4">
        <v>4</v>
      </c>
      <c r="F6784" s="129">
        <f t="shared" si="562"/>
        <v>663</v>
      </c>
      <c r="J6784" s="88"/>
    </row>
    <row r="6785" spans="1:10" x14ac:dyDescent="0.25">
      <c r="A6785" s="140" t="s">
        <v>25</v>
      </c>
      <c r="B6785" s="26">
        <v>44175</v>
      </c>
      <c r="C6785" s="4">
        <v>406</v>
      </c>
      <c r="D6785" s="29">
        <f t="shared" si="561"/>
        <v>33642</v>
      </c>
      <c r="E6785" s="4">
        <v>11</v>
      </c>
      <c r="F6785" s="129">
        <f t="shared" si="562"/>
        <v>819</v>
      </c>
      <c r="J6785" s="88"/>
    </row>
    <row r="6786" spans="1:10" x14ac:dyDescent="0.25">
      <c r="A6786" s="140" t="s">
        <v>41</v>
      </c>
      <c r="B6786" s="26">
        <v>44175</v>
      </c>
      <c r="C6786" s="4">
        <v>40</v>
      </c>
      <c r="D6786" s="29">
        <f t="shared" si="561"/>
        <v>21493</v>
      </c>
      <c r="E6786" s="4">
        <v>2</v>
      </c>
      <c r="F6786" s="129">
        <f t="shared" si="562"/>
        <v>1009</v>
      </c>
      <c r="J6786" s="88"/>
    </row>
    <row r="6787" spans="1:10" x14ac:dyDescent="0.25">
      <c r="A6787" s="140" t="s">
        <v>42</v>
      </c>
      <c r="B6787" s="26">
        <v>44175</v>
      </c>
      <c r="C6787" s="4">
        <v>239</v>
      </c>
      <c r="D6787" s="29">
        <f t="shared" si="561"/>
        <v>9042</v>
      </c>
      <c r="E6787" s="4">
        <v>0</v>
      </c>
      <c r="F6787" s="129">
        <f t="shared" si="562"/>
        <v>174</v>
      </c>
      <c r="J6787" s="88"/>
    </row>
    <row r="6788" spans="1:10" x14ac:dyDescent="0.25">
      <c r="A6788" s="140" t="s">
        <v>43</v>
      </c>
      <c r="B6788" s="26">
        <v>44175</v>
      </c>
      <c r="C6788" s="4">
        <v>76</v>
      </c>
      <c r="D6788" s="29">
        <f t="shared" si="561"/>
        <v>15363</v>
      </c>
      <c r="E6788" s="4">
        <v>9</v>
      </c>
      <c r="F6788" s="129">
        <f t="shared" si="562"/>
        <v>248</v>
      </c>
      <c r="J6788" s="88"/>
    </row>
    <row r="6789" spans="1:10" x14ac:dyDescent="0.25">
      <c r="A6789" s="140" t="s">
        <v>44</v>
      </c>
      <c r="B6789" s="26">
        <v>44175</v>
      </c>
      <c r="C6789" s="4">
        <v>320</v>
      </c>
      <c r="D6789" s="29">
        <f t="shared" si="561"/>
        <v>18109</v>
      </c>
      <c r="E6789" s="4">
        <v>5</v>
      </c>
      <c r="F6789" s="129">
        <f t="shared" si="562"/>
        <v>319</v>
      </c>
      <c r="J6789" s="88"/>
    </row>
    <row r="6790" spans="1:10" x14ac:dyDescent="0.25">
      <c r="A6790" s="140" t="s">
        <v>29</v>
      </c>
      <c r="B6790" s="26">
        <v>44175</v>
      </c>
      <c r="C6790" s="4">
        <v>1000</v>
      </c>
      <c r="D6790" s="29">
        <f t="shared" si="561"/>
        <v>157350</v>
      </c>
      <c r="E6790" s="4">
        <v>34</v>
      </c>
      <c r="F6790" s="129">
        <f t="shared" si="562"/>
        <v>2516</v>
      </c>
      <c r="J6790" s="88"/>
    </row>
    <row r="6791" spans="1:10" x14ac:dyDescent="0.25">
      <c r="A6791" s="140" t="s">
        <v>45</v>
      </c>
      <c r="B6791" s="26">
        <v>44175</v>
      </c>
      <c r="C6791" s="4">
        <v>44</v>
      </c>
      <c r="D6791" s="29">
        <f t="shared" si="561"/>
        <v>16339</v>
      </c>
      <c r="E6791" s="4">
        <v>3</v>
      </c>
      <c r="F6791" s="129">
        <f t="shared" si="562"/>
        <v>205</v>
      </c>
      <c r="J6791" s="88"/>
    </row>
    <row r="6792" spans="1:10" x14ac:dyDescent="0.25">
      <c r="A6792" s="140" t="s">
        <v>46</v>
      </c>
      <c r="B6792" s="26">
        <v>44175</v>
      </c>
      <c r="C6792" s="4">
        <v>152</v>
      </c>
      <c r="D6792" s="29">
        <f t="shared" si="561"/>
        <v>17160</v>
      </c>
      <c r="E6792" s="4">
        <v>1</v>
      </c>
      <c r="F6792" s="129">
        <f t="shared" si="562"/>
        <v>242</v>
      </c>
      <c r="J6792" s="88"/>
    </row>
    <row r="6793" spans="1:10" ht="15.75" thickBot="1" x14ac:dyDescent="0.3">
      <c r="A6793" s="141" t="s">
        <v>47</v>
      </c>
      <c r="B6793" s="26">
        <v>44175</v>
      </c>
      <c r="C6793" s="54">
        <v>235</v>
      </c>
      <c r="D6793" s="132">
        <f t="shared" si="561"/>
        <v>67845</v>
      </c>
      <c r="E6793" s="54">
        <v>25</v>
      </c>
      <c r="F6793" s="130">
        <f t="shared" si="562"/>
        <v>1282</v>
      </c>
      <c r="J6793" s="88"/>
    </row>
    <row r="6794" spans="1:10" x14ac:dyDescent="0.25">
      <c r="A6794" s="64" t="s">
        <v>22</v>
      </c>
      <c r="B6794" s="26">
        <v>44176</v>
      </c>
      <c r="C6794" s="48">
        <v>2101</v>
      </c>
      <c r="D6794" s="131">
        <f t="shared" si="561"/>
        <v>635473</v>
      </c>
      <c r="E6794" s="48">
        <v>31</v>
      </c>
      <c r="F6794" s="128">
        <f t="shared" si="562"/>
        <v>21351</v>
      </c>
      <c r="J6794" s="88"/>
    </row>
    <row r="6795" spans="1:10" x14ac:dyDescent="0.25">
      <c r="A6795" s="140" t="s">
        <v>20</v>
      </c>
      <c r="B6795" s="26">
        <v>44176</v>
      </c>
      <c r="C6795" s="4">
        <v>445</v>
      </c>
      <c r="D6795" s="29">
        <f t="shared" si="561"/>
        <v>162177</v>
      </c>
      <c r="E6795" s="4">
        <v>10</v>
      </c>
      <c r="F6795" s="129">
        <f t="shared" si="562"/>
        <v>5300</v>
      </c>
      <c r="J6795" s="88"/>
    </row>
    <row r="6796" spans="1:10" x14ac:dyDescent="0.25">
      <c r="A6796" s="140" t="s">
        <v>35</v>
      </c>
      <c r="B6796" s="26">
        <v>44176</v>
      </c>
      <c r="C6796" s="4">
        <v>3</v>
      </c>
      <c r="D6796" s="29">
        <f t="shared" si="561"/>
        <v>2060</v>
      </c>
      <c r="E6796" s="4">
        <v>0</v>
      </c>
      <c r="F6796" s="129">
        <f t="shared" si="562"/>
        <v>17</v>
      </c>
      <c r="J6796" s="88"/>
    </row>
    <row r="6797" spans="1:10" x14ac:dyDescent="0.25">
      <c r="A6797" s="140" t="s">
        <v>21</v>
      </c>
      <c r="B6797" s="26">
        <v>44176</v>
      </c>
      <c r="C6797" s="4">
        <v>202</v>
      </c>
      <c r="D6797" s="29">
        <f t="shared" si="561"/>
        <v>21393</v>
      </c>
      <c r="E6797" s="4">
        <v>6</v>
      </c>
      <c r="F6797" s="129">
        <f t="shared" si="562"/>
        <v>612</v>
      </c>
      <c r="J6797" s="88"/>
    </row>
    <row r="6798" spans="1:10" x14ac:dyDescent="0.25">
      <c r="A6798" s="140" t="s">
        <v>36</v>
      </c>
      <c r="B6798" s="26">
        <v>44176</v>
      </c>
      <c r="C6798" s="4">
        <v>342</v>
      </c>
      <c r="D6798" s="29">
        <f t="shared" si="561"/>
        <v>25715</v>
      </c>
      <c r="E6798" s="4">
        <v>10</v>
      </c>
      <c r="F6798" s="129">
        <f t="shared" si="562"/>
        <v>436</v>
      </c>
      <c r="J6798" s="88"/>
    </row>
    <row r="6799" spans="1:10" x14ac:dyDescent="0.25">
      <c r="A6799" s="140" t="s">
        <v>27</v>
      </c>
      <c r="B6799" s="26">
        <v>44176</v>
      </c>
      <c r="C6799" s="4">
        <v>532</v>
      </c>
      <c r="D6799" s="29">
        <f t="shared" si="561"/>
        <v>119241</v>
      </c>
      <c r="E6799" s="4">
        <v>36</v>
      </c>
      <c r="F6799" s="129">
        <f t="shared" si="562"/>
        <v>2203</v>
      </c>
      <c r="J6799" s="88"/>
    </row>
    <row r="6800" spans="1:10" x14ac:dyDescent="0.25">
      <c r="A6800" s="140" t="s">
        <v>37</v>
      </c>
      <c r="B6800" s="26">
        <v>44176</v>
      </c>
      <c r="C6800" s="4">
        <v>171</v>
      </c>
      <c r="D6800" s="29">
        <f t="shared" si="561"/>
        <v>9442</v>
      </c>
      <c r="E6800" s="4">
        <v>3</v>
      </c>
      <c r="F6800" s="129">
        <f t="shared" si="562"/>
        <v>133</v>
      </c>
      <c r="J6800" s="88"/>
    </row>
    <row r="6801" spans="1:10" x14ac:dyDescent="0.25">
      <c r="A6801" s="140" t="s">
        <v>38</v>
      </c>
      <c r="B6801" s="26">
        <v>44176</v>
      </c>
      <c r="C6801" s="4">
        <v>350</v>
      </c>
      <c r="D6801" s="29">
        <f t="shared" si="561"/>
        <v>25339</v>
      </c>
      <c r="E6801" s="4">
        <v>9</v>
      </c>
      <c r="F6801" s="129">
        <f t="shared" si="562"/>
        <v>517</v>
      </c>
      <c r="J6801" s="88"/>
    </row>
    <row r="6802" spans="1:10" x14ac:dyDescent="0.25">
      <c r="A6802" s="140" t="s">
        <v>48</v>
      </c>
      <c r="B6802" s="26">
        <v>44176</v>
      </c>
      <c r="C6802" s="4">
        <v>1</v>
      </c>
      <c r="D6802" s="29">
        <f t="shared" si="561"/>
        <v>196</v>
      </c>
      <c r="E6802" s="4">
        <v>0</v>
      </c>
      <c r="F6802" s="129">
        <f t="shared" si="562"/>
        <v>3</v>
      </c>
      <c r="J6802" s="88"/>
    </row>
    <row r="6803" spans="1:10" x14ac:dyDescent="0.25">
      <c r="A6803" s="140" t="s">
        <v>39</v>
      </c>
      <c r="B6803" s="26">
        <v>44176</v>
      </c>
      <c r="C6803" s="4">
        <v>8</v>
      </c>
      <c r="D6803" s="29">
        <f t="shared" si="561"/>
        <v>18439</v>
      </c>
      <c r="E6803" s="4">
        <v>0</v>
      </c>
      <c r="F6803" s="129">
        <f t="shared" si="562"/>
        <v>853</v>
      </c>
      <c r="J6803" s="88"/>
    </row>
    <row r="6804" spans="1:10" x14ac:dyDescent="0.25">
      <c r="A6804" s="140" t="s">
        <v>40</v>
      </c>
      <c r="B6804" s="26">
        <v>44176</v>
      </c>
      <c r="C6804" s="4">
        <v>134</v>
      </c>
      <c r="D6804" s="29">
        <f t="shared" si="561"/>
        <v>6759</v>
      </c>
      <c r="E6804" s="4">
        <v>3</v>
      </c>
      <c r="F6804" s="129">
        <f t="shared" si="562"/>
        <v>99</v>
      </c>
      <c r="J6804" s="88"/>
    </row>
    <row r="6805" spans="1:10" x14ac:dyDescent="0.25">
      <c r="A6805" s="140" t="s">
        <v>28</v>
      </c>
      <c r="B6805" s="26">
        <v>44176</v>
      </c>
      <c r="C6805" s="4">
        <v>3</v>
      </c>
      <c r="D6805" s="29">
        <f t="shared" si="561"/>
        <v>8905</v>
      </c>
      <c r="E6805" s="4">
        <v>1</v>
      </c>
      <c r="F6805" s="129">
        <f t="shared" si="562"/>
        <v>323</v>
      </c>
      <c r="J6805" s="88"/>
    </row>
    <row r="6806" spans="1:10" x14ac:dyDescent="0.25">
      <c r="A6806" s="140" t="s">
        <v>24</v>
      </c>
      <c r="B6806" s="26">
        <v>44176</v>
      </c>
      <c r="C6806" s="4">
        <v>124</v>
      </c>
      <c r="D6806" s="29">
        <f t="shared" si="561"/>
        <v>58027</v>
      </c>
      <c r="E6806" s="4">
        <v>1</v>
      </c>
      <c r="F6806" s="129">
        <f t="shared" si="562"/>
        <v>1173</v>
      </c>
      <c r="J6806" s="88"/>
    </row>
    <row r="6807" spans="1:10" x14ac:dyDescent="0.25">
      <c r="A6807" s="140" t="s">
        <v>30</v>
      </c>
      <c r="B6807" s="26">
        <v>44176</v>
      </c>
      <c r="C6807" s="4">
        <v>20</v>
      </c>
      <c r="D6807" s="29">
        <f t="shared" si="561"/>
        <v>636</v>
      </c>
      <c r="E6807" s="4">
        <v>0</v>
      </c>
      <c r="F6807" s="129">
        <f t="shared" si="562"/>
        <v>9</v>
      </c>
      <c r="J6807" s="88"/>
    </row>
    <row r="6808" spans="1:10" x14ac:dyDescent="0.25">
      <c r="A6808" s="140" t="s">
        <v>26</v>
      </c>
      <c r="B6808" s="26">
        <v>44176</v>
      </c>
      <c r="C6808" s="4">
        <v>183</v>
      </c>
      <c r="D6808" s="29">
        <f t="shared" si="561"/>
        <v>36690</v>
      </c>
      <c r="E6808" s="4">
        <v>12</v>
      </c>
      <c r="F6808" s="129">
        <f t="shared" si="562"/>
        <v>675</v>
      </c>
      <c r="J6808" s="88"/>
    </row>
    <row r="6809" spans="1:10" x14ac:dyDescent="0.25">
      <c r="A6809" s="140" t="s">
        <v>25</v>
      </c>
      <c r="B6809" s="26">
        <v>44176</v>
      </c>
      <c r="C6809" s="4">
        <v>218</v>
      </c>
      <c r="D6809" s="29">
        <f t="shared" si="561"/>
        <v>33860</v>
      </c>
      <c r="E6809" s="4">
        <v>16</v>
      </c>
      <c r="F6809" s="129">
        <f t="shared" si="562"/>
        <v>835</v>
      </c>
      <c r="J6809" s="88"/>
    </row>
    <row r="6810" spans="1:10" x14ac:dyDescent="0.25">
      <c r="A6810" s="140" t="s">
        <v>41</v>
      </c>
      <c r="B6810" s="26">
        <v>44176</v>
      </c>
      <c r="C6810" s="4">
        <v>28</v>
      </c>
      <c r="D6810" s="29">
        <f t="shared" si="561"/>
        <v>21521</v>
      </c>
      <c r="E6810" s="4">
        <v>2</v>
      </c>
      <c r="F6810" s="129">
        <f t="shared" si="562"/>
        <v>1011</v>
      </c>
      <c r="J6810" s="88"/>
    </row>
    <row r="6811" spans="1:10" x14ac:dyDescent="0.25">
      <c r="A6811" s="140" t="s">
        <v>42</v>
      </c>
      <c r="B6811" s="26">
        <v>44176</v>
      </c>
      <c r="C6811" s="4">
        <v>132</v>
      </c>
      <c r="D6811" s="29">
        <f t="shared" si="561"/>
        <v>9174</v>
      </c>
      <c r="E6811" s="4">
        <v>0</v>
      </c>
      <c r="F6811" s="129">
        <f t="shared" si="562"/>
        <v>174</v>
      </c>
      <c r="J6811" s="88"/>
    </row>
    <row r="6812" spans="1:10" x14ac:dyDescent="0.25">
      <c r="A6812" s="140" t="s">
        <v>43</v>
      </c>
      <c r="B6812" s="26">
        <v>44176</v>
      </c>
      <c r="C6812" s="4">
        <v>76</v>
      </c>
      <c r="D6812" s="29">
        <f t="shared" si="561"/>
        <v>15439</v>
      </c>
      <c r="E6812" s="4">
        <v>1</v>
      </c>
      <c r="F6812" s="129">
        <f t="shared" si="562"/>
        <v>249</v>
      </c>
      <c r="J6812" s="88"/>
    </row>
    <row r="6813" spans="1:10" x14ac:dyDescent="0.25">
      <c r="A6813" s="140" t="s">
        <v>44</v>
      </c>
      <c r="B6813" s="26">
        <v>44176</v>
      </c>
      <c r="C6813" s="4">
        <v>296</v>
      </c>
      <c r="D6813" s="29">
        <f t="shared" si="561"/>
        <v>18405</v>
      </c>
      <c r="E6813" s="4">
        <v>5</v>
      </c>
      <c r="F6813" s="129">
        <f t="shared" si="562"/>
        <v>324</v>
      </c>
      <c r="J6813" s="88"/>
    </row>
    <row r="6814" spans="1:10" x14ac:dyDescent="0.25">
      <c r="A6814" s="140" t="s">
        <v>29</v>
      </c>
      <c r="B6814" s="26">
        <v>44176</v>
      </c>
      <c r="C6814" s="4">
        <v>1205</v>
      </c>
      <c r="D6814" s="29">
        <f t="shared" si="561"/>
        <v>158555</v>
      </c>
      <c r="E6814" s="4">
        <v>20</v>
      </c>
      <c r="F6814" s="129">
        <f t="shared" si="562"/>
        <v>2536</v>
      </c>
      <c r="J6814" s="88"/>
    </row>
    <row r="6815" spans="1:10" x14ac:dyDescent="0.25">
      <c r="A6815" s="140" t="s">
        <v>45</v>
      </c>
      <c r="B6815" s="26">
        <v>44176</v>
      </c>
      <c r="C6815" s="4">
        <v>62</v>
      </c>
      <c r="D6815" s="29">
        <f t="shared" si="561"/>
        <v>16401</v>
      </c>
      <c r="E6815" s="4">
        <v>1</v>
      </c>
      <c r="F6815" s="129">
        <f t="shared" si="562"/>
        <v>206</v>
      </c>
      <c r="J6815" s="88"/>
    </row>
    <row r="6816" spans="1:10" x14ac:dyDescent="0.25">
      <c r="A6816" s="140" t="s">
        <v>46</v>
      </c>
      <c r="B6816" s="26">
        <v>44176</v>
      </c>
      <c r="C6816" s="4">
        <v>177</v>
      </c>
      <c r="D6816" s="29">
        <f t="shared" si="561"/>
        <v>17337</v>
      </c>
      <c r="E6816" s="4">
        <v>0</v>
      </c>
      <c r="F6816" s="129">
        <f t="shared" si="562"/>
        <v>242</v>
      </c>
      <c r="J6816" s="88"/>
    </row>
    <row r="6817" spans="1:9" ht="15.75" thickBot="1" x14ac:dyDescent="0.3">
      <c r="A6817" s="141" t="s">
        <v>47</v>
      </c>
      <c r="B6817" s="26">
        <v>44176</v>
      </c>
      <c r="C6817" s="4">
        <v>299</v>
      </c>
      <c r="D6817" s="132">
        <f>C6817+D6793</f>
        <v>68144</v>
      </c>
      <c r="E6817" s="4">
        <v>10</v>
      </c>
      <c r="F6817" s="130">
        <f t="shared" si="562"/>
        <v>1292</v>
      </c>
    </row>
    <row r="6818" spans="1:9" x14ac:dyDescent="0.25">
      <c r="A6818" s="64" t="s">
        <v>22</v>
      </c>
      <c r="B6818" s="26">
        <v>44177</v>
      </c>
      <c r="C6818" s="4">
        <v>1686</v>
      </c>
      <c r="D6818" s="131">
        <f t="shared" si="561"/>
        <v>637159</v>
      </c>
      <c r="E6818" s="4">
        <v>15</v>
      </c>
      <c r="F6818" s="128">
        <f t="shared" si="562"/>
        <v>21366</v>
      </c>
    </row>
    <row r="6819" spans="1:9" x14ac:dyDescent="0.25">
      <c r="A6819" s="140" t="s">
        <v>20</v>
      </c>
      <c r="B6819" s="26">
        <v>44177</v>
      </c>
      <c r="C6819" s="4">
        <v>386</v>
      </c>
      <c r="D6819" s="29">
        <f t="shared" ref="D6819:D6882" si="563">C6819+D6795</f>
        <v>162563</v>
      </c>
      <c r="E6819" s="4">
        <v>4</v>
      </c>
      <c r="F6819" s="129">
        <f t="shared" ref="F6819:F6882" si="564">E6819+F6795</f>
        <v>5304</v>
      </c>
      <c r="I6819" s="88"/>
    </row>
    <row r="6820" spans="1:9" x14ac:dyDescent="0.25">
      <c r="A6820" s="140" t="s">
        <v>35</v>
      </c>
      <c r="B6820" s="26">
        <v>44177</v>
      </c>
      <c r="C6820" s="4">
        <v>55</v>
      </c>
      <c r="D6820" s="29">
        <f t="shared" si="563"/>
        <v>2115</v>
      </c>
      <c r="E6820" s="4">
        <v>0</v>
      </c>
      <c r="F6820" s="129">
        <f t="shared" si="564"/>
        <v>17</v>
      </c>
      <c r="I6820" s="88"/>
    </row>
    <row r="6821" spans="1:9" x14ac:dyDescent="0.25">
      <c r="A6821" s="140" t="s">
        <v>21</v>
      </c>
      <c r="B6821" s="26">
        <v>44177</v>
      </c>
      <c r="C6821" s="4">
        <v>200</v>
      </c>
      <c r="D6821" s="29">
        <f t="shared" si="563"/>
        <v>21593</v>
      </c>
      <c r="E6821" s="4">
        <v>0</v>
      </c>
      <c r="F6821" s="129">
        <f t="shared" si="564"/>
        <v>612</v>
      </c>
      <c r="I6821" s="88"/>
    </row>
    <row r="6822" spans="1:9" x14ac:dyDescent="0.25">
      <c r="A6822" s="140" t="s">
        <v>36</v>
      </c>
      <c r="B6822" s="26">
        <v>44177</v>
      </c>
      <c r="C6822" s="4">
        <v>229</v>
      </c>
      <c r="D6822" s="29">
        <f t="shared" si="563"/>
        <v>25944</v>
      </c>
      <c r="E6822" s="4">
        <v>0</v>
      </c>
      <c r="F6822" s="129">
        <f t="shared" si="564"/>
        <v>436</v>
      </c>
      <c r="I6822" s="88"/>
    </row>
    <row r="6823" spans="1:9" x14ac:dyDescent="0.25">
      <c r="A6823" s="140" t="s">
        <v>27</v>
      </c>
      <c r="B6823" s="26">
        <v>44177</v>
      </c>
      <c r="C6823" s="4">
        <v>291</v>
      </c>
      <c r="D6823" s="29">
        <f t="shared" si="563"/>
        <v>119532</v>
      </c>
      <c r="E6823" s="4">
        <v>23</v>
      </c>
      <c r="F6823" s="129">
        <f t="shared" si="564"/>
        <v>2226</v>
      </c>
      <c r="I6823" s="88"/>
    </row>
    <row r="6824" spans="1:9" x14ac:dyDescent="0.25">
      <c r="A6824" s="140" t="s">
        <v>37</v>
      </c>
      <c r="B6824" s="26">
        <v>44177</v>
      </c>
      <c r="C6824" s="4">
        <v>64</v>
      </c>
      <c r="D6824" s="29">
        <f t="shared" si="563"/>
        <v>9506</v>
      </c>
      <c r="E6824" s="4">
        <v>0</v>
      </c>
      <c r="F6824" s="129">
        <f t="shared" si="564"/>
        <v>133</v>
      </c>
      <c r="I6824" s="88"/>
    </row>
    <row r="6825" spans="1:9" x14ac:dyDescent="0.25">
      <c r="A6825" s="140" t="s">
        <v>38</v>
      </c>
      <c r="B6825" s="26">
        <v>44177</v>
      </c>
      <c r="C6825" s="4">
        <v>246</v>
      </c>
      <c r="D6825" s="29">
        <f t="shared" si="563"/>
        <v>25585</v>
      </c>
      <c r="E6825" s="4">
        <v>4</v>
      </c>
      <c r="F6825" s="129">
        <f t="shared" si="564"/>
        <v>521</v>
      </c>
      <c r="I6825" s="88"/>
    </row>
    <row r="6826" spans="1:9" x14ac:dyDescent="0.25">
      <c r="A6826" s="140" t="s">
        <v>48</v>
      </c>
      <c r="B6826" s="26">
        <v>44177</v>
      </c>
      <c r="C6826" s="4">
        <v>0</v>
      </c>
      <c r="D6826" s="29">
        <f t="shared" si="563"/>
        <v>196</v>
      </c>
      <c r="E6826" s="4">
        <v>0</v>
      </c>
      <c r="F6826" s="129">
        <f t="shared" si="564"/>
        <v>3</v>
      </c>
      <c r="I6826" s="88"/>
    </row>
    <row r="6827" spans="1:9" x14ac:dyDescent="0.25">
      <c r="A6827" s="140" t="s">
        <v>39</v>
      </c>
      <c r="B6827" s="26">
        <v>44177</v>
      </c>
      <c r="C6827" s="4">
        <v>9</v>
      </c>
      <c r="D6827" s="29">
        <f t="shared" si="563"/>
        <v>18448</v>
      </c>
      <c r="E6827" s="4">
        <v>1</v>
      </c>
      <c r="F6827" s="129">
        <f t="shared" si="564"/>
        <v>854</v>
      </c>
      <c r="I6827" s="88"/>
    </row>
    <row r="6828" spans="1:9" x14ac:dyDescent="0.25">
      <c r="A6828" s="140" t="s">
        <v>40</v>
      </c>
      <c r="B6828" s="26">
        <v>44177</v>
      </c>
      <c r="C6828" s="4">
        <v>91</v>
      </c>
      <c r="D6828" s="29">
        <f t="shared" si="563"/>
        <v>6850</v>
      </c>
      <c r="E6828" s="4">
        <v>0</v>
      </c>
      <c r="F6828" s="129">
        <f t="shared" si="564"/>
        <v>99</v>
      </c>
      <c r="I6828" s="88"/>
    </row>
    <row r="6829" spans="1:9" x14ac:dyDescent="0.25">
      <c r="A6829" s="140" t="s">
        <v>28</v>
      </c>
      <c r="B6829" s="26">
        <v>44177</v>
      </c>
      <c r="C6829" s="4">
        <v>18</v>
      </c>
      <c r="D6829" s="29">
        <f t="shared" si="563"/>
        <v>8923</v>
      </c>
      <c r="E6829" s="4">
        <v>1</v>
      </c>
      <c r="F6829" s="129">
        <f t="shared" si="564"/>
        <v>324</v>
      </c>
      <c r="I6829" s="88"/>
    </row>
    <row r="6830" spans="1:9" x14ac:dyDescent="0.25">
      <c r="A6830" s="140" t="s">
        <v>24</v>
      </c>
      <c r="B6830" s="26">
        <v>44177</v>
      </c>
      <c r="C6830" s="4">
        <v>111</v>
      </c>
      <c r="D6830" s="29">
        <f t="shared" si="563"/>
        <v>58138</v>
      </c>
      <c r="E6830" s="4">
        <v>1</v>
      </c>
      <c r="F6830" s="129">
        <f t="shared" si="564"/>
        <v>1174</v>
      </c>
      <c r="I6830" s="88"/>
    </row>
    <row r="6831" spans="1:9" x14ac:dyDescent="0.25">
      <c r="A6831" s="140" t="s">
        <v>30</v>
      </c>
      <c r="B6831" s="26">
        <v>44177</v>
      </c>
      <c r="C6831" s="4">
        <v>19</v>
      </c>
      <c r="D6831" s="29">
        <f t="shared" si="563"/>
        <v>655</v>
      </c>
      <c r="E6831" s="4">
        <v>0</v>
      </c>
      <c r="F6831" s="129">
        <f t="shared" si="564"/>
        <v>9</v>
      </c>
      <c r="I6831" s="88"/>
    </row>
    <row r="6832" spans="1:9" x14ac:dyDescent="0.25">
      <c r="A6832" s="140" t="s">
        <v>26</v>
      </c>
      <c r="B6832" s="26">
        <v>44177</v>
      </c>
      <c r="C6832" s="4">
        <v>126</v>
      </c>
      <c r="D6832" s="29">
        <f t="shared" si="563"/>
        <v>36816</v>
      </c>
      <c r="E6832" s="4">
        <v>0</v>
      </c>
      <c r="F6832" s="129">
        <f t="shared" si="564"/>
        <v>675</v>
      </c>
      <c r="I6832" s="88"/>
    </row>
    <row r="6833" spans="1:9" x14ac:dyDescent="0.25">
      <c r="A6833" s="140" t="s">
        <v>25</v>
      </c>
      <c r="B6833" s="26">
        <v>44177</v>
      </c>
      <c r="C6833" s="4">
        <v>220</v>
      </c>
      <c r="D6833" s="29">
        <f t="shared" si="563"/>
        <v>34080</v>
      </c>
      <c r="E6833" s="4">
        <v>4</v>
      </c>
      <c r="F6833" s="129">
        <f t="shared" si="564"/>
        <v>839</v>
      </c>
      <c r="I6833" s="88"/>
    </row>
    <row r="6834" spans="1:9" x14ac:dyDescent="0.25">
      <c r="A6834" s="140" t="s">
        <v>41</v>
      </c>
      <c r="B6834" s="26">
        <v>44177</v>
      </c>
      <c r="C6834" s="4">
        <v>29</v>
      </c>
      <c r="D6834" s="29">
        <f t="shared" si="563"/>
        <v>21550</v>
      </c>
      <c r="E6834" s="4">
        <v>1</v>
      </c>
      <c r="F6834" s="129">
        <f t="shared" si="564"/>
        <v>1012</v>
      </c>
      <c r="I6834" s="88"/>
    </row>
    <row r="6835" spans="1:9" x14ac:dyDescent="0.25">
      <c r="A6835" s="140" t="s">
        <v>42</v>
      </c>
      <c r="B6835" s="26">
        <v>44177</v>
      </c>
      <c r="C6835" s="4">
        <v>47</v>
      </c>
      <c r="D6835" s="29">
        <f t="shared" si="563"/>
        <v>9221</v>
      </c>
      <c r="E6835" s="4">
        <v>0</v>
      </c>
      <c r="F6835" s="129">
        <f t="shared" si="564"/>
        <v>174</v>
      </c>
      <c r="I6835" s="88"/>
    </row>
    <row r="6836" spans="1:9" x14ac:dyDescent="0.25">
      <c r="A6836" s="140" t="s">
        <v>43</v>
      </c>
      <c r="B6836" s="26">
        <v>44177</v>
      </c>
      <c r="C6836" s="4">
        <v>19</v>
      </c>
      <c r="D6836" s="29">
        <f t="shared" si="563"/>
        <v>15458</v>
      </c>
      <c r="E6836" s="4">
        <v>1</v>
      </c>
      <c r="F6836" s="129">
        <f t="shared" si="564"/>
        <v>250</v>
      </c>
      <c r="I6836" s="88"/>
    </row>
    <row r="6837" spans="1:9" x14ac:dyDescent="0.25">
      <c r="A6837" s="140" t="s">
        <v>44</v>
      </c>
      <c r="B6837" s="26">
        <v>44177</v>
      </c>
      <c r="C6837" s="4">
        <v>229</v>
      </c>
      <c r="D6837" s="29">
        <f t="shared" si="563"/>
        <v>18634</v>
      </c>
      <c r="E6837" s="4">
        <v>5</v>
      </c>
      <c r="F6837" s="129">
        <f t="shared" si="564"/>
        <v>329</v>
      </c>
      <c r="I6837" s="88"/>
    </row>
    <row r="6838" spans="1:9" x14ac:dyDescent="0.25">
      <c r="A6838" s="140" t="s">
        <v>29</v>
      </c>
      <c r="B6838" s="26">
        <v>44177</v>
      </c>
      <c r="C6838" s="4">
        <v>893</v>
      </c>
      <c r="D6838" s="29">
        <f t="shared" si="563"/>
        <v>159448</v>
      </c>
      <c r="E6838" s="4">
        <v>2</v>
      </c>
      <c r="F6838" s="129">
        <f t="shared" si="564"/>
        <v>2538</v>
      </c>
      <c r="I6838" s="88"/>
    </row>
    <row r="6839" spans="1:9" x14ac:dyDescent="0.25">
      <c r="A6839" s="140" t="s">
        <v>45</v>
      </c>
      <c r="B6839" s="26">
        <v>44177</v>
      </c>
      <c r="C6839" s="4">
        <v>42</v>
      </c>
      <c r="D6839" s="29">
        <f t="shared" si="563"/>
        <v>16443</v>
      </c>
      <c r="E6839" s="4">
        <v>0</v>
      </c>
      <c r="F6839" s="129">
        <f t="shared" si="564"/>
        <v>206</v>
      </c>
      <c r="I6839" s="88"/>
    </row>
    <row r="6840" spans="1:9" x14ac:dyDescent="0.25">
      <c r="A6840" s="140" t="s">
        <v>46</v>
      </c>
      <c r="B6840" s="26">
        <v>44177</v>
      </c>
      <c r="C6840" s="4">
        <v>93</v>
      </c>
      <c r="D6840" s="29">
        <f t="shared" si="563"/>
        <v>17430</v>
      </c>
      <c r="E6840" s="4">
        <v>0</v>
      </c>
      <c r="F6840" s="129">
        <f t="shared" si="564"/>
        <v>242</v>
      </c>
      <c r="I6840" s="88"/>
    </row>
    <row r="6841" spans="1:9" ht="15.75" thickBot="1" x14ac:dyDescent="0.3">
      <c r="A6841" s="141" t="s">
        <v>47</v>
      </c>
      <c r="B6841" s="26">
        <v>44177</v>
      </c>
      <c r="C6841" s="4">
        <v>171</v>
      </c>
      <c r="D6841" s="132">
        <f t="shared" si="563"/>
        <v>68315</v>
      </c>
      <c r="E6841" s="4">
        <v>0</v>
      </c>
      <c r="F6841" s="130">
        <f t="shared" si="564"/>
        <v>1292</v>
      </c>
      <c r="I6841" s="88"/>
    </row>
    <row r="6842" spans="1:9" x14ac:dyDescent="0.25">
      <c r="A6842" s="64" t="s">
        <v>22</v>
      </c>
      <c r="B6842" s="26">
        <v>44178</v>
      </c>
      <c r="C6842" s="4">
        <v>870</v>
      </c>
      <c r="D6842" s="131">
        <f t="shared" si="563"/>
        <v>638029</v>
      </c>
      <c r="E6842" s="4">
        <v>49</v>
      </c>
      <c r="F6842" s="128">
        <f t="shared" si="564"/>
        <v>21415</v>
      </c>
    </row>
    <row r="6843" spans="1:9" x14ac:dyDescent="0.25">
      <c r="A6843" s="140" t="s">
        <v>20</v>
      </c>
      <c r="B6843" s="26">
        <v>44178</v>
      </c>
      <c r="C6843" s="4">
        <v>246</v>
      </c>
      <c r="D6843" s="29">
        <f t="shared" si="563"/>
        <v>162809</v>
      </c>
      <c r="E6843" s="4">
        <v>1</v>
      </c>
      <c r="F6843" s="129">
        <f t="shared" si="564"/>
        <v>5305</v>
      </c>
      <c r="I6843" s="88"/>
    </row>
    <row r="6844" spans="1:9" x14ac:dyDescent="0.25">
      <c r="A6844" s="140" t="s">
        <v>35</v>
      </c>
      <c r="B6844" s="26">
        <v>44178</v>
      </c>
      <c r="C6844" s="4">
        <v>22</v>
      </c>
      <c r="D6844" s="29">
        <f t="shared" si="563"/>
        <v>2137</v>
      </c>
      <c r="E6844" s="4">
        <v>0</v>
      </c>
      <c r="F6844" s="129">
        <f t="shared" si="564"/>
        <v>17</v>
      </c>
      <c r="I6844" s="88"/>
    </row>
    <row r="6845" spans="1:9" x14ac:dyDescent="0.25">
      <c r="A6845" s="140" t="s">
        <v>21</v>
      </c>
      <c r="B6845" s="26">
        <v>44178</v>
      </c>
      <c r="C6845" s="4">
        <v>109</v>
      </c>
      <c r="D6845" s="29">
        <f t="shared" si="563"/>
        <v>21702</v>
      </c>
      <c r="E6845" s="4">
        <v>4</v>
      </c>
      <c r="F6845" s="129">
        <f t="shared" si="564"/>
        <v>616</v>
      </c>
      <c r="I6845" s="88"/>
    </row>
    <row r="6846" spans="1:9" x14ac:dyDescent="0.25">
      <c r="A6846" s="140" t="s">
        <v>36</v>
      </c>
      <c r="B6846" s="26">
        <v>44178</v>
      </c>
      <c r="C6846" s="4">
        <v>125</v>
      </c>
      <c r="D6846" s="29">
        <f t="shared" si="563"/>
        <v>26069</v>
      </c>
      <c r="E6846" s="4">
        <v>0</v>
      </c>
      <c r="F6846" s="129">
        <f t="shared" si="564"/>
        <v>436</v>
      </c>
      <c r="I6846" s="88"/>
    </row>
    <row r="6847" spans="1:9" x14ac:dyDescent="0.25">
      <c r="A6847" s="140" t="s">
        <v>27</v>
      </c>
      <c r="B6847" s="26">
        <v>44178</v>
      </c>
      <c r="C6847" s="4">
        <v>249</v>
      </c>
      <c r="D6847" s="29">
        <f t="shared" si="563"/>
        <v>119781</v>
      </c>
      <c r="E6847" s="4">
        <v>30</v>
      </c>
      <c r="F6847" s="129">
        <f t="shared" si="564"/>
        <v>2256</v>
      </c>
      <c r="I6847" s="88"/>
    </row>
    <row r="6848" spans="1:9" x14ac:dyDescent="0.25">
      <c r="A6848" s="140" t="s">
        <v>37</v>
      </c>
      <c r="B6848" s="26">
        <v>44178</v>
      </c>
      <c r="C6848" s="4">
        <v>42</v>
      </c>
      <c r="D6848" s="29">
        <f t="shared" si="563"/>
        <v>9548</v>
      </c>
      <c r="E6848" s="4">
        <v>2</v>
      </c>
      <c r="F6848" s="129">
        <f t="shared" si="564"/>
        <v>135</v>
      </c>
      <c r="I6848" s="88"/>
    </row>
    <row r="6849" spans="1:10" x14ac:dyDescent="0.25">
      <c r="A6849" s="140" t="s">
        <v>38</v>
      </c>
      <c r="B6849" s="26">
        <v>44178</v>
      </c>
      <c r="C6849" s="4">
        <v>134</v>
      </c>
      <c r="D6849" s="29">
        <f t="shared" si="563"/>
        <v>25719</v>
      </c>
      <c r="E6849" s="4">
        <v>0</v>
      </c>
      <c r="F6849" s="129">
        <f t="shared" si="564"/>
        <v>521</v>
      </c>
      <c r="I6849" s="88"/>
    </row>
    <row r="6850" spans="1:10" x14ac:dyDescent="0.25">
      <c r="A6850" s="140" t="s">
        <v>48</v>
      </c>
      <c r="B6850" s="26">
        <v>44178</v>
      </c>
      <c r="C6850" s="4">
        <v>1</v>
      </c>
      <c r="D6850" s="29">
        <f t="shared" si="563"/>
        <v>197</v>
      </c>
      <c r="E6850" s="4">
        <v>0</v>
      </c>
      <c r="F6850" s="129">
        <f t="shared" si="564"/>
        <v>3</v>
      </c>
      <c r="I6850" s="88"/>
    </row>
    <row r="6851" spans="1:10" x14ac:dyDescent="0.25">
      <c r="A6851" s="140" t="s">
        <v>39</v>
      </c>
      <c r="B6851" s="26">
        <v>44178</v>
      </c>
      <c r="C6851" s="4">
        <v>1</v>
      </c>
      <c r="D6851" s="29">
        <f t="shared" si="563"/>
        <v>18449</v>
      </c>
      <c r="E6851" s="4">
        <v>0</v>
      </c>
      <c r="F6851" s="129">
        <f t="shared" si="564"/>
        <v>854</v>
      </c>
      <c r="I6851" s="88"/>
    </row>
    <row r="6852" spans="1:10" x14ac:dyDescent="0.25">
      <c r="A6852" s="140" t="s">
        <v>40</v>
      </c>
      <c r="B6852" s="26">
        <v>44178</v>
      </c>
      <c r="C6852" s="4">
        <v>120</v>
      </c>
      <c r="D6852" s="29">
        <f t="shared" si="563"/>
        <v>6970</v>
      </c>
      <c r="E6852" s="4">
        <v>0</v>
      </c>
      <c r="F6852" s="129">
        <f t="shared" si="564"/>
        <v>99</v>
      </c>
      <c r="I6852" s="88"/>
    </row>
    <row r="6853" spans="1:10" x14ac:dyDescent="0.25">
      <c r="A6853" s="140" t="s">
        <v>28</v>
      </c>
      <c r="B6853" s="26">
        <v>44178</v>
      </c>
      <c r="C6853" s="4">
        <v>11</v>
      </c>
      <c r="D6853" s="29">
        <f t="shared" si="563"/>
        <v>8934</v>
      </c>
      <c r="E6853" s="4">
        <v>1</v>
      </c>
      <c r="F6853" s="129">
        <f t="shared" si="564"/>
        <v>325</v>
      </c>
      <c r="I6853" s="88"/>
    </row>
    <row r="6854" spans="1:10" x14ac:dyDescent="0.25">
      <c r="A6854" s="140" t="s">
        <v>24</v>
      </c>
      <c r="B6854" s="26">
        <v>44178</v>
      </c>
      <c r="C6854" s="4">
        <v>120</v>
      </c>
      <c r="D6854" s="29">
        <f t="shared" si="563"/>
        <v>58258</v>
      </c>
      <c r="E6854" s="4">
        <v>0</v>
      </c>
      <c r="F6854" s="129">
        <f t="shared" si="564"/>
        <v>1174</v>
      </c>
      <c r="I6854" s="88"/>
    </row>
    <row r="6855" spans="1:10" x14ac:dyDescent="0.25">
      <c r="A6855" s="140" t="s">
        <v>30</v>
      </c>
      <c r="B6855" s="26">
        <v>44178</v>
      </c>
      <c r="C6855" s="4">
        <v>28</v>
      </c>
      <c r="D6855" s="29">
        <f t="shared" si="563"/>
        <v>683</v>
      </c>
      <c r="E6855" s="4">
        <v>0</v>
      </c>
      <c r="F6855" s="129">
        <f t="shared" si="564"/>
        <v>9</v>
      </c>
      <c r="I6855" s="88"/>
    </row>
    <row r="6856" spans="1:10" x14ac:dyDescent="0.25">
      <c r="A6856" s="140" t="s">
        <v>26</v>
      </c>
      <c r="B6856" s="26">
        <v>44178</v>
      </c>
      <c r="C6856" s="4">
        <v>104</v>
      </c>
      <c r="D6856" s="29">
        <f t="shared" si="563"/>
        <v>36920</v>
      </c>
      <c r="E6856" s="4">
        <v>0</v>
      </c>
      <c r="F6856" s="129">
        <f t="shared" si="564"/>
        <v>675</v>
      </c>
      <c r="I6856" s="88"/>
    </row>
    <row r="6857" spans="1:10" x14ac:dyDescent="0.25">
      <c r="A6857" s="140" t="s">
        <v>25</v>
      </c>
      <c r="B6857" s="26">
        <v>44178</v>
      </c>
      <c r="C6857" s="4">
        <v>158</v>
      </c>
      <c r="D6857" s="29">
        <f t="shared" si="563"/>
        <v>34238</v>
      </c>
      <c r="E6857" s="4">
        <v>0</v>
      </c>
      <c r="F6857" s="129">
        <f t="shared" si="564"/>
        <v>839</v>
      </c>
      <c r="I6857" s="88"/>
    </row>
    <row r="6858" spans="1:10" x14ac:dyDescent="0.25">
      <c r="A6858" s="140" t="s">
        <v>41</v>
      </c>
      <c r="B6858" s="26">
        <v>44178</v>
      </c>
      <c r="C6858" s="4">
        <v>28</v>
      </c>
      <c r="D6858" s="29">
        <f t="shared" si="563"/>
        <v>21578</v>
      </c>
      <c r="E6858" s="4">
        <v>0</v>
      </c>
      <c r="F6858" s="129">
        <f t="shared" si="564"/>
        <v>1012</v>
      </c>
      <c r="I6858" s="88"/>
    </row>
    <row r="6859" spans="1:10" x14ac:dyDescent="0.25">
      <c r="A6859" s="140" t="s">
        <v>42</v>
      </c>
      <c r="B6859" s="26">
        <v>44178</v>
      </c>
      <c r="C6859" s="4">
        <v>28</v>
      </c>
      <c r="D6859" s="29">
        <f t="shared" si="563"/>
        <v>9249</v>
      </c>
      <c r="E6859" s="4">
        <v>0</v>
      </c>
      <c r="F6859" s="129">
        <f t="shared" si="564"/>
        <v>174</v>
      </c>
      <c r="I6859" s="88"/>
    </row>
    <row r="6860" spans="1:10" x14ac:dyDescent="0.25">
      <c r="A6860" s="140" t="s">
        <v>43</v>
      </c>
      <c r="B6860" s="26">
        <v>44178</v>
      </c>
      <c r="C6860" s="4">
        <v>27</v>
      </c>
      <c r="D6860" s="29">
        <f t="shared" si="563"/>
        <v>15485</v>
      </c>
      <c r="E6860" s="4">
        <v>0</v>
      </c>
      <c r="F6860" s="129">
        <f t="shared" si="564"/>
        <v>250</v>
      </c>
      <c r="I6860" s="88"/>
    </row>
    <row r="6861" spans="1:10" x14ac:dyDescent="0.25">
      <c r="A6861" s="140" t="s">
        <v>44</v>
      </c>
      <c r="B6861" s="26">
        <v>44178</v>
      </c>
      <c r="C6861" s="4">
        <v>203</v>
      </c>
      <c r="D6861" s="29">
        <f t="shared" si="563"/>
        <v>18837</v>
      </c>
      <c r="E6861" s="4">
        <v>2</v>
      </c>
      <c r="F6861" s="129">
        <f t="shared" si="564"/>
        <v>331</v>
      </c>
      <c r="I6861" s="88"/>
      <c r="J6861" s="88"/>
    </row>
    <row r="6862" spans="1:10" x14ac:dyDescent="0.25">
      <c r="A6862" s="140" t="s">
        <v>29</v>
      </c>
      <c r="B6862" s="26">
        <v>44178</v>
      </c>
      <c r="C6862" s="4">
        <v>632</v>
      </c>
      <c r="D6862" s="29">
        <f t="shared" si="563"/>
        <v>160080</v>
      </c>
      <c r="E6862" s="4">
        <v>9</v>
      </c>
      <c r="F6862" s="129">
        <f t="shared" si="564"/>
        <v>2547</v>
      </c>
      <c r="I6862" s="88"/>
      <c r="J6862" s="88"/>
    </row>
    <row r="6863" spans="1:10" x14ac:dyDescent="0.25">
      <c r="A6863" s="140" t="s">
        <v>45</v>
      </c>
      <c r="B6863" s="26">
        <v>44178</v>
      </c>
      <c r="C6863" s="4">
        <v>45</v>
      </c>
      <c r="D6863" s="29">
        <f t="shared" si="563"/>
        <v>16488</v>
      </c>
      <c r="E6863" s="4">
        <v>0</v>
      </c>
      <c r="F6863" s="129">
        <f t="shared" si="564"/>
        <v>206</v>
      </c>
      <c r="I6863" s="88"/>
      <c r="J6863" s="88"/>
    </row>
    <row r="6864" spans="1:10" x14ac:dyDescent="0.25">
      <c r="A6864" s="140" t="s">
        <v>46</v>
      </c>
      <c r="B6864" s="26">
        <v>44178</v>
      </c>
      <c r="C6864" s="4">
        <v>75</v>
      </c>
      <c r="D6864" s="29">
        <f t="shared" si="563"/>
        <v>17505</v>
      </c>
      <c r="E6864" s="4">
        <v>0</v>
      </c>
      <c r="F6864" s="129">
        <f t="shared" si="564"/>
        <v>242</v>
      </c>
      <c r="I6864" s="88"/>
      <c r="J6864" s="88"/>
    </row>
    <row r="6865" spans="1:10" ht="15.75" thickBot="1" x14ac:dyDescent="0.3">
      <c r="A6865" s="141" t="s">
        <v>47</v>
      </c>
      <c r="B6865" s="26">
        <v>44178</v>
      </c>
      <c r="C6865" s="4">
        <v>80</v>
      </c>
      <c r="D6865" s="132">
        <f t="shared" si="563"/>
        <v>68395</v>
      </c>
      <c r="E6865" s="4">
        <v>0</v>
      </c>
      <c r="F6865" s="130">
        <f t="shared" si="564"/>
        <v>1292</v>
      </c>
      <c r="I6865" s="88"/>
      <c r="J6865" s="88"/>
    </row>
    <row r="6866" spans="1:10" x14ac:dyDescent="0.25">
      <c r="A6866" s="64" t="s">
        <v>22</v>
      </c>
      <c r="B6866" s="26">
        <v>44179</v>
      </c>
      <c r="C6866" s="4">
        <v>1532</v>
      </c>
      <c r="D6866" s="131">
        <f t="shared" si="563"/>
        <v>639561</v>
      </c>
      <c r="E6866" s="4">
        <v>121</v>
      </c>
      <c r="F6866" s="128">
        <f t="shared" si="564"/>
        <v>21536</v>
      </c>
      <c r="J6866" s="88"/>
    </row>
    <row r="6867" spans="1:10" x14ac:dyDescent="0.25">
      <c r="A6867" s="140" t="s">
        <v>20</v>
      </c>
      <c r="B6867" s="26">
        <v>44179</v>
      </c>
      <c r="C6867" s="4">
        <v>416</v>
      </c>
      <c r="D6867" s="29">
        <f t="shared" si="563"/>
        <v>163225</v>
      </c>
      <c r="E6867" s="4">
        <v>7</v>
      </c>
      <c r="F6867" s="129">
        <f t="shared" si="564"/>
        <v>5312</v>
      </c>
      <c r="J6867" s="88"/>
    </row>
    <row r="6868" spans="1:10" x14ac:dyDescent="0.25">
      <c r="A6868" s="140" t="s">
        <v>35</v>
      </c>
      <c r="B6868" s="26">
        <v>44179</v>
      </c>
      <c r="C6868" s="4">
        <v>34</v>
      </c>
      <c r="D6868" s="29">
        <f t="shared" si="563"/>
        <v>2171</v>
      </c>
      <c r="E6868" s="4">
        <v>0</v>
      </c>
      <c r="F6868" s="129">
        <f t="shared" si="564"/>
        <v>17</v>
      </c>
      <c r="J6868" s="88"/>
    </row>
    <row r="6869" spans="1:10" x14ac:dyDescent="0.25">
      <c r="A6869" s="140" t="s">
        <v>21</v>
      </c>
      <c r="B6869" s="26">
        <v>44179</v>
      </c>
      <c r="C6869" s="4">
        <v>166</v>
      </c>
      <c r="D6869" s="29">
        <f t="shared" si="563"/>
        <v>21868</v>
      </c>
      <c r="E6869" s="4">
        <v>7</v>
      </c>
      <c r="F6869" s="129">
        <f t="shared" si="564"/>
        <v>623</v>
      </c>
      <c r="J6869" s="88"/>
    </row>
    <row r="6870" spans="1:10" x14ac:dyDescent="0.25">
      <c r="A6870" s="140" t="s">
        <v>36</v>
      </c>
      <c r="B6870" s="26">
        <v>44179</v>
      </c>
      <c r="C6870" s="4">
        <v>232</v>
      </c>
      <c r="D6870" s="29">
        <f t="shared" si="563"/>
        <v>26301</v>
      </c>
      <c r="E6870" s="4">
        <v>13</v>
      </c>
      <c r="F6870" s="129">
        <f t="shared" si="564"/>
        <v>449</v>
      </c>
      <c r="J6870" s="88"/>
    </row>
    <row r="6871" spans="1:10" x14ac:dyDescent="0.25">
      <c r="A6871" s="140" t="s">
        <v>27</v>
      </c>
      <c r="B6871" s="26">
        <v>44179</v>
      </c>
      <c r="C6871" s="4">
        <v>234</v>
      </c>
      <c r="D6871" s="29">
        <f t="shared" si="563"/>
        <v>120015</v>
      </c>
      <c r="E6871" s="4">
        <v>30</v>
      </c>
      <c r="F6871" s="129">
        <f t="shared" si="564"/>
        <v>2286</v>
      </c>
      <c r="J6871" s="88"/>
    </row>
    <row r="6872" spans="1:10" x14ac:dyDescent="0.25">
      <c r="A6872" s="140" t="s">
        <v>37</v>
      </c>
      <c r="B6872" s="26">
        <v>44179</v>
      </c>
      <c r="C6872" s="4">
        <v>92</v>
      </c>
      <c r="D6872" s="29">
        <f t="shared" si="563"/>
        <v>9640</v>
      </c>
      <c r="E6872" s="4">
        <v>2</v>
      </c>
      <c r="F6872" s="129">
        <f t="shared" si="564"/>
        <v>137</v>
      </c>
      <c r="J6872" s="88"/>
    </row>
    <row r="6873" spans="1:10" x14ac:dyDescent="0.25">
      <c r="A6873" s="140" t="s">
        <v>38</v>
      </c>
      <c r="B6873" s="26">
        <v>44179</v>
      </c>
      <c r="C6873" s="4">
        <v>73</v>
      </c>
      <c r="D6873" s="29">
        <f t="shared" si="563"/>
        <v>25792</v>
      </c>
      <c r="E6873" s="4">
        <v>8</v>
      </c>
      <c r="F6873" s="129">
        <f t="shared" si="564"/>
        <v>529</v>
      </c>
      <c r="J6873" s="88"/>
    </row>
    <row r="6874" spans="1:10" x14ac:dyDescent="0.25">
      <c r="A6874" s="140" t="s">
        <v>48</v>
      </c>
      <c r="B6874" s="26">
        <v>44179</v>
      </c>
      <c r="C6874" s="4">
        <v>1</v>
      </c>
      <c r="D6874" s="29">
        <f t="shared" si="563"/>
        <v>198</v>
      </c>
      <c r="E6874" s="4">
        <v>0</v>
      </c>
      <c r="F6874" s="129">
        <f t="shared" si="564"/>
        <v>3</v>
      </c>
      <c r="J6874" s="88"/>
    </row>
    <row r="6875" spans="1:10" x14ac:dyDescent="0.25">
      <c r="A6875" s="140" t="s">
        <v>39</v>
      </c>
      <c r="B6875" s="26">
        <v>44179</v>
      </c>
      <c r="C6875" s="4">
        <v>6</v>
      </c>
      <c r="D6875" s="29">
        <f t="shared" si="563"/>
        <v>18455</v>
      </c>
      <c r="E6875" s="4">
        <v>0</v>
      </c>
      <c r="F6875" s="129">
        <f t="shared" si="564"/>
        <v>854</v>
      </c>
      <c r="J6875" s="88"/>
    </row>
    <row r="6876" spans="1:10" x14ac:dyDescent="0.25">
      <c r="A6876" s="140" t="s">
        <v>40</v>
      </c>
      <c r="B6876" s="26">
        <v>44179</v>
      </c>
      <c r="C6876" s="4">
        <v>148</v>
      </c>
      <c r="D6876" s="29">
        <f t="shared" si="563"/>
        <v>7118</v>
      </c>
      <c r="E6876" s="4">
        <v>5</v>
      </c>
      <c r="F6876" s="129">
        <f t="shared" si="564"/>
        <v>104</v>
      </c>
      <c r="J6876" s="88"/>
    </row>
    <row r="6877" spans="1:10" x14ac:dyDescent="0.25">
      <c r="A6877" s="140" t="s">
        <v>28</v>
      </c>
      <c r="B6877" s="26">
        <v>44179</v>
      </c>
      <c r="C6877" s="4">
        <v>7</v>
      </c>
      <c r="D6877" s="29">
        <f t="shared" si="563"/>
        <v>8941</v>
      </c>
      <c r="E6877" s="4">
        <v>0</v>
      </c>
      <c r="F6877" s="129">
        <f t="shared" si="564"/>
        <v>325</v>
      </c>
      <c r="J6877" s="88"/>
    </row>
    <row r="6878" spans="1:10" x14ac:dyDescent="0.25">
      <c r="A6878" s="140" t="s">
        <v>24</v>
      </c>
      <c r="B6878" s="26">
        <v>44179</v>
      </c>
      <c r="C6878" s="4">
        <v>108</v>
      </c>
      <c r="D6878" s="29">
        <f t="shared" si="563"/>
        <v>58366</v>
      </c>
      <c r="E6878" s="4">
        <v>4</v>
      </c>
      <c r="F6878" s="129">
        <f t="shared" si="564"/>
        <v>1178</v>
      </c>
      <c r="J6878" s="88"/>
    </row>
    <row r="6879" spans="1:10" x14ac:dyDescent="0.25">
      <c r="A6879" s="140" t="s">
        <v>30</v>
      </c>
      <c r="B6879" s="26">
        <v>44179</v>
      </c>
      <c r="C6879" s="4">
        <v>2</v>
      </c>
      <c r="D6879" s="29">
        <f t="shared" si="563"/>
        <v>685</v>
      </c>
      <c r="E6879" s="4">
        <v>1</v>
      </c>
      <c r="F6879" s="129">
        <f t="shared" si="564"/>
        <v>10</v>
      </c>
      <c r="J6879" s="88"/>
    </row>
    <row r="6880" spans="1:10" x14ac:dyDescent="0.25">
      <c r="A6880" s="140" t="s">
        <v>26</v>
      </c>
      <c r="B6880" s="26">
        <v>44179</v>
      </c>
      <c r="C6880" s="4">
        <v>172</v>
      </c>
      <c r="D6880" s="29">
        <f t="shared" si="563"/>
        <v>37092</v>
      </c>
      <c r="E6880" s="4">
        <v>0</v>
      </c>
      <c r="F6880" s="129">
        <f t="shared" si="564"/>
        <v>675</v>
      </c>
      <c r="J6880" s="88"/>
    </row>
    <row r="6881" spans="1:10" x14ac:dyDescent="0.25">
      <c r="A6881" s="140" t="s">
        <v>25</v>
      </c>
      <c r="B6881" s="26">
        <v>44179</v>
      </c>
      <c r="C6881" s="4">
        <v>133</v>
      </c>
      <c r="D6881" s="29">
        <f t="shared" si="563"/>
        <v>34371</v>
      </c>
      <c r="E6881" s="4">
        <v>5</v>
      </c>
      <c r="F6881" s="129">
        <f t="shared" si="564"/>
        <v>844</v>
      </c>
      <c r="J6881" s="88"/>
    </row>
    <row r="6882" spans="1:10" x14ac:dyDescent="0.25">
      <c r="A6882" s="140" t="s">
        <v>41</v>
      </c>
      <c r="B6882" s="26">
        <v>44179</v>
      </c>
      <c r="C6882" s="4">
        <v>36</v>
      </c>
      <c r="D6882" s="29">
        <f t="shared" si="563"/>
        <v>21614</v>
      </c>
      <c r="E6882" s="4">
        <v>2</v>
      </c>
      <c r="F6882" s="129">
        <f t="shared" si="564"/>
        <v>1014</v>
      </c>
      <c r="J6882" s="88"/>
    </row>
    <row r="6883" spans="1:10" x14ac:dyDescent="0.25">
      <c r="A6883" s="140" t="s">
        <v>42</v>
      </c>
      <c r="B6883" s="26">
        <v>44179</v>
      </c>
      <c r="C6883" s="4">
        <v>232</v>
      </c>
      <c r="D6883" s="29">
        <f t="shared" ref="D6883:D6946" si="565">C6883+D6859</f>
        <v>9481</v>
      </c>
      <c r="E6883" s="4">
        <v>22</v>
      </c>
      <c r="F6883" s="129">
        <f t="shared" ref="F6883:F6946" si="566">E6883+F6859</f>
        <v>196</v>
      </c>
      <c r="J6883" s="88"/>
    </row>
    <row r="6884" spans="1:10" x14ac:dyDescent="0.25">
      <c r="A6884" s="140" t="s">
        <v>43</v>
      </c>
      <c r="B6884" s="26">
        <v>44179</v>
      </c>
      <c r="C6884" s="4">
        <v>58</v>
      </c>
      <c r="D6884" s="29">
        <f t="shared" si="565"/>
        <v>15543</v>
      </c>
      <c r="E6884" s="4">
        <v>3</v>
      </c>
      <c r="F6884" s="129">
        <f t="shared" si="566"/>
        <v>253</v>
      </c>
      <c r="J6884" s="88"/>
    </row>
    <row r="6885" spans="1:10" x14ac:dyDescent="0.25">
      <c r="A6885" s="140" t="s">
        <v>44</v>
      </c>
      <c r="B6885" s="26">
        <v>44179</v>
      </c>
      <c r="C6885" s="4">
        <v>177</v>
      </c>
      <c r="D6885" s="29">
        <f t="shared" si="565"/>
        <v>19014</v>
      </c>
      <c r="E6885" s="4">
        <v>5</v>
      </c>
      <c r="F6885" s="129">
        <f t="shared" si="566"/>
        <v>336</v>
      </c>
      <c r="J6885" s="88"/>
    </row>
    <row r="6886" spans="1:10" x14ac:dyDescent="0.25">
      <c r="A6886" s="140" t="s">
        <v>29</v>
      </c>
      <c r="B6886" s="26">
        <v>44179</v>
      </c>
      <c r="C6886" s="4">
        <v>741</v>
      </c>
      <c r="D6886" s="29">
        <f t="shared" si="565"/>
        <v>160821</v>
      </c>
      <c r="E6886" s="4">
        <v>29</v>
      </c>
      <c r="F6886" s="129">
        <f t="shared" si="566"/>
        <v>2576</v>
      </c>
      <c r="J6886" s="88"/>
    </row>
    <row r="6887" spans="1:10" x14ac:dyDescent="0.25">
      <c r="A6887" s="140" t="s">
        <v>45</v>
      </c>
      <c r="B6887" s="26">
        <v>44179</v>
      </c>
      <c r="C6887" s="4">
        <v>44</v>
      </c>
      <c r="D6887" s="29">
        <f t="shared" si="565"/>
        <v>16532</v>
      </c>
      <c r="E6887" s="4">
        <v>2</v>
      </c>
      <c r="F6887" s="129">
        <f t="shared" si="566"/>
        <v>208</v>
      </c>
      <c r="J6887" s="88"/>
    </row>
    <row r="6888" spans="1:10" x14ac:dyDescent="0.25">
      <c r="A6888" s="140" t="s">
        <v>46</v>
      </c>
      <c r="B6888" s="26">
        <v>44179</v>
      </c>
      <c r="C6888" s="4">
        <v>172</v>
      </c>
      <c r="D6888" s="29">
        <f t="shared" si="565"/>
        <v>17677</v>
      </c>
      <c r="E6888" s="4">
        <v>0</v>
      </c>
      <c r="F6888" s="129">
        <f t="shared" si="566"/>
        <v>242</v>
      </c>
      <c r="J6888" s="88"/>
    </row>
    <row r="6889" spans="1:10" ht="15.75" thickBot="1" x14ac:dyDescent="0.3">
      <c r="A6889" s="141" t="s">
        <v>47</v>
      </c>
      <c r="B6889" s="26">
        <v>44179</v>
      </c>
      <c r="C6889" s="4">
        <v>246</v>
      </c>
      <c r="D6889" s="132">
        <f t="shared" si="565"/>
        <v>68641</v>
      </c>
      <c r="E6889" s="4">
        <v>9</v>
      </c>
      <c r="F6889" s="130">
        <f t="shared" si="566"/>
        <v>1301</v>
      </c>
    </row>
    <row r="6890" spans="1:10" x14ac:dyDescent="0.25">
      <c r="A6890" s="64" t="s">
        <v>22</v>
      </c>
      <c r="B6890" s="26">
        <v>44180</v>
      </c>
      <c r="C6890" s="4">
        <v>2226</v>
      </c>
      <c r="D6890" s="131">
        <f t="shared" si="565"/>
        <v>641787</v>
      </c>
      <c r="E6890" s="4">
        <v>25</v>
      </c>
      <c r="F6890" s="128">
        <f t="shared" si="566"/>
        <v>21561</v>
      </c>
    </row>
    <row r="6891" spans="1:10" x14ac:dyDescent="0.25">
      <c r="A6891" s="140" t="s">
        <v>20</v>
      </c>
      <c r="B6891" s="26">
        <v>44180</v>
      </c>
      <c r="C6891" s="4">
        <v>483</v>
      </c>
      <c r="D6891" s="29">
        <f t="shared" si="565"/>
        <v>163708</v>
      </c>
      <c r="E6891" s="4">
        <v>8</v>
      </c>
      <c r="F6891" s="129">
        <f t="shared" si="566"/>
        <v>5320</v>
      </c>
    </row>
    <row r="6892" spans="1:10" x14ac:dyDescent="0.25">
      <c r="A6892" s="140" t="s">
        <v>35</v>
      </c>
      <c r="B6892" s="26">
        <v>44180</v>
      </c>
      <c r="C6892" s="4">
        <v>19</v>
      </c>
      <c r="D6892" s="29">
        <f t="shared" si="565"/>
        <v>2190</v>
      </c>
      <c r="F6892" s="129">
        <f t="shared" si="566"/>
        <v>17</v>
      </c>
    </row>
    <row r="6893" spans="1:10" x14ac:dyDescent="0.25">
      <c r="A6893" s="140" t="s">
        <v>21</v>
      </c>
      <c r="B6893" s="26">
        <v>44180</v>
      </c>
      <c r="C6893" s="4">
        <v>160</v>
      </c>
      <c r="D6893" s="29">
        <f t="shared" si="565"/>
        <v>22028</v>
      </c>
      <c r="E6893" s="4">
        <v>7</v>
      </c>
      <c r="F6893" s="129">
        <f t="shared" si="566"/>
        <v>630</v>
      </c>
    </row>
    <row r="6894" spans="1:10" x14ac:dyDescent="0.25">
      <c r="A6894" s="140" t="s">
        <v>36</v>
      </c>
      <c r="B6894" s="26">
        <v>44180</v>
      </c>
      <c r="C6894" s="4">
        <v>358</v>
      </c>
      <c r="D6894" s="29">
        <f t="shared" si="565"/>
        <v>26659</v>
      </c>
      <c r="E6894" s="4">
        <v>11</v>
      </c>
      <c r="F6894" s="129">
        <f t="shared" si="566"/>
        <v>460</v>
      </c>
    </row>
    <row r="6895" spans="1:10" x14ac:dyDescent="0.25">
      <c r="A6895" s="140" t="s">
        <v>27</v>
      </c>
      <c r="B6895" s="26">
        <v>44180</v>
      </c>
      <c r="C6895" s="4">
        <v>386</v>
      </c>
      <c r="D6895" s="29">
        <f t="shared" si="565"/>
        <v>120401</v>
      </c>
      <c r="E6895" s="4">
        <v>33</v>
      </c>
      <c r="F6895" s="129">
        <f t="shared" si="566"/>
        <v>2319</v>
      </c>
    </row>
    <row r="6896" spans="1:10" x14ac:dyDescent="0.25">
      <c r="A6896" s="140" t="s">
        <v>37</v>
      </c>
      <c r="B6896" s="26">
        <v>44180</v>
      </c>
      <c r="C6896" s="4">
        <v>156</v>
      </c>
      <c r="D6896" s="29">
        <f t="shared" si="565"/>
        <v>9796</v>
      </c>
      <c r="E6896" s="4">
        <v>1</v>
      </c>
      <c r="F6896" s="129">
        <f t="shared" si="566"/>
        <v>138</v>
      </c>
    </row>
    <row r="6897" spans="1:6" x14ac:dyDescent="0.25">
      <c r="A6897" s="140" t="s">
        <v>38</v>
      </c>
      <c r="B6897" s="26">
        <v>44180</v>
      </c>
      <c r="C6897" s="4">
        <v>135</v>
      </c>
      <c r="D6897" s="29">
        <f t="shared" si="565"/>
        <v>25927</v>
      </c>
      <c r="E6897" s="4">
        <v>6</v>
      </c>
      <c r="F6897" s="129">
        <f t="shared" si="566"/>
        <v>535</v>
      </c>
    </row>
    <row r="6898" spans="1:6" x14ac:dyDescent="0.25">
      <c r="A6898" s="140" t="s">
        <v>48</v>
      </c>
      <c r="B6898" s="26">
        <v>44180</v>
      </c>
      <c r="C6898" s="4">
        <v>-1</v>
      </c>
      <c r="D6898" s="29">
        <f t="shared" si="565"/>
        <v>197</v>
      </c>
      <c r="F6898" s="129">
        <f t="shared" si="566"/>
        <v>3</v>
      </c>
    </row>
    <row r="6899" spans="1:6" x14ac:dyDescent="0.25">
      <c r="A6899" s="140" t="s">
        <v>39</v>
      </c>
      <c r="B6899" s="26">
        <v>44180</v>
      </c>
      <c r="C6899" s="4">
        <v>4</v>
      </c>
      <c r="D6899" s="29">
        <f t="shared" si="565"/>
        <v>18459</v>
      </c>
      <c r="F6899" s="129">
        <f t="shared" si="566"/>
        <v>854</v>
      </c>
    </row>
    <row r="6900" spans="1:6" x14ac:dyDescent="0.25">
      <c r="A6900" s="140" t="s">
        <v>40</v>
      </c>
      <c r="B6900" s="26">
        <v>44180</v>
      </c>
      <c r="C6900" s="4">
        <v>163</v>
      </c>
      <c r="D6900" s="29">
        <f t="shared" si="565"/>
        <v>7281</v>
      </c>
      <c r="F6900" s="129">
        <f t="shared" si="566"/>
        <v>104</v>
      </c>
    </row>
    <row r="6901" spans="1:6" x14ac:dyDescent="0.25">
      <c r="A6901" s="140" t="s">
        <v>28</v>
      </c>
      <c r="B6901" s="26">
        <v>44180</v>
      </c>
      <c r="C6901" s="4">
        <v>9</v>
      </c>
      <c r="D6901" s="29">
        <f t="shared" si="565"/>
        <v>8950</v>
      </c>
      <c r="F6901" s="129">
        <f t="shared" si="566"/>
        <v>325</v>
      </c>
    </row>
    <row r="6902" spans="1:6" x14ac:dyDescent="0.25">
      <c r="A6902" s="140" t="s">
        <v>24</v>
      </c>
      <c r="B6902" s="26">
        <v>44180</v>
      </c>
      <c r="C6902" s="4">
        <v>160</v>
      </c>
      <c r="D6902" s="29">
        <f t="shared" si="565"/>
        <v>58526</v>
      </c>
      <c r="E6902" s="4">
        <v>6</v>
      </c>
      <c r="F6902" s="129">
        <f t="shared" si="566"/>
        <v>1184</v>
      </c>
    </row>
    <row r="6903" spans="1:6" x14ac:dyDescent="0.25">
      <c r="A6903" s="140" t="s">
        <v>30</v>
      </c>
      <c r="B6903" s="26">
        <v>44180</v>
      </c>
      <c r="C6903" s="4">
        <v>18</v>
      </c>
      <c r="D6903" s="29">
        <f t="shared" si="565"/>
        <v>703</v>
      </c>
      <c r="E6903" s="4">
        <v>1</v>
      </c>
      <c r="F6903" s="129">
        <f t="shared" si="566"/>
        <v>11</v>
      </c>
    </row>
    <row r="6904" spans="1:6" x14ac:dyDescent="0.25">
      <c r="A6904" s="140" t="s">
        <v>26</v>
      </c>
      <c r="B6904" s="26">
        <v>44180</v>
      </c>
      <c r="C6904" s="4">
        <v>247</v>
      </c>
      <c r="D6904" s="29">
        <f t="shared" si="565"/>
        <v>37339</v>
      </c>
      <c r="E6904" s="4">
        <v>7</v>
      </c>
      <c r="F6904" s="129">
        <f t="shared" si="566"/>
        <v>682</v>
      </c>
    </row>
    <row r="6905" spans="1:6" x14ac:dyDescent="0.25">
      <c r="A6905" s="140" t="s">
        <v>25</v>
      </c>
      <c r="B6905" s="26">
        <v>44180</v>
      </c>
      <c r="C6905" s="4">
        <v>286</v>
      </c>
      <c r="D6905" s="29">
        <f t="shared" si="565"/>
        <v>34657</v>
      </c>
      <c r="E6905" s="4">
        <v>4</v>
      </c>
      <c r="F6905" s="129">
        <f t="shared" si="566"/>
        <v>848</v>
      </c>
    </row>
    <row r="6906" spans="1:6" x14ac:dyDescent="0.25">
      <c r="A6906" s="140" t="s">
        <v>41</v>
      </c>
      <c r="B6906" s="26">
        <v>44180</v>
      </c>
      <c r="C6906" s="4">
        <v>65</v>
      </c>
      <c r="D6906" s="29">
        <f t="shared" si="565"/>
        <v>21679</v>
      </c>
      <c r="E6906" s="4">
        <v>1</v>
      </c>
      <c r="F6906" s="129">
        <f t="shared" si="566"/>
        <v>1015</v>
      </c>
    </row>
    <row r="6907" spans="1:6" x14ac:dyDescent="0.25">
      <c r="A6907" s="140" t="s">
        <v>42</v>
      </c>
      <c r="B6907" s="26">
        <v>44180</v>
      </c>
      <c r="C6907" s="4">
        <v>204</v>
      </c>
      <c r="D6907" s="29">
        <f t="shared" si="565"/>
        <v>9685</v>
      </c>
      <c r="F6907" s="129">
        <f t="shared" si="566"/>
        <v>196</v>
      </c>
    </row>
    <row r="6908" spans="1:6" x14ac:dyDescent="0.25">
      <c r="A6908" s="140" t="s">
        <v>43</v>
      </c>
      <c r="B6908" s="26">
        <v>44180</v>
      </c>
      <c r="C6908" s="4">
        <v>101</v>
      </c>
      <c r="D6908" s="29">
        <f t="shared" si="565"/>
        <v>15644</v>
      </c>
      <c r="E6908" s="4">
        <v>4</v>
      </c>
      <c r="F6908" s="129">
        <f t="shared" si="566"/>
        <v>257</v>
      </c>
    </row>
    <row r="6909" spans="1:6" x14ac:dyDescent="0.25">
      <c r="A6909" s="140" t="s">
        <v>44</v>
      </c>
      <c r="B6909" s="26">
        <v>44180</v>
      </c>
      <c r="C6909" s="4">
        <v>332</v>
      </c>
      <c r="D6909" s="29">
        <f t="shared" si="565"/>
        <v>19346</v>
      </c>
      <c r="E6909" s="4">
        <v>6</v>
      </c>
      <c r="F6909" s="129">
        <f t="shared" si="566"/>
        <v>342</v>
      </c>
    </row>
    <row r="6910" spans="1:6" x14ac:dyDescent="0.25">
      <c r="A6910" s="140" t="s">
        <v>29</v>
      </c>
      <c r="B6910" s="26">
        <v>44180</v>
      </c>
      <c r="C6910" s="4">
        <v>1145</v>
      </c>
      <c r="D6910" s="29">
        <f t="shared" si="565"/>
        <v>161966</v>
      </c>
      <c r="E6910" s="4">
        <v>22</v>
      </c>
      <c r="F6910" s="129">
        <f t="shared" si="566"/>
        <v>2598</v>
      </c>
    </row>
    <row r="6911" spans="1:6" x14ac:dyDescent="0.25">
      <c r="A6911" s="140" t="s">
        <v>45</v>
      </c>
      <c r="B6911" s="26">
        <v>44180</v>
      </c>
      <c r="C6911" s="4">
        <v>39</v>
      </c>
      <c r="D6911" s="29">
        <f t="shared" si="565"/>
        <v>16571</v>
      </c>
      <c r="E6911" s="4">
        <v>2</v>
      </c>
      <c r="F6911" s="129">
        <f t="shared" si="566"/>
        <v>210</v>
      </c>
    </row>
    <row r="6912" spans="1:6" x14ac:dyDescent="0.25">
      <c r="A6912" s="140" t="s">
        <v>46</v>
      </c>
      <c r="B6912" s="26">
        <v>44180</v>
      </c>
      <c r="C6912" s="4">
        <v>72</v>
      </c>
      <c r="D6912" s="29">
        <f t="shared" si="565"/>
        <v>17749</v>
      </c>
      <c r="F6912" s="129">
        <f t="shared" si="566"/>
        <v>242</v>
      </c>
    </row>
    <row r="6913" spans="1:10" ht="15.75" thickBot="1" x14ac:dyDescent="0.3">
      <c r="A6913" s="141" t="s">
        <v>47</v>
      </c>
      <c r="B6913" s="26">
        <v>44180</v>
      </c>
      <c r="C6913" s="4">
        <v>214</v>
      </c>
      <c r="D6913" s="132">
        <f t="shared" si="565"/>
        <v>68855</v>
      </c>
      <c r="E6913" s="4">
        <v>8</v>
      </c>
      <c r="F6913" s="130">
        <f t="shared" si="566"/>
        <v>1309</v>
      </c>
    </row>
    <row r="6914" spans="1:10" x14ac:dyDescent="0.25">
      <c r="A6914" s="64" t="s">
        <v>22</v>
      </c>
      <c r="B6914" s="26">
        <v>44181</v>
      </c>
      <c r="C6914" s="4">
        <v>2321</v>
      </c>
      <c r="D6914" s="131">
        <f t="shared" si="565"/>
        <v>644108</v>
      </c>
      <c r="E6914" s="4">
        <v>38</v>
      </c>
      <c r="F6914" s="128">
        <f t="shared" si="566"/>
        <v>21599</v>
      </c>
    </row>
    <row r="6915" spans="1:10" x14ac:dyDescent="0.25">
      <c r="A6915" s="140" t="s">
        <v>20</v>
      </c>
      <c r="B6915" s="26">
        <v>44181</v>
      </c>
      <c r="C6915" s="4">
        <v>394</v>
      </c>
      <c r="D6915" s="29">
        <f t="shared" si="565"/>
        <v>164102</v>
      </c>
      <c r="E6915" s="4">
        <v>10</v>
      </c>
      <c r="F6915" s="129">
        <f t="shared" si="566"/>
        <v>5330</v>
      </c>
      <c r="J6915" s="88"/>
    </row>
    <row r="6916" spans="1:10" x14ac:dyDescent="0.25">
      <c r="A6916" s="140" t="s">
        <v>35</v>
      </c>
      <c r="B6916" s="26">
        <v>44181</v>
      </c>
      <c r="C6916" s="4">
        <v>20</v>
      </c>
      <c r="D6916" s="29">
        <f t="shared" si="565"/>
        <v>2210</v>
      </c>
      <c r="E6916" s="4">
        <v>0</v>
      </c>
      <c r="F6916" s="129">
        <f t="shared" si="566"/>
        <v>17</v>
      </c>
      <c r="J6916" s="88"/>
    </row>
    <row r="6917" spans="1:10" x14ac:dyDescent="0.25">
      <c r="A6917" s="140" t="s">
        <v>21</v>
      </c>
      <c r="B6917" s="26">
        <v>44181</v>
      </c>
      <c r="C6917" s="4">
        <v>187</v>
      </c>
      <c r="D6917" s="29">
        <f t="shared" si="565"/>
        <v>22215</v>
      </c>
      <c r="E6917" s="4">
        <v>2</v>
      </c>
      <c r="F6917" s="129">
        <f t="shared" si="566"/>
        <v>632</v>
      </c>
      <c r="J6917" s="88"/>
    </row>
    <row r="6918" spans="1:10" x14ac:dyDescent="0.25">
      <c r="A6918" s="140" t="s">
        <v>36</v>
      </c>
      <c r="B6918" s="26">
        <v>44181</v>
      </c>
      <c r="C6918" s="4">
        <v>384</v>
      </c>
      <c r="D6918" s="29">
        <f t="shared" si="565"/>
        <v>27043</v>
      </c>
      <c r="E6918" s="4">
        <v>3</v>
      </c>
      <c r="F6918" s="129">
        <f t="shared" si="566"/>
        <v>463</v>
      </c>
      <c r="J6918" s="88"/>
    </row>
    <row r="6919" spans="1:10" x14ac:dyDescent="0.25">
      <c r="A6919" s="140" t="s">
        <v>27</v>
      </c>
      <c r="B6919" s="26">
        <v>44181</v>
      </c>
      <c r="C6919" s="4">
        <v>528</v>
      </c>
      <c r="D6919" s="29">
        <f t="shared" si="565"/>
        <v>120929</v>
      </c>
      <c r="E6919" s="4">
        <v>21</v>
      </c>
      <c r="F6919" s="129">
        <f t="shared" si="566"/>
        <v>2340</v>
      </c>
      <c r="J6919" s="88"/>
    </row>
    <row r="6920" spans="1:10" x14ac:dyDescent="0.25">
      <c r="A6920" s="140" t="s">
        <v>37</v>
      </c>
      <c r="B6920" s="26">
        <v>44181</v>
      </c>
      <c r="C6920" s="4">
        <v>111</v>
      </c>
      <c r="D6920" s="29">
        <f t="shared" si="565"/>
        <v>9907</v>
      </c>
      <c r="E6920" s="4">
        <v>0</v>
      </c>
      <c r="F6920" s="129">
        <f t="shared" si="566"/>
        <v>138</v>
      </c>
      <c r="J6920" s="88"/>
    </row>
    <row r="6921" spans="1:10" x14ac:dyDescent="0.25">
      <c r="A6921" s="140" t="s">
        <v>38</v>
      </c>
      <c r="B6921" s="26">
        <v>44181</v>
      </c>
      <c r="C6921" s="4">
        <v>242</v>
      </c>
      <c r="D6921" s="29">
        <f t="shared" si="565"/>
        <v>26169</v>
      </c>
      <c r="E6921" s="4">
        <v>8</v>
      </c>
      <c r="F6921" s="129">
        <f t="shared" si="566"/>
        <v>543</v>
      </c>
      <c r="J6921" s="88"/>
    </row>
    <row r="6922" spans="1:10" x14ac:dyDescent="0.25">
      <c r="A6922" s="140" t="s">
        <v>48</v>
      </c>
      <c r="B6922" s="26">
        <v>44181</v>
      </c>
      <c r="C6922" s="4">
        <v>5</v>
      </c>
      <c r="D6922" s="29">
        <f t="shared" si="565"/>
        <v>202</v>
      </c>
      <c r="E6922" s="4">
        <v>0</v>
      </c>
      <c r="F6922" s="129">
        <f t="shared" si="566"/>
        <v>3</v>
      </c>
      <c r="J6922" s="88"/>
    </row>
    <row r="6923" spans="1:10" x14ac:dyDescent="0.25">
      <c r="A6923" s="140" t="s">
        <v>39</v>
      </c>
      <c r="B6923" s="26">
        <v>44181</v>
      </c>
      <c r="C6923" s="4">
        <v>1</v>
      </c>
      <c r="D6923" s="29">
        <f t="shared" si="565"/>
        <v>18460</v>
      </c>
      <c r="E6923" s="4">
        <v>0</v>
      </c>
      <c r="F6923" s="129">
        <f t="shared" si="566"/>
        <v>854</v>
      </c>
      <c r="J6923" s="88"/>
    </row>
    <row r="6924" spans="1:10" x14ac:dyDescent="0.25">
      <c r="A6924" s="140" t="s">
        <v>40</v>
      </c>
      <c r="B6924" s="26">
        <v>44181</v>
      </c>
      <c r="C6924" s="4">
        <v>213</v>
      </c>
      <c r="D6924" s="29">
        <f t="shared" si="565"/>
        <v>7494</v>
      </c>
      <c r="E6924" s="4">
        <v>0</v>
      </c>
      <c r="F6924" s="129">
        <f t="shared" si="566"/>
        <v>104</v>
      </c>
      <c r="J6924" s="88"/>
    </row>
    <row r="6925" spans="1:10" x14ac:dyDescent="0.25">
      <c r="A6925" s="140" t="s">
        <v>28</v>
      </c>
      <c r="B6925" s="26">
        <v>44181</v>
      </c>
      <c r="C6925" s="4">
        <v>13</v>
      </c>
      <c r="D6925" s="29">
        <f t="shared" si="565"/>
        <v>8963</v>
      </c>
      <c r="E6925" s="4">
        <v>4</v>
      </c>
      <c r="F6925" s="129">
        <f t="shared" si="566"/>
        <v>329</v>
      </c>
      <c r="J6925" s="88"/>
    </row>
    <row r="6926" spans="1:10" x14ac:dyDescent="0.25">
      <c r="A6926" s="140" t="s">
        <v>24</v>
      </c>
      <c r="B6926" s="26">
        <v>44181</v>
      </c>
      <c r="C6926" s="4">
        <v>148</v>
      </c>
      <c r="D6926" s="29">
        <f t="shared" si="565"/>
        <v>58674</v>
      </c>
      <c r="E6926" s="4">
        <v>5</v>
      </c>
      <c r="F6926" s="129">
        <f t="shared" si="566"/>
        <v>1189</v>
      </c>
      <c r="J6926" s="88"/>
    </row>
    <row r="6927" spans="1:10" x14ac:dyDescent="0.25">
      <c r="A6927" s="140" t="s">
        <v>30</v>
      </c>
      <c r="B6927" s="26">
        <v>44181</v>
      </c>
      <c r="C6927" s="4">
        <v>45</v>
      </c>
      <c r="D6927" s="29">
        <f t="shared" si="565"/>
        <v>748</v>
      </c>
      <c r="E6927" s="4">
        <v>0</v>
      </c>
      <c r="F6927" s="129">
        <f t="shared" si="566"/>
        <v>11</v>
      </c>
      <c r="J6927" s="88"/>
    </row>
    <row r="6928" spans="1:10" x14ac:dyDescent="0.25">
      <c r="A6928" s="140" t="s">
        <v>26</v>
      </c>
      <c r="B6928" s="26">
        <v>44181</v>
      </c>
      <c r="C6928" s="4">
        <v>-4</v>
      </c>
      <c r="D6928" s="29">
        <f t="shared" si="565"/>
        <v>37335</v>
      </c>
      <c r="E6928" s="4">
        <v>1</v>
      </c>
      <c r="F6928" s="129">
        <f t="shared" si="566"/>
        <v>683</v>
      </c>
      <c r="J6928" s="88"/>
    </row>
    <row r="6929" spans="1:10" x14ac:dyDescent="0.25">
      <c r="A6929" s="140" t="s">
        <v>25</v>
      </c>
      <c r="B6929" s="26">
        <v>44181</v>
      </c>
      <c r="C6929" s="4">
        <v>224</v>
      </c>
      <c r="D6929" s="29">
        <f t="shared" si="565"/>
        <v>34881</v>
      </c>
      <c r="E6929" s="4">
        <v>3</v>
      </c>
      <c r="F6929" s="129">
        <f t="shared" si="566"/>
        <v>851</v>
      </c>
      <c r="J6929" s="88"/>
    </row>
    <row r="6930" spans="1:10" x14ac:dyDescent="0.25">
      <c r="A6930" s="140" t="s">
        <v>41</v>
      </c>
      <c r="B6930" s="26">
        <v>44181</v>
      </c>
      <c r="C6930" s="4">
        <v>53</v>
      </c>
      <c r="D6930" s="29">
        <f t="shared" si="565"/>
        <v>21732</v>
      </c>
      <c r="E6930" s="4">
        <v>5</v>
      </c>
      <c r="F6930" s="129">
        <f t="shared" si="566"/>
        <v>1020</v>
      </c>
      <c r="J6930" s="88"/>
    </row>
    <row r="6931" spans="1:10" x14ac:dyDescent="0.25">
      <c r="A6931" s="140" t="s">
        <v>42</v>
      </c>
      <c r="B6931" s="26">
        <v>44181</v>
      </c>
      <c r="C6931" s="4">
        <v>149</v>
      </c>
      <c r="D6931" s="29">
        <f t="shared" si="565"/>
        <v>9834</v>
      </c>
      <c r="E6931" s="4">
        <v>0</v>
      </c>
      <c r="F6931" s="129">
        <f t="shared" si="566"/>
        <v>196</v>
      </c>
      <c r="J6931" s="88"/>
    </row>
    <row r="6932" spans="1:10" x14ac:dyDescent="0.25">
      <c r="A6932" s="140" t="s">
        <v>43</v>
      </c>
      <c r="B6932" s="26">
        <v>44181</v>
      </c>
      <c r="C6932" s="4">
        <v>84</v>
      </c>
      <c r="D6932" s="29">
        <f t="shared" si="565"/>
        <v>15728</v>
      </c>
      <c r="E6932" s="4">
        <v>11</v>
      </c>
      <c r="F6932" s="129">
        <f t="shared" si="566"/>
        <v>268</v>
      </c>
      <c r="J6932" s="88"/>
    </row>
    <row r="6933" spans="1:10" x14ac:dyDescent="0.25">
      <c r="A6933" s="140" t="s">
        <v>44</v>
      </c>
      <c r="B6933" s="26">
        <v>44181</v>
      </c>
      <c r="C6933" s="4">
        <v>274</v>
      </c>
      <c r="D6933" s="29">
        <f t="shared" si="565"/>
        <v>19620</v>
      </c>
      <c r="E6933" s="4">
        <v>4</v>
      </c>
      <c r="F6933" s="129">
        <f t="shared" si="566"/>
        <v>346</v>
      </c>
      <c r="J6933" s="88"/>
    </row>
    <row r="6934" spans="1:10" x14ac:dyDescent="0.25">
      <c r="A6934" s="140" t="s">
        <v>29</v>
      </c>
      <c r="B6934" s="26">
        <v>44181</v>
      </c>
      <c r="C6934" s="4">
        <v>1121</v>
      </c>
      <c r="D6934" s="29">
        <f t="shared" si="565"/>
        <v>163087</v>
      </c>
      <c r="E6934" s="4">
        <v>43</v>
      </c>
      <c r="F6934" s="129">
        <f t="shared" si="566"/>
        <v>2641</v>
      </c>
      <c r="J6934" s="88"/>
    </row>
    <row r="6935" spans="1:10" x14ac:dyDescent="0.25">
      <c r="A6935" s="140" t="s">
        <v>45</v>
      </c>
      <c r="B6935" s="26">
        <v>44181</v>
      </c>
      <c r="C6935" s="4">
        <v>54</v>
      </c>
      <c r="D6935" s="29">
        <f t="shared" si="565"/>
        <v>16625</v>
      </c>
      <c r="E6935" s="4">
        <v>0</v>
      </c>
      <c r="F6935" s="129">
        <f t="shared" si="566"/>
        <v>210</v>
      </c>
      <c r="J6935" s="88"/>
    </row>
    <row r="6936" spans="1:10" x14ac:dyDescent="0.25">
      <c r="A6936" s="140" t="s">
        <v>46</v>
      </c>
      <c r="B6936" s="26">
        <v>44181</v>
      </c>
      <c r="C6936" s="4">
        <v>48</v>
      </c>
      <c r="D6936" s="29">
        <f t="shared" si="565"/>
        <v>17797</v>
      </c>
      <c r="E6936" s="4">
        <v>0</v>
      </c>
      <c r="F6936" s="129">
        <f t="shared" si="566"/>
        <v>242</v>
      </c>
      <c r="J6936" s="88"/>
    </row>
    <row r="6937" spans="1:10" ht="15.75" thickBot="1" x14ac:dyDescent="0.3">
      <c r="A6937" s="141" t="s">
        <v>47</v>
      </c>
      <c r="B6937" s="26">
        <v>44181</v>
      </c>
      <c r="C6937" s="4">
        <v>228</v>
      </c>
      <c r="D6937" s="132">
        <f t="shared" si="565"/>
        <v>69083</v>
      </c>
      <c r="E6937" s="4">
        <v>4</v>
      </c>
      <c r="F6937" s="130">
        <f t="shared" si="566"/>
        <v>1313</v>
      </c>
      <c r="J6937" s="88"/>
    </row>
    <row r="6938" spans="1:10" x14ac:dyDescent="0.25">
      <c r="A6938" s="64" t="s">
        <v>22</v>
      </c>
      <c r="B6938" s="26">
        <v>44182</v>
      </c>
      <c r="C6938" s="4">
        <v>2250</v>
      </c>
      <c r="D6938" s="131">
        <f t="shared" si="565"/>
        <v>646358</v>
      </c>
      <c r="E6938" s="4">
        <v>55</v>
      </c>
      <c r="F6938" s="128">
        <f t="shared" si="566"/>
        <v>21654</v>
      </c>
      <c r="J6938" s="88"/>
    </row>
    <row r="6939" spans="1:10" x14ac:dyDescent="0.25">
      <c r="A6939" s="140" t="s">
        <v>20</v>
      </c>
      <c r="B6939" s="26">
        <v>44182</v>
      </c>
      <c r="C6939" s="4">
        <v>508</v>
      </c>
      <c r="D6939" s="29">
        <f t="shared" si="565"/>
        <v>164610</v>
      </c>
      <c r="E6939" s="4">
        <v>13</v>
      </c>
      <c r="F6939" s="129">
        <f t="shared" si="566"/>
        <v>5343</v>
      </c>
      <c r="J6939" s="88"/>
    </row>
    <row r="6940" spans="1:10" x14ac:dyDescent="0.25">
      <c r="A6940" s="140" t="s">
        <v>35</v>
      </c>
      <c r="B6940" s="26">
        <v>44182</v>
      </c>
      <c r="C6940" s="4">
        <v>17</v>
      </c>
      <c r="D6940" s="29">
        <f t="shared" si="565"/>
        <v>2227</v>
      </c>
      <c r="E6940" s="4">
        <v>0</v>
      </c>
      <c r="F6940" s="129">
        <f t="shared" si="566"/>
        <v>17</v>
      </c>
      <c r="J6940" s="88"/>
    </row>
    <row r="6941" spans="1:10" x14ac:dyDescent="0.25">
      <c r="A6941" s="140" t="s">
        <v>21</v>
      </c>
      <c r="B6941" s="26">
        <v>44182</v>
      </c>
      <c r="C6941" s="4">
        <v>196</v>
      </c>
      <c r="D6941" s="29">
        <f t="shared" si="565"/>
        <v>22411</v>
      </c>
      <c r="E6941" s="4">
        <v>1</v>
      </c>
      <c r="F6941" s="129">
        <f t="shared" si="566"/>
        <v>633</v>
      </c>
      <c r="J6941" s="88"/>
    </row>
    <row r="6942" spans="1:10" x14ac:dyDescent="0.25">
      <c r="A6942" s="140" t="s">
        <v>36</v>
      </c>
      <c r="B6942" s="26">
        <v>44182</v>
      </c>
      <c r="C6942" s="4">
        <v>417</v>
      </c>
      <c r="D6942" s="29">
        <f t="shared" si="565"/>
        <v>27460</v>
      </c>
      <c r="E6942" s="4">
        <v>6</v>
      </c>
      <c r="F6942" s="129">
        <f t="shared" si="566"/>
        <v>469</v>
      </c>
      <c r="J6942" s="88"/>
    </row>
    <row r="6943" spans="1:10" x14ac:dyDescent="0.25">
      <c r="A6943" s="140" t="s">
        <v>27</v>
      </c>
      <c r="B6943" s="26">
        <v>44182</v>
      </c>
      <c r="C6943" s="4">
        <v>605</v>
      </c>
      <c r="D6943" s="29">
        <f t="shared" si="565"/>
        <v>121534</v>
      </c>
      <c r="E6943" s="4">
        <v>25</v>
      </c>
      <c r="F6943" s="129">
        <f t="shared" si="566"/>
        <v>2365</v>
      </c>
      <c r="J6943" s="88"/>
    </row>
    <row r="6944" spans="1:10" x14ac:dyDescent="0.25">
      <c r="A6944" s="140" t="s">
        <v>37</v>
      </c>
      <c r="B6944" s="26">
        <v>44182</v>
      </c>
      <c r="C6944" s="4">
        <v>118</v>
      </c>
      <c r="D6944" s="29">
        <f t="shared" si="565"/>
        <v>10025</v>
      </c>
      <c r="E6944" s="4">
        <v>0</v>
      </c>
      <c r="F6944" s="129">
        <f t="shared" si="566"/>
        <v>138</v>
      </c>
      <c r="J6944" s="88"/>
    </row>
    <row r="6945" spans="1:10" x14ac:dyDescent="0.25">
      <c r="A6945" s="140" t="s">
        <v>38</v>
      </c>
      <c r="B6945" s="26">
        <v>44182</v>
      </c>
      <c r="C6945" s="4">
        <v>252</v>
      </c>
      <c r="D6945" s="29">
        <f t="shared" si="565"/>
        <v>26421</v>
      </c>
      <c r="E6945" s="4">
        <v>1</v>
      </c>
      <c r="F6945" s="129">
        <f t="shared" si="566"/>
        <v>544</v>
      </c>
      <c r="J6945" s="88"/>
    </row>
    <row r="6946" spans="1:10" x14ac:dyDescent="0.25">
      <c r="A6946" s="140" t="s">
        <v>48</v>
      </c>
      <c r="B6946" s="26">
        <v>44182</v>
      </c>
      <c r="C6946" s="4">
        <v>1</v>
      </c>
      <c r="D6946" s="29">
        <f t="shared" si="565"/>
        <v>203</v>
      </c>
      <c r="E6946" s="4">
        <v>0</v>
      </c>
      <c r="F6946" s="129">
        <f t="shared" si="566"/>
        <v>3</v>
      </c>
      <c r="J6946" s="88"/>
    </row>
    <row r="6947" spans="1:10" x14ac:dyDescent="0.25">
      <c r="A6947" s="140" t="s">
        <v>39</v>
      </c>
      <c r="B6947" s="26">
        <v>44182</v>
      </c>
      <c r="C6947" s="4">
        <v>5</v>
      </c>
      <c r="D6947" s="29">
        <f t="shared" ref="D6947:D7010" si="567">C6947+D6923</f>
        <v>18465</v>
      </c>
      <c r="E6947" s="4">
        <v>1</v>
      </c>
      <c r="F6947" s="129">
        <f t="shared" ref="F6947:F7010" si="568">E6947+F6923</f>
        <v>855</v>
      </c>
      <c r="J6947" s="88"/>
    </row>
    <row r="6948" spans="1:10" x14ac:dyDescent="0.25">
      <c r="A6948" s="140" t="s">
        <v>40</v>
      </c>
      <c r="B6948" s="26">
        <v>44182</v>
      </c>
      <c r="C6948" s="4">
        <v>211</v>
      </c>
      <c r="D6948" s="29">
        <f t="shared" si="567"/>
        <v>7705</v>
      </c>
      <c r="E6948" s="4">
        <v>0</v>
      </c>
      <c r="F6948" s="129">
        <f t="shared" si="568"/>
        <v>104</v>
      </c>
      <c r="J6948" s="88"/>
    </row>
    <row r="6949" spans="1:10" x14ac:dyDescent="0.25">
      <c r="A6949" s="140" t="s">
        <v>28</v>
      </c>
      <c r="B6949" s="26">
        <v>44182</v>
      </c>
      <c r="C6949" s="4">
        <v>14</v>
      </c>
      <c r="D6949" s="29">
        <f t="shared" si="567"/>
        <v>8977</v>
      </c>
      <c r="E6949" s="4">
        <v>0</v>
      </c>
      <c r="F6949" s="129">
        <f t="shared" si="568"/>
        <v>329</v>
      </c>
      <c r="J6949" s="88"/>
    </row>
    <row r="6950" spans="1:10" x14ac:dyDescent="0.25">
      <c r="A6950" s="140" t="s">
        <v>24</v>
      </c>
      <c r="B6950" s="26">
        <v>44182</v>
      </c>
      <c r="C6950" s="4">
        <v>103</v>
      </c>
      <c r="D6950" s="29">
        <f t="shared" si="567"/>
        <v>58777</v>
      </c>
      <c r="E6950" s="4">
        <v>10</v>
      </c>
      <c r="F6950" s="129">
        <f t="shared" si="568"/>
        <v>1199</v>
      </c>
      <c r="J6950" s="88"/>
    </row>
    <row r="6951" spans="1:10" x14ac:dyDescent="0.25">
      <c r="A6951" s="140" t="s">
        <v>30</v>
      </c>
      <c r="B6951" s="26">
        <v>44182</v>
      </c>
      <c r="C6951" s="4">
        <v>40</v>
      </c>
      <c r="D6951" s="29">
        <f t="shared" si="567"/>
        <v>788</v>
      </c>
      <c r="E6951" s="4">
        <v>0</v>
      </c>
      <c r="F6951" s="129">
        <f t="shared" si="568"/>
        <v>11</v>
      </c>
      <c r="J6951" s="88"/>
    </row>
    <row r="6952" spans="1:10" x14ac:dyDescent="0.25">
      <c r="A6952" s="140" t="s">
        <v>26</v>
      </c>
      <c r="B6952" s="26">
        <v>44182</v>
      </c>
      <c r="C6952" s="4">
        <v>184</v>
      </c>
      <c r="D6952" s="29">
        <f t="shared" si="567"/>
        <v>37519</v>
      </c>
      <c r="E6952" s="4">
        <v>0</v>
      </c>
      <c r="F6952" s="129">
        <f t="shared" si="568"/>
        <v>683</v>
      </c>
      <c r="J6952" s="88"/>
    </row>
    <row r="6953" spans="1:10" x14ac:dyDescent="0.25">
      <c r="A6953" s="140" t="s">
        <v>25</v>
      </c>
      <c r="B6953" s="26">
        <v>44182</v>
      </c>
      <c r="C6953" s="4">
        <v>279</v>
      </c>
      <c r="D6953" s="29">
        <f t="shared" si="567"/>
        <v>35160</v>
      </c>
      <c r="E6953" s="4">
        <v>6</v>
      </c>
      <c r="F6953" s="129">
        <f t="shared" si="568"/>
        <v>857</v>
      </c>
      <c r="J6953" s="88"/>
    </row>
    <row r="6954" spans="1:10" x14ac:dyDescent="0.25">
      <c r="A6954" s="140" t="s">
        <v>41</v>
      </c>
      <c r="B6954" s="26">
        <v>44182</v>
      </c>
      <c r="C6954" s="4">
        <v>52</v>
      </c>
      <c r="D6954" s="29">
        <f t="shared" si="567"/>
        <v>21784</v>
      </c>
      <c r="E6954" s="4">
        <v>1</v>
      </c>
      <c r="F6954" s="129">
        <f t="shared" si="568"/>
        <v>1021</v>
      </c>
      <c r="J6954" s="88"/>
    </row>
    <row r="6955" spans="1:10" x14ac:dyDescent="0.25">
      <c r="A6955" s="140" t="s">
        <v>42</v>
      </c>
      <c r="B6955" s="26">
        <v>44182</v>
      </c>
      <c r="C6955" s="4">
        <v>228</v>
      </c>
      <c r="D6955" s="29">
        <f t="shared" si="567"/>
        <v>10062</v>
      </c>
      <c r="E6955" s="4">
        <v>0</v>
      </c>
      <c r="F6955" s="129">
        <f t="shared" si="568"/>
        <v>196</v>
      </c>
      <c r="J6955" s="88"/>
    </row>
    <row r="6956" spans="1:10" x14ac:dyDescent="0.25">
      <c r="A6956" s="140" t="s">
        <v>43</v>
      </c>
      <c r="B6956" s="26">
        <v>44182</v>
      </c>
      <c r="C6956" s="4">
        <v>38</v>
      </c>
      <c r="D6956" s="29">
        <f t="shared" si="567"/>
        <v>15766</v>
      </c>
      <c r="E6956" s="4">
        <v>6</v>
      </c>
      <c r="F6956" s="129">
        <f t="shared" si="568"/>
        <v>274</v>
      </c>
      <c r="J6956" s="88"/>
    </row>
    <row r="6957" spans="1:10" x14ac:dyDescent="0.25">
      <c r="A6957" s="140" t="s">
        <v>44</v>
      </c>
      <c r="B6957" s="26">
        <v>44182</v>
      </c>
      <c r="C6957" s="4">
        <v>315</v>
      </c>
      <c r="D6957" s="29">
        <f t="shared" si="567"/>
        <v>19935</v>
      </c>
      <c r="E6957" s="4">
        <v>4</v>
      </c>
      <c r="F6957" s="129">
        <f t="shared" si="568"/>
        <v>350</v>
      </c>
      <c r="J6957" s="88"/>
    </row>
    <row r="6958" spans="1:10" x14ac:dyDescent="0.25">
      <c r="A6958" s="140" t="s">
        <v>29</v>
      </c>
      <c r="B6958" s="26">
        <v>44182</v>
      </c>
      <c r="C6958" s="4">
        <v>1109</v>
      </c>
      <c r="D6958" s="29">
        <f t="shared" si="567"/>
        <v>164196</v>
      </c>
      <c r="E6958" s="4">
        <v>32</v>
      </c>
      <c r="F6958" s="129">
        <f t="shared" si="568"/>
        <v>2673</v>
      </c>
      <c r="J6958" s="88"/>
    </row>
    <row r="6959" spans="1:10" x14ac:dyDescent="0.25">
      <c r="A6959" s="140" t="s">
        <v>45</v>
      </c>
      <c r="B6959" s="26">
        <v>44182</v>
      </c>
      <c r="C6959" s="4">
        <v>66</v>
      </c>
      <c r="D6959" s="29">
        <f t="shared" si="567"/>
        <v>16691</v>
      </c>
      <c r="E6959" s="4">
        <v>1</v>
      </c>
      <c r="F6959" s="129">
        <f t="shared" si="568"/>
        <v>211</v>
      </c>
      <c r="J6959" s="88"/>
    </row>
    <row r="6960" spans="1:10" x14ac:dyDescent="0.25">
      <c r="A6960" s="140" t="s">
        <v>46</v>
      </c>
      <c r="B6960" s="26">
        <v>44182</v>
      </c>
      <c r="C6960" s="4">
        <v>107</v>
      </c>
      <c r="D6960" s="29">
        <f t="shared" si="567"/>
        <v>17904</v>
      </c>
      <c r="E6960" s="4">
        <v>0</v>
      </c>
      <c r="F6960" s="129">
        <f t="shared" si="568"/>
        <v>242</v>
      </c>
      <c r="J6960" s="88"/>
    </row>
    <row r="6961" spans="1:10" ht="15.75" thickBot="1" x14ac:dyDescent="0.3">
      <c r="A6961" s="142" t="s">
        <v>47</v>
      </c>
      <c r="B6961" s="46">
        <v>44182</v>
      </c>
      <c r="C6961" s="47">
        <v>211</v>
      </c>
      <c r="D6961" s="85">
        <f t="shared" si="567"/>
        <v>69294</v>
      </c>
      <c r="E6961" s="47">
        <v>7</v>
      </c>
      <c r="F6961" s="139">
        <f t="shared" si="568"/>
        <v>1320</v>
      </c>
    </row>
    <row r="6962" spans="1:10" x14ac:dyDescent="0.25">
      <c r="A6962" s="64" t="s">
        <v>22</v>
      </c>
      <c r="B6962" s="49">
        <v>44183</v>
      </c>
      <c r="C6962" s="50">
        <v>2323</v>
      </c>
      <c r="D6962" s="131">
        <f t="shared" si="567"/>
        <v>648681</v>
      </c>
      <c r="E6962" s="50">
        <v>49</v>
      </c>
      <c r="F6962" s="128">
        <f t="shared" si="568"/>
        <v>21703</v>
      </c>
    </row>
    <row r="6963" spans="1:10" x14ac:dyDescent="0.25">
      <c r="A6963" s="140" t="s">
        <v>20</v>
      </c>
      <c r="B6963" s="26">
        <v>44183</v>
      </c>
      <c r="C6963" s="4">
        <v>584</v>
      </c>
      <c r="D6963" s="29">
        <f t="shared" si="567"/>
        <v>165194</v>
      </c>
      <c r="E6963" s="4">
        <v>1</v>
      </c>
      <c r="F6963" s="129">
        <f t="shared" si="568"/>
        <v>5344</v>
      </c>
      <c r="J6963" s="88"/>
    </row>
    <row r="6964" spans="1:10" x14ac:dyDescent="0.25">
      <c r="A6964" s="140" t="s">
        <v>35</v>
      </c>
      <c r="B6964" s="26">
        <v>44183</v>
      </c>
      <c r="C6964" s="4">
        <v>48</v>
      </c>
      <c r="D6964" s="29">
        <f t="shared" si="567"/>
        <v>2275</v>
      </c>
      <c r="E6964" s="4">
        <v>0</v>
      </c>
      <c r="F6964" s="129">
        <f t="shared" si="568"/>
        <v>17</v>
      </c>
      <c r="J6964" s="88"/>
    </row>
    <row r="6965" spans="1:10" x14ac:dyDescent="0.25">
      <c r="A6965" s="140" t="s">
        <v>21</v>
      </c>
      <c r="B6965" s="26">
        <v>44183</v>
      </c>
      <c r="C6965" s="4">
        <v>186</v>
      </c>
      <c r="D6965" s="29">
        <f t="shared" si="567"/>
        <v>22597</v>
      </c>
      <c r="E6965" s="4">
        <v>7</v>
      </c>
      <c r="F6965" s="129">
        <f t="shared" si="568"/>
        <v>640</v>
      </c>
      <c r="J6965" s="88"/>
    </row>
    <row r="6966" spans="1:10" x14ac:dyDescent="0.25">
      <c r="A6966" s="140" t="s">
        <v>36</v>
      </c>
      <c r="B6966" s="26">
        <v>44183</v>
      </c>
      <c r="C6966" s="4">
        <v>233</v>
      </c>
      <c r="D6966" s="29">
        <f t="shared" si="567"/>
        <v>27693</v>
      </c>
      <c r="E6966" s="4">
        <v>4</v>
      </c>
      <c r="F6966" s="129">
        <f t="shared" si="568"/>
        <v>473</v>
      </c>
      <c r="J6966" s="88"/>
    </row>
    <row r="6967" spans="1:10" x14ac:dyDescent="0.25">
      <c r="A6967" s="140" t="s">
        <v>27</v>
      </c>
      <c r="B6967" s="26">
        <v>44183</v>
      </c>
      <c r="C6967" s="4">
        <v>442</v>
      </c>
      <c r="D6967" s="29">
        <f t="shared" si="567"/>
        <v>121976</v>
      </c>
      <c r="E6967" s="4">
        <v>12</v>
      </c>
      <c r="F6967" s="129">
        <f t="shared" si="568"/>
        <v>2377</v>
      </c>
      <c r="J6967" s="88"/>
    </row>
    <row r="6968" spans="1:10" x14ac:dyDescent="0.25">
      <c r="A6968" s="140" t="s">
        <v>37</v>
      </c>
      <c r="B6968" s="26">
        <v>44183</v>
      </c>
      <c r="C6968" s="4">
        <v>175</v>
      </c>
      <c r="D6968" s="29">
        <f t="shared" si="567"/>
        <v>10200</v>
      </c>
      <c r="E6968" s="4">
        <v>3</v>
      </c>
      <c r="F6968" s="129">
        <f t="shared" si="568"/>
        <v>141</v>
      </c>
      <c r="J6968" s="88"/>
    </row>
    <row r="6969" spans="1:10" x14ac:dyDescent="0.25">
      <c r="A6969" s="140" t="s">
        <v>38</v>
      </c>
      <c r="B6969" s="26">
        <v>44183</v>
      </c>
      <c r="C6969" s="4">
        <v>177</v>
      </c>
      <c r="D6969" s="29">
        <f t="shared" si="567"/>
        <v>26598</v>
      </c>
      <c r="E6969" s="4">
        <v>7</v>
      </c>
      <c r="F6969" s="129">
        <f t="shared" si="568"/>
        <v>551</v>
      </c>
      <c r="J6969" s="88"/>
    </row>
    <row r="6970" spans="1:10" x14ac:dyDescent="0.25">
      <c r="A6970" s="140" t="s">
        <v>48</v>
      </c>
      <c r="B6970" s="26">
        <v>44183</v>
      </c>
      <c r="C6970" s="4">
        <v>-2</v>
      </c>
      <c r="D6970" s="29">
        <f t="shared" si="567"/>
        <v>201</v>
      </c>
      <c r="E6970" s="4">
        <v>0</v>
      </c>
      <c r="F6970" s="129">
        <f t="shared" si="568"/>
        <v>3</v>
      </c>
      <c r="J6970" s="88"/>
    </row>
    <row r="6971" spans="1:10" x14ac:dyDescent="0.25">
      <c r="A6971" s="140" t="s">
        <v>39</v>
      </c>
      <c r="B6971" s="26">
        <v>44183</v>
      </c>
      <c r="C6971" s="4">
        <v>13</v>
      </c>
      <c r="D6971" s="29">
        <f t="shared" si="567"/>
        <v>18478</v>
      </c>
      <c r="E6971" s="4">
        <v>1</v>
      </c>
      <c r="F6971" s="129">
        <f t="shared" si="568"/>
        <v>856</v>
      </c>
      <c r="J6971" s="88"/>
    </row>
    <row r="6972" spans="1:10" x14ac:dyDescent="0.25">
      <c r="A6972" s="140" t="s">
        <v>40</v>
      </c>
      <c r="B6972" s="26">
        <v>44183</v>
      </c>
      <c r="C6972" s="4">
        <v>193</v>
      </c>
      <c r="D6972" s="29">
        <f t="shared" si="567"/>
        <v>7898</v>
      </c>
      <c r="E6972" s="4">
        <v>1</v>
      </c>
      <c r="F6972" s="129">
        <f t="shared" si="568"/>
        <v>105</v>
      </c>
      <c r="J6972" s="88"/>
    </row>
    <row r="6973" spans="1:10" x14ac:dyDescent="0.25">
      <c r="A6973" s="140" t="s">
        <v>28</v>
      </c>
      <c r="B6973" s="26">
        <v>44183</v>
      </c>
      <c r="C6973" s="4">
        <v>12</v>
      </c>
      <c r="D6973" s="29">
        <f t="shared" si="567"/>
        <v>8989</v>
      </c>
      <c r="E6973" s="4">
        <v>10</v>
      </c>
      <c r="F6973" s="129">
        <f t="shared" si="568"/>
        <v>339</v>
      </c>
      <c r="J6973" s="88"/>
    </row>
    <row r="6974" spans="1:10" x14ac:dyDescent="0.25">
      <c r="A6974" s="140" t="s">
        <v>24</v>
      </c>
      <c r="B6974" s="26">
        <v>44183</v>
      </c>
      <c r="C6974" s="4">
        <v>95</v>
      </c>
      <c r="D6974" s="29">
        <f t="shared" si="567"/>
        <v>58872</v>
      </c>
      <c r="E6974" s="4">
        <v>0</v>
      </c>
      <c r="F6974" s="129">
        <f t="shared" si="568"/>
        <v>1199</v>
      </c>
      <c r="J6974" s="88"/>
    </row>
    <row r="6975" spans="1:10" x14ac:dyDescent="0.25">
      <c r="A6975" s="140" t="s">
        <v>30</v>
      </c>
      <c r="B6975" s="26">
        <v>44183</v>
      </c>
      <c r="C6975" s="4">
        <v>34</v>
      </c>
      <c r="D6975" s="29">
        <f t="shared" si="567"/>
        <v>822</v>
      </c>
      <c r="E6975" s="4">
        <v>0</v>
      </c>
      <c r="F6975" s="129">
        <f t="shared" si="568"/>
        <v>11</v>
      </c>
      <c r="J6975" s="88"/>
    </row>
    <row r="6976" spans="1:10" x14ac:dyDescent="0.25">
      <c r="A6976" s="140" t="s">
        <v>26</v>
      </c>
      <c r="B6976" s="26">
        <v>44183</v>
      </c>
      <c r="C6976" s="4">
        <v>176</v>
      </c>
      <c r="D6976" s="29">
        <f t="shared" si="567"/>
        <v>37695</v>
      </c>
      <c r="E6976" s="4">
        <v>0</v>
      </c>
      <c r="F6976" s="129">
        <f t="shared" si="568"/>
        <v>683</v>
      </c>
      <c r="J6976" s="88"/>
    </row>
    <row r="6977" spans="1:10" x14ac:dyDescent="0.25">
      <c r="A6977" s="140" t="s">
        <v>25</v>
      </c>
      <c r="B6977" s="26">
        <v>44183</v>
      </c>
      <c r="C6977" s="4">
        <v>197</v>
      </c>
      <c r="D6977" s="29">
        <f t="shared" si="567"/>
        <v>35357</v>
      </c>
      <c r="E6977" s="4">
        <v>5</v>
      </c>
      <c r="F6977" s="129">
        <f t="shared" si="568"/>
        <v>862</v>
      </c>
      <c r="J6977" s="88"/>
    </row>
    <row r="6978" spans="1:10" x14ac:dyDescent="0.25">
      <c r="A6978" s="140" t="s">
        <v>41</v>
      </c>
      <c r="B6978" s="26">
        <v>44183</v>
      </c>
      <c r="C6978" s="4">
        <v>73</v>
      </c>
      <c r="D6978" s="29">
        <f t="shared" si="567"/>
        <v>21857</v>
      </c>
      <c r="E6978" s="4">
        <v>1</v>
      </c>
      <c r="F6978" s="129">
        <f t="shared" si="568"/>
        <v>1022</v>
      </c>
      <c r="J6978" s="88"/>
    </row>
    <row r="6979" spans="1:10" x14ac:dyDescent="0.25">
      <c r="A6979" s="140" t="s">
        <v>42</v>
      </c>
      <c r="B6979" s="26">
        <v>44183</v>
      </c>
      <c r="C6979" s="4">
        <v>195</v>
      </c>
      <c r="D6979" s="29">
        <f t="shared" si="567"/>
        <v>10257</v>
      </c>
      <c r="E6979" s="4">
        <v>0</v>
      </c>
      <c r="F6979" s="129">
        <f t="shared" si="568"/>
        <v>196</v>
      </c>
      <c r="J6979" s="88"/>
    </row>
    <row r="6980" spans="1:10" x14ac:dyDescent="0.25">
      <c r="A6980" s="140" t="s">
        <v>43</v>
      </c>
      <c r="B6980" s="26">
        <v>44183</v>
      </c>
      <c r="C6980" s="4">
        <v>65</v>
      </c>
      <c r="D6980" s="29">
        <f t="shared" si="567"/>
        <v>15831</v>
      </c>
      <c r="E6980" s="4">
        <v>3</v>
      </c>
      <c r="F6980" s="129">
        <f t="shared" si="568"/>
        <v>277</v>
      </c>
      <c r="J6980" s="88"/>
    </row>
    <row r="6981" spans="1:10" x14ac:dyDescent="0.25">
      <c r="A6981" s="140" t="s">
        <v>44</v>
      </c>
      <c r="B6981" s="26">
        <v>44183</v>
      </c>
      <c r="C6981" s="4">
        <v>318</v>
      </c>
      <c r="D6981" s="29">
        <f t="shared" si="567"/>
        <v>20253</v>
      </c>
      <c r="E6981" s="4">
        <v>3</v>
      </c>
      <c r="F6981" s="129">
        <f t="shared" si="568"/>
        <v>353</v>
      </c>
      <c r="J6981" s="88"/>
    </row>
    <row r="6982" spans="1:10" x14ac:dyDescent="0.25">
      <c r="A6982" s="140" t="s">
        <v>29</v>
      </c>
      <c r="B6982" s="26">
        <v>44183</v>
      </c>
      <c r="C6982" s="4">
        <v>1073</v>
      </c>
      <c r="D6982" s="29">
        <f t="shared" si="567"/>
        <v>165269</v>
      </c>
      <c r="E6982" s="4">
        <v>25</v>
      </c>
      <c r="F6982" s="129">
        <f t="shared" si="568"/>
        <v>2698</v>
      </c>
      <c r="J6982" s="88"/>
    </row>
    <row r="6983" spans="1:10" x14ac:dyDescent="0.25">
      <c r="A6983" s="140" t="s">
        <v>45</v>
      </c>
      <c r="B6983" s="26">
        <v>44183</v>
      </c>
      <c r="C6983" s="4">
        <v>75</v>
      </c>
      <c r="D6983" s="29">
        <f t="shared" si="567"/>
        <v>16766</v>
      </c>
      <c r="E6983" s="4">
        <v>2</v>
      </c>
      <c r="F6983" s="129">
        <f t="shared" si="568"/>
        <v>213</v>
      </c>
      <c r="J6983" s="88"/>
    </row>
    <row r="6984" spans="1:10" x14ac:dyDescent="0.25">
      <c r="A6984" s="140" t="s">
        <v>46</v>
      </c>
      <c r="B6984" s="26">
        <v>44183</v>
      </c>
      <c r="C6984" s="4">
        <v>116</v>
      </c>
      <c r="D6984" s="29">
        <f t="shared" si="567"/>
        <v>18020</v>
      </c>
      <c r="E6984" s="4">
        <v>2</v>
      </c>
      <c r="F6984" s="129">
        <f t="shared" si="568"/>
        <v>244</v>
      </c>
      <c r="J6984" s="88"/>
    </row>
    <row r="6985" spans="1:10" ht="15.75" thickBot="1" x14ac:dyDescent="0.3">
      <c r="A6985" s="141" t="s">
        <v>47</v>
      </c>
      <c r="B6985" s="53">
        <v>44183</v>
      </c>
      <c r="C6985" s="54">
        <v>201</v>
      </c>
      <c r="D6985" s="132">
        <f t="shared" si="567"/>
        <v>69495</v>
      </c>
      <c r="E6985" s="54">
        <v>2</v>
      </c>
      <c r="F6985" s="130">
        <f t="shared" si="568"/>
        <v>1322</v>
      </c>
      <c r="J6985" s="88"/>
    </row>
    <row r="6986" spans="1:10" ht="15.75" thickBot="1" x14ac:dyDescent="0.3">
      <c r="A6986" s="64" t="s">
        <v>22</v>
      </c>
      <c r="B6986" s="53">
        <v>44184</v>
      </c>
      <c r="C6986" s="48">
        <v>2180</v>
      </c>
      <c r="D6986" s="131">
        <f t="shared" si="567"/>
        <v>650861</v>
      </c>
      <c r="E6986" s="48">
        <v>32</v>
      </c>
      <c r="F6986" s="128">
        <f t="shared" si="568"/>
        <v>21735</v>
      </c>
    </row>
    <row r="6987" spans="1:10" ht="15.75" thickBot="1" x14ac:dyDescent="0.3">
      <c r="A6987" s="140" t="s">
        <v>20</v>
      </c>
      <c r="B6987" s="53">
        <v>44184</v>
      </c>
      <c r="C6987" s="4">
        <v>501</v>
      </c>
      <c r="D6987" s="29">
        <f t="shared" si="567"/>
        <v>165695</v>
      </c>
      <c r="E6987" s="4">
        <v>3</v>
      </c>
      <c r="F6987" s="129">
        <f t="shared" si="568"/>
        <v>5347</v>
      </c>
      <c r="I6987" s="88"/>
    </row>
    <row r="6988" spans="1:10" ht="15.75" thickBot="1" x14ac:dyDescent="0.3">
      <c r="A6988" s="140" t="s">
        <v>35</v>
      </c>
      <c r="B6988" s="53">
        <v>44184</v>
      </c>
      <c r="C6988" s="4">
        <v>29</v>
      </c>
      <c r="D6988" s="29">
        <f t="shared" si="567"/>
        <v>2304</v>
      </c>
      <c r="E6988" s="4">
        <v>0</v>
      </c>
      <c r="F6988" s="129">
        <f t="shared" si="568"/>
        <v>17</v>
      </c>
      <c r="I6988" s="88"/>
    </row>
    <row r="6989" spans="1:10" ht="15.75" thickBot="1" x14ac:dyDescent="0.3">
      <c r="A6989" s="140" t="s">
        <v>21</v>
      </c>
      <c r="B6989" s="53">
        <v>44184</v>
      </c>
      <c r="C6989" s="4">
        <v>138</v>
      </c>
      <c r="D6989" s="29">
        <f t="shared" si="567"/>
        <v>22735</v>
      </c>
      <c r="E6989" s="4">
        <v>2</v>
      </c>
      <c r="F6989" s="129">
        <f t="shared" si="568"/>
        <v>642</v>
      </c>
      <c r="I6989" s="88"/>
    </row>
    <row r="6990" spans="1:10" ht="15.75" thickBot="1" x14ac:dyDescent="0.3">
      <c r="A6990" s="140" t="s">
        <v>36</v>
      </c>
      <c r="B6990" s="53">
        <v>44184</v>
      </c>
      <c r="C6990" s="4">
        <v>322</v>
      </c>
      <c r="D6990" s="29">
        <f t="shared" si="567"/>
        <v>28015</v>
      </c>
      <c r="E6990" s="4">
        <v>11</v>
      </c>
      <c r="F6990" s="129">
        <f t="shared" si="568"/>
        <v>484</v>
      </c>
      <c r="I6990" s="88"/>
    </row>
    <row r="6991" spans="1:10" ht="15.75" thickBot="1" x14ac:dyDescent="0.3">
      <c r="A6991" s="140" t="s">
        <v>27</v>
      </c>
      <c r="B6991" s="53">
        <v>44184</v>
      </c>
      <c r="C6991" s="4">
        <v>262</v>
      </c>
      <c r="D6991" s="29">
        <f t="shared" si="567"/>
        <v>122238</v>
      </c>
      <c r="E6991" s="4">
        <v>8</v>
      </c>
      <c r="F6991" s="129">
        <f t="shared" si="568"/>
        <v>2385</v>
      </c>
      <c r="I6991" s="88"/>
    </row>
    <row r="6992" spans="1:10" ht="15.75" thickBot="1" x14ac:dyDescent="0.3">
      <c r="A6992" s="140" t="s">
        <v>37</v>
      </c>
      <c r="B6992" s="53">
        <v>44184</v>
      </c>
      <c r="C6992" s="4">
        <v>100</v>
      </c>
      <c r="D6992" s="29">
        <f t="shared" si="567"/>
        <v>10300</v>
      </c>
      <c r="E6992" s="4">
        <v>2</v>
      </c>
      <c r="F6992" s="129">
        <f t="shared" si="568"/>
        <v>143</v>
      </c>
      <c r="I6992" s="88"/>
    </row>
    <row r="6993" spans="1:9" ht="15.75" thickBot="1" x14ac:dyDescent="0.3">
      <c r="A6993" s="140" t="s">
        <v>38</v>
      </c>
      <c r="B6993" s="53">
        <v>44184</v>
      </c>
      <c r="C6993" s="4">
        <v>210</v>
      </c>
      <c r="D6993" s="29">
        <f t="shared" si="567"/>
        <v>26808</v>
      </c>
      <c r="E6993" s="4">
        <v>2</v>
      </c>
      <c r="F6993" s="129">
        <f t="shared" si="568"/>
        <v>553</v>
      </c>
      <c r="I6993" s="88"/>
    </row>
    <row r="6994" spans="1:9" ht="15.75" thickBot="1" x14ac:dyDescent="0.3">
      <c r="A6994" s="140" t="s">
        <v>48</v>
      </c>
      <c r="B6994" s="53">
        <v>44184</v>
      </c>
      <c r="C6994" s="4">
        <v>0</v>
      </c>
      <c r="D6994" s="29">
        <f t="shared" si="567"/>
        <v>201</v>
      </c>
      <c r="E6994" s="4">
        <v>0</v>
      </c>
      <c r="F6994" s="129">
        <f t="shared" si="568"/>
        <v>3</v>
      </c>
      <c r="I6994" s="88"/>
    </row>
    <row r="6995" spans="1:9" ht="15.75" thickBot="1" x14ac:dyDescent="0.3">
      <c r="A6995" s="140" t="s">
        <v>39</v>
      </c>
      <c r="B6995" s="53">
        <v>44184</v>
      </c>
      <c r="C6995" s="4">
        <v>4</v>
      </c>
      <c r="D6995" s="29">
        <f t="shared" si="567"/>
        <v>18482</v>
      </c>
      <c r="E6995" s="4">
        <v>1</v>
      </c>
      <c r="F6995" s="129">
        <f t="shared" si="568"/>
        <v>857</v>
      </c>
      <c r="I6995" s="88"/>
    </row>
    <row r="6996" spans="1:9" ht="15.75" thickBot="1" x14ac:dyDescent="0.3">
      <c r="A6996" s="140" t="s">
        <v>40</v>
      </c>
      <c r="B6996" s="53">
        <v>44184</v>
      </c>
      <c r="C6996" s="4">
        <v>203</v>
      </c>
      <c r="D6996" s="29">
        <f t="shared" si="567"/>
        <v>8101</v>
      </c>
      <c r="E6996" s="4">
        <v>0</v>
      </c>
      <c r="F6996" s="129">
        <f t="shared" si="568"/>
        <v>105</v>
      </c>
      <c r="I6996" s="88"/>
    </row>
    <row r="6997" spans="1:9" ht="15.75" thickBot="1" x14ac:dyDescent="0.3">
      <c r="A6997" s="140" t="s">
        <v>28</v>
      </c>
      <c r="B6997" s="53">
        <v>44184</v>
      </c>
      <c r="C6997" s="4">
        <v>5</v>
      </c>
      <c r="D6997" s="29">
        <f t="shared" si="567"/>
        <v>8994</v>
      </c>
      <c r="E6997" s="4">
        <v>9</v>
      </c>
      <c r="F6997" s="129">
        <f t="shared" si="568"/>
        <v>348</v>
      </c>
      <c r="I6997" s="88"/>
    </row>
    <row r="6998" spans="1:9" ht="15.75" thickBot="1" x14ac:dyDescent="0.3">
      <c r="A6998" s="140" t="s">
        <v>24</v>
      </c>
      <c r="B6998" s="53">
        <v>44184</v>
      </c>
      <c r="C6998" s="4">
        <v>82</v>
      </c>
      <c r="D6998" s="29">
        <f t="shared" si="567"/>
        <v>58954</v>
      </c>
      <c r="E6998" s="4">
        <v>0</v>
      </c>
      <c r="F6998" s="129">
        <f t="shared" si="568"/>
        <v>1199</v>
      </c>
      <c r="I6998" s="88"/>
    </row>
    <row r="6999" spans="1:9" ht="15.75" thickBot="1" x14ac:dyDescent="0.3">
      <c r="A6999" s="140" t="s">
        <v>30</v>
      </c>
      <c r="B6999" s="53">
        <v>44184</v>
      </c>
      <c r="C6999" s="4">
        <v>24</v>
      </c>
      <c r="D6999" s="29">
        <f t="shared" si="567"/>
        <v>846</v>
      </c>
      <c r="E6999" s="4">
        <v>0</v>
      </c>
      <c r="F6999" s="129">
        <f t="shared" si="568"/>
        <v>11</v>
      </c>
      <c r="I6999" s="88"/>
    </row>
    <row r="7000" spans="1:9" ht="15.75" thickBot="1" x14ac:dyDescent="0.3">
      <c r="A7000" s="140" t="s">
        <v>26</v>
      </c>
      <c r="B7000" s="53">
        <v>44184</v>
      </c>
      <c r="C7000" s="4">
        <v>215</v>
      </c>
      <c r="D7000" s="29">
        <f t="shared" si="567"/>
        <v>37910</v>
      </c>
      <c r="E7000" s="4">
        <v>0</v>
      </c>
      <c r="F7000" s="129">
        <f t="shared" si="568"/>
        <v>683</v>
      </c>
      <c r="I7000" s="88"/>
    </row>
    <row r="7001" spans="1:9" ht="15.75" thickBot="1" x14ac:dyDescent="0.3">
      <c r="A7001" s="140" t="s">
        <v>25</v>
      </c>
      <c r="B7001" s="53">
        <v>44184</v>
      </c>
      <c r="C7001" s="4">
        <v>204</v>
      </c>
      <c r="D7001" s="29">
        <f t="shared" si="567"/>
        <v>35561</v>
      </c>
      <c r="E7001" s="4">
        <v>5</v>
      </c>
      <c r="F7001" s="129">
        <f t="shared" si="568"/>
        <v>867</v>
      </c>
      <c r="I7001" s="88"/>
    </row>
    <row r="7002" spans="1:9" ht="15.75" thickBot="1" x14ac:dyDescent="0.3">
      <c r="A7002" s="140" t="s">
        <v>41</v>
      </c>
      <c r="B7002" s="53">
        <v>44184</v>
      </c>
      <c r="C7002" s="4">
        <v>67</v>
      </c>
      <c r="D7002" s="29">
        <f t="shared" si="567"/>
        <v>21924</v>
      </c>
      <c r="E7002" s="4">
        <v>1</v>
      </c>
      <c r="F7002" s="129">
        <f t="shared" si="568"/>
        <v>1023</v>
      </c>
      <c r="I7002" s="88"/>
    </row>
    <row r="7003" spans="1:9" ht="15.75" thickBot="1" x14ac:dyDescent="0.3">
      <c r="A7003" s="140" t="s">
        <v>42</v>
      </c>
      <c r="B7003" s="53">
        <v>44184</v>
      </c>
      <c r="C7003" s="4">
        <v>19</v>
      </c>
      <c r="D7003" s="29">
        <f t="shared" si="567"/>
        <v>10276</v>
      </c>
      <c r="E7003" s="4">
        <v>0</v>
      </c>
      <c r="F7003" s="129">
        <f t="shared" si="568"/>
        <v>196</v>
      </c>
      <c r="I7003" s="88"/>
    </row>
    <row r="7004" spans="1:9" ht="15.75" thickBot="1" x14ac:dyDescent="0.3">
      <c r="A7004" s="140" t="s">
        <v>43</v>
      </c>
      <c r="B7004" s="53">
        <v>44184</v>
      </c>
      <c r="C7004" s="4">
        <v>31</v>
      </c>
      <c r="D7004" s="29">
        <f t="shared" si="567"/>
        <v>15862</v>
      </c>
      <c r="E7004" s="4">
        <v>0</v>
      </c>
      <c r="F7004" s="129">
        <f t="shared" si="568"/>
        <v>277</v>
      </c>
      <c r="I7004" s="88"/>
    </row>
    <row r="7005" spans="1:9" ht="15.75" thickBot="1" x14ac:dyDescent="0.3">
      <c r="A7005" s="140" t="s">
        <v>44</v>
      </c>
      <c r="B7005" s="53">
        <v>44184</v>
      </c>
      <c r="C7005" s="4">
        <v>254</v>
      </c>
      <c r="D7005" s="29">
        <f t="shared" si="567"/>
        <v>20507</v>
      </c>
      <c r="E7005" s="4">
        <v>0</v>
      </c>
      <c r="F7005" s="129">
        <f t="shared" si="568"/>
        <v>353</v>
      </c>
      <c r="I7005" s="88"/>
    </row>
    <row r="7006" spans="1:9" ht="15.75" thickBot="1" x14ac:dyDescent="0.3">
      <c r="A7006" s="140" t="s">
        <v>29</v>
      </c>
      <c r="B7006" s="53">
        <v>44184</v>
      </c>
      <c r="C7006" s="4">
        <v>742</v>
      </c>
      <c r="D7006" s="29">
        <f t="shared" si="567"/>
        <v>166011</v>
      </c>
      <c r="E7006" s="4">
        <v>14</v>
      </c>
      <c r="F7006" s="129">
        <f t="shared" si="568"/>
        <v>2712</v>
      </c>
      <c r="I7006" s="88"/>
    </row>
    <row r="7007" spans="1:9" ht="15.75" thickBot="1" x14ac:dyDescent="0.3">
      <c r="A7007" s="140" t="s">
        <v>45</v>
      </c>
      <c r="B7007" s="53">
        <v>44184</v>
      </c>
      <c r="C7007" s="4">
        <v>28</v>
      </c>
      <c r="D7007" s="29">
        <f t="shared" si="567"/>
        <v>16794</v>
      </c>
      <c r="E7007" s="4">
        <v>0</v>
      </c>
      <c r="F7007" s="129">
        <f t="shared" si="568"/>
        <v>213</v>
      </c>
      <c r="I7007" s="88"/>
    </row>
    <row r="7008" spans="1:9" ht="15.75" thickBot="1" x14ac:dyDescent="0.3">
      <c r="A7008" s="140" t="s">
        <v>46</v>
      </c>
      <c r="B7008" s="53">
        <v>44184</v>
      </c>
      <c r="C7008" s="4">
        <v>69</v>
      </c>
      <c r="D7008" s="29">
        <f t="shared" si="567"/>
        <v>18089</v>
      </c>
      <c r="E7008" s="4">
        <v>0</v>
      </c>
      <c r="F7008" s="129">
        <f t="shared" si="568"/>
        <v>244</v>
      </c>
      <c r="I7008" s="88"/>
    </row>
    <row r="7009" spans="1:9" ht="15.75" thickBot="1" x14ac:dyDescent="0.3">
      <c r="A7009" s="141" t="s">
        <v>47</v>
      </c>
      <c r="B7009" s="53">
        <v>44184</v>
      </c>
      <c r="C7009" s="4">
        <v>106</v>
      </c>
      <c r="D7009" s="132">
        <f t="shared" si="567"/>
        <v>69601</v>
      </c>
      <c r="E7009" s="4">
        <v>0</v>
      </c>
      <c r="F7009" s="130">
        <f t="shared" si="568"/>
        <v>1322</v>
      </c>
      <c r="I7009" s="88"/>
    </row>
    <row r="7010" spans="1:9" ht="15.75" thickBot="1" x14ac:dyDescent="0.3">
      <c r="A7010" s="64" t="s">
        <v>22</v>
      </c>
      <c r="B7010" s="53">
        <v>44185</v>
      </c>
      <c r="C7010" s="4">
        <v>1276</v>
      </c>
      <c r="D7010" s="131">
        <f t="shared" si="567"/>
        <v>652137</v>
      </c>
      <c r="E7010" s="4">
        <v>9</v>
      </c>
      <c r="F7010" s="128">
        <f t="shared" si="568"/>
        <v>21744</v>
      </c>
    </row>
    <row r="7011" spans="1:9" ht="15.75" thickBot="1" x14ac:dyDescent="0.3">
      <c r="A7011" s="140" t="s">
        <v>20</v>
      </c>
      <c r="B7011" s="53">
        <v>44185</v>
      </c>
      <c r="C7011" s="4">
        <v>391</v>
      </c>
      <c r="D7011" s="29">
        <f t="shared" ref="D7011:D7074" si="569">C7011+D6987</f>
        <v>166086</v>
      </c>
      <c r="E7011" s="4">
        <v>7</v>
      </c>
      <c r="F7011" s="129">
        <f t="shared" ref="F7011:F7074" si="570">E7011+F6987</f>
        <v>5354</v>
      </c>
      <c r="I7011" s="88"/>
    </row>
    <row r="7012" spans="1:9" ht="15.75" thickBot="1" x14ac:dyDescent="0.3">
      <c r="A7012" s="140" t="s">
        <v>35</v>
      </c>
      <c r="B7012" s="53">
        <v>44185</v>
      </c>
      <c r="C7012" s="4">
        <v>32</v>
      </c>
      <c r="D7012" s="29">
        <f t="shared" si="569"/>
        <v>2336</v>
      </c>
      <c r="E7012" s="4">
        <v>0</v>
      </c>
      <c r="F7012" s="129">
        <f t="shared" si="570"/>
        <v>17</v>
      </c>
      <c r="I7012" s="88"/>
    </row>
    <row r="7013" spans="1:9" ht="15.75" thickBot="1" x14ac:dyDescent="0.3">
      <c r="A7013" s="140" t="s">
        <v>21</v>
      </c>
      <c r="B7013" s="53">
        <v>44185</v>
      </c>
      <c r="C7013" s="4">
        <v>137</v>
      </c>
      <c r="D7013" s="29">
        <f t="shared" si="569"/>
        <v>22872</v>
      </c>
      <c r="E7013" s="4">
        <v>4</v>
      </c>
      <c r="F7013" s="129">
        <f t="shared" si="570"/>
        <v>646</v>
      </c>
      <c r="I7013" s="88"/>
    </row>
    <row r="7014" spans="1:9" ht="15.75" thickBot="1" x14ac:dyDescent="0.3">
      <c r="A7014" s="140" t="s">
        <v>36</v>
      </c>
      <c r="B7014" s="53">
        <v>44185</v>
      </c>
      <c r="C7014" s="4">
        <v>115</v>
      </c>
      <c r="D7014" s="29">
        <f t="shared" si="569"/>
        <v>28130</v>
      </c>
      <c r="E7014" s="4">
        <v>0</v>
      </c>
      <c r="F7014" s="129">
        <f t="shared" si="570"/>
        <v>484</v>
      </c>
      <c r="I7014" s="88"/>
    </row>
    <row r="7015" spans="1:9" ht="15.75" thickBot="1" x14ac:dyDescent="0.3">
      <c r="A7015" s="140" t="s">
        <v>27</v>
      </c>
      <c r="B7015" s="53">
        <v>44185</v>
      </c>
      <c r="C7015" s="4">
        <v>295</v>
      </c>
      <c r="D7015" s="29">
        <f t="shared" si="569"/>
        <v>122533</v>
      </c>
      <c r="E7015" s="4">
        <v>7</v>
      </c>
      <c r="F7015" s="129">
        <f t="shared" si="570"/>
        <v>2392</v>
      </c>
      <c r="I7015" s="88"/>
    </row>
    <row r="7016" spans="1:9" ht="15.75" thickBot="1" x14ac:dyDescent="0.3">
      <c r="A7016" s="140" t="s">
        <v>37</v>
      </c>
      <c r="B7016" s="53">
        <v>44185</v>
      </c>
      <c r="C7016" s="4">
        <v>149</v>
      </c>
      <c r="D7016" s="29">
        <f t="shared" si="569"/>
        <v>10449</v>
      </c>
      <c r="E7016" s="4">
        <v>0</v>
      </c>
      <c r="F7016" s="129">
        <f t="shared" si="570"/>
        <v>143</v>
      </c>
      <c r="I7016" s="88"/>
    </row>
    <row r="7017" spans="1:9" ht="15.75" thickBot="1" x14ac:dyDescent="0.3">
      <c r="A7017" s="140" t="s">
        <v>38</v>
      </c>
      <c r="B7017" s="53">
        <v>44185</v>
      </c>
      <c r="C7017" s="4">
        <v>157</v>
      </c>
      <c r="D7017" s="29">
        <f t="shared" si="569"/>
        <v>26965</v>
      </c>
      <c r="E7017" s="4">
        <v>0</v>
      </c>
      <c r="F7017" s="129">
        <f t="shared" si="570"/>
        <v>553</v>
      </c>
      <c r="I7017" s="88"/>
    </row>
    <row r="7018" spans="1:9" ht="15.75" thickBot="1" x14ac:dyDescent="0.3">
      <c r="A7018" s="140" t="s">
        <v>48</v>
      </c>
      <c r="B7018" s="53">
        <v>44185</v>
      </c>
      <c r="C7018" s="4">
        <v>3</v>
      </c>
      <c r="D7018" s="29">
        <f t="shared" si="569"/>
        <v>204</v>
      </c>
      <c r="E7018" s="4">
        <v>0</v>
      </c>
      <c r="F7018" s="129">
        <f t="shared" si="570"/>
        <v>3</v>
      </c>
      <c r="I7018" s="88"/>
    </row>
    <row r="7019" spans="1:9" ht="15.75" thickBot="1" x14ac:dyDescent="0.3">
      <c r="A7019" s="140" t="s">
        <v>39</v>
      </c>
      <c r="B7019" s="53">
        <v>44185</v>
      </c>
      <c r="C7019" s="4">
        <v>0</v>
      </c>
      <c r="D7019" s="29">
        <f t="shared" si="569"/>
        <v>18482</v>
      </c>
      <c r="E7019" s="4">
        <v>0</v>
      </c>
      <c r="F7019" s="129">
        <f t="shared" si="570"/>
        <v>857</v>
      </c>
      <c r="I7019" s="88"/>
    </row>
    <row r="7020" spans="1:9" ht="15.75" thickBot="1" x14ac:dyDescent="0.3">
      <c r="A7020" s="140" t="s">
        <v>40</v>
      </c>
      <c r="B7020" s="53">
        <v>44185</v>
      </c>
      <c r="C7020" s="4">
        <v>170</v>
      </c>
      <c r="D7020" s="29">
        <f t="shared" si="569"/>
        <v>8271</v>
      </c>
      <c r="E7020" s="4">
        <v>1</v>
      </c>
      <c r="F7020" s="129">
        <f t="shared" si="570"/>
        <v>106</v>
      </c>
      <c r="I7020" s="88"/>
    </row>
    <row r="7021" spans="1:9" ht="15.75" thickBot="1" x14ac:dyDescent="0.3">
      <c r="A7021" s="140" t="s">
        <v>28</v>
      </c>
      <c r="B7021" s="53">
        <v>44185</v>
      </c>
      <c r="C7021" s="4">
        <v>6</v>
      </c>
      <c r="D7021" s="29">
        <f t="shared" si="569"/>
        <v>9000</v>
      </c>
      <c r="E7021" s="4">
        <v>0</v>
      </c>
      <c r="F7021" s="129">
        <f t="shared" si="570"/>
        <v>348</v>
      </c>
      <c r="I7021" s="88"/>
    </row>
    <row r="7022" spans="1:9" ht="15.75" thickBot="1" x14ac:dyDescent="0.3">
      <c r="A7022" s="140" t="s">
        <v>24</v>
      </c>
      <c r="B7022" s="53">
        <v>44185</v>
      </c>
      <c r="C7022" s="4">
        <v>21</v>
      </c>
      <c r="D7022" s="29">
        <f t="shared" si="569"/>
        <v>58975</v>
      </c>
      <c r="E7022" s="4">
        <v>0</v>
      </c>
      <c r="F7022" s="129">
        <f t="shared" si="570"/>
        <v>1199</v>
      </c>
      <c r="I7022" s="88"/>
    </row>
    <row r="7023" spans="1:9" ht="15.75" thickBot="1" x14ac:dyDescent="0.3">
      <c r="A7023" s="140" t="s">
        <v>30</v>
      </c>
      <c r="B7023" s="53">
        <v>44185</v>
      </c>
      <c r="C7023" s="4">
        <v>13</v>
      </c>
      <c r="D7023" s="29">
        <f t="shared" si="569"/>
        <v>859</v>
      </c>
      <c r="E7023" s="4">
        <v>0</v>
      </c>
      <c r="F7023" s="129">
        <f t="shared" si="570"/>
        <v>11</v>
      </c>
      <c r="I7023" s="88"/>
    </row>
    <row r="7024" spans="1:9" ht="15.75" thickBot="1" x14ac:dyDescent="0.3">
      <c r="A7024" s="140" t="s">
        <v>26</v>
      </c>
      <c r="B7024" s="53">
        <v>44185</v>
      </c>
      <c r="C7024" s="4">
        <v>138</v>
      </c>
      <c r="D7024" s="29">
        <f t="shared" si="569"/>
        <v>38048</v>
      </c>
      <c r="E7024" s="4">
        <v>0</v>
      </c>
      <c r="F7024" s="129">
        <f t="shared" si="570"/>
        <v>683</v>
      </c>
      <c r="I7024" s="88"/>
    </row>
    <row r="7025" spans="1:9" ht="15.75" thickBot="1" x14ac:dyDescent="0.3">
      <c r="A7025" s="140" t="s">
        <v>25</v>
      </c>
      <c r="B7025" s="53">
        <v>44185</v>
      </c>
      <c r="C7025" s="4">
        <v>137</v>
      </c>
      <c r="D7025" s="29">
        <f t="shared" si="569"/>
        <v>35698</v>
      </c>
      <c r="E7025" s="4">
        <v>0</v>
      </c>
      <c r="F7025" s="129">
        <f t="shared" si="570"/>
        <v>867</v>
      </c>
      <c r="I7025" s="88"/>
    </row>
    <row r="7026" spans="1:9" ht="15.75" thickBot="1" x14ac:dyDescent="0.3">
      <c r="A7026" s="140" t="s">
        <v>41</v>
      </c>
      <c r="B7026" s="53">
        <v>44185</v>
      </c>
      <c r="C7026" s="4">
        <v>39</v>
      </c>
      <c r="D7026" s="29">
        <f t="shared" si="569"/>
        <v>21963</v>
      </c>
      <c r="E7026" s="4">
        <v>2</v>
      </c>
      <c r="F7026" s="129">
        <f t="shared" si="570"/>
        <v>1025</v>
      </c>
      <c r="I7026" s="88"/>
    </row>
    <row r="7027" spans="1:9" ht="15.75" thickBot="1" x14ac:dyDescent="0.3">
      <c r="A7027" s="140" t="s">
        <v>42</v>
      </c>
      <c r="B7027" s="53">
        <v>44185</v>
      </c>
      <c r="C7027" s="4">
        <v>21</v>
      </c>
      <c r="D7027" s="29">
        <f t="shared" si="569"/>
        <v>10297</v>
      </c>
      <c r="E7027" s="4">
        <v>0</v>
      </c>
      <c r="F7027" s="129">
        <f t="shared" si="570"/>
        <v>196</v>
      </c>
      <c r="I7027" s="88"/>
    </row>
    <row r="7028" spans="1:9" ht="15.75" thickBot="1" x14ac:dyDescent="0.3">
      <c r="A7028" s="140" t="s">
        <v>43</v>
      </c>
      <c r="B7028" s="53">
        <v>44185</v>
      </c>
      <c r="C7028" s="4">
        <v>34</v>
      </c>
      <c r="D7028" s="29">
        <f t="shared" si="569"/>
        <v>15896</v>
      </c>
      <c r="E7028" s="4">
        <v>1</v>
      </c>
      <c r="F7028" s="129">
        <f t="shared" si="570"/>
        <v>278</v>
      </c>
      <c r="I7028" s="88"/>
    </row>
    <row r="7029" spans="1:9" ht="15.75" thickBot="1" x14ac:dyDescent="0.3">
      <c r="A7029" s="140" t="s">
        <v>44</v>
      </c>
      <c r="B7029" s="53">
        <v>44185</v>
      </c>
      <c r="C7029" s="4">
        <v>157</v>
      </c>
      <c r="D7029" s="29">
        <f t="shared" si="569"/>
        <v>20664</v>
      </c>
      <c r="E7029" s="4">
        <v>2</v>
      </c>
      <c r="F7029" s="129">
        <f t="shared" si="570"/>
        <v>355</v>
      </c>
      <c r="I7029" s="88"/>
    </row>
    <row r="7030" spans="1:9" ht="15.75" thickBot="1" x14ac:dyDescent="0.3">
      <c r="A7030" s="140" t="s">
        <v>29</v>
      </c>
      <c r="B7030" s="53">
        <v>44185</v>
      </c>
      <c r="C7030" s="4">
        <v>680</v>
      </c>
      <c r="D7030" s="29">
        <f t="shared" si="569"/>
        <v>166691</v>
      </c>
      <c r="E7030" s="4">
        <v>16</v>
      </c>
      <c r="F7030" s="129">
        <f t="shared" si="570"/>
        <v>2728</v>
      </c>
      <c r="I7030" s="88"/>
    </row>
    <row r="7031" spans="1:9" ht="15.75" thickBot="1" x14ac:dyDescent="0.3">
      <c r="A7031" s="140" t="s">
        <v>45</v>
      </c>
      <c r="B7031" s="53">
        <v>44185</v>
      </c>
      <c r="C7031" s="4">
        <v>44</v>
      </c>
      <c r="D7031" s="29">
        <f t="shared" si="569"/>
        <v>16838</v>
      </c>
      <c r="E7031" s="4">
        <v>1</v>
      </c>
      <c r="F7031" s="129">
        <f t="shared" si="570"/>
        <v>214</v>
      </c>
      <c r="I7031" s="88"/>
    </row>
    <row r="7032" spans="1:9" ht="15.75" thickBot="1" x14ac:dyDescent="0.3">
      <c r="A7032" s="140" t="s">
        <v>46</v>
      </c>
      <c r="B7032" s="53">
        <v>44185</v>
      </c>
      <c r="C7032" s="4">
        <v>55</v>
      </c>
      <c r="D7032" s="29">
        <f t="shared" si="569"/>
        <v>18144</v>
      </c>
      <c r="E7032" s="4">
        <v>0</v>
      </c>
      <c r="F7032" s="129">
        <f t="shared" si="570"/>
        <v>244</v>
      </c>
      <c r="I7032" s="88"/>
    </row>
    <row r="7033" spans="1:9" ht="15.75" thickBot="1" x14ac:dyDescent="0.3">
      <c r="A7033" s="141" t="s">
        <v>47</v>
      </c>
      <c r="B7033" s="53">
        <v>44185</v>
      </c>
      <c r="C7033" s="4">
        <v>46</v>
      </c>
      <c r="D7033" s="132">
        <f t="shared" si="569"/>
        <v>69647</v>
      </c>
      <c r="E7033" s="4">
        <v>0</v>
      </c>
      <c r="F7033" s="130">
        <f t="shared" si="570"/>
        <v>1322</v>
      </c>
      <c r="I7033" s="88"/>
    </row>
    <row r="7034" spans="1:9" ht="15.75" thickBot="1" x14ac:dyDescent="0.3">
      <c r="A7034" s="64" t="s">
        <v>22</v>
      </c>
      <c r="B7034" s="53">
        <v>44186</v>
      </c>
      <c r="C7034" s="4">
        <v>2049</v>
      </c>
      <c r="D7034" s="131">
        <f t="shared" si="569"/>
        <v>654186</v>
      </c>
      <c r="E7034" s="4">
        <v>48</v>
      </c>
      <c r="F7034" s="128">
        <f t="shared" si="570"/>
        <v>21792</v>
      </c>
      <c r="I7034" s="88"/>
    </row>
    <row r="7035" spans="1:9" ht="15.75" thickBot="1" x14ac:dyDescent="0.3">
      <c r="A7035" s="140" t="s">
        <v>20</v>
      </c>
      <c r="B7035" s="53">
        <v>44186</v>
      </c>
      <c r="C7035" s="4">
        <v>490</v>
      </c>
      <c r="D7035" s="29">
        <f t="shared" si="569"/>
        <v>166576</v>
      </c>
      <c r="E7035" s="4">
        <v>21</v>
      </c>
      <c r="F7035" s="129">
        <f t="shared" si="570"/>
        <v>5375</v>
      </c>
      <c r="I7035" s="88"/>
    </row>
    <row r="7036" spans="1:9" ht="15.75" thickBot="1" x14ac:dyDescent="0.3">
      <c r="A7036" s="140" t="s">
        <v>35</v>
      </c>
      <c r="B7036" s="53">
        <v>44186</v>
      </c>
      <c r="C7036" s="4">
        <v>26</v>
      </c>
      <c r="D7036" s="29">
        <f t="shared" si="569"/>
        <v>2362</v>
      </c>
      <c r="E7036" s="4">
        <v>0</v>
      </c>
      <c r="F7036" s="129">
        <f t="shared" si="570"/>
        <v>17</v>
      </c>
      <c r="I7036" s="88"/>
    </row>
    <row r="7037" spans="1:9" ht="15.75" thickBot="1" x14ac:dyDescent="0.3">
      <c r="A7037" s="140" t="s">
        <v>21</v>
      </c>
      <c r="B7037" s="53">
        <v>44186</v>
      </c>
      <c r="C7037" s="4">
        <v>149</v>
      </c>
      <c r="D7037" s="29">
        <f t="shared" si="569"/>
        <v>23021</v>
      </c>
      <c r="E7037" s="4">
        <v>7</v>
      </c>
      <c r="F7037" s="129">
        <f t="shared" si="570"/>
        <v>653</v>
      </c>
      <c r="I7037" s="88"/>
    </row>
    <row r="7038" spans="1:9" ht="15.75" thickBot="1" x14ac:dyDescent="0.3">
      <c r="A7038" s="140" t="s">
        <v>36</v>
      </c>
      <c r="B7038" s="53">
        <v>44186</v>
      </c>
      <c r="C7038" s="4">
        <v>366</v>
      </c>
      <c r="D7038" s="29">
        <f t="shared" si="569"/>
        <v>28496</v>
      </c>
      <c r="E7038" s="4">
        <v>1</v>
      </c>
      <c r="F7038" s="129">
        <f t="shared" si="570"/>
        <v>485</v>
      </c>
      <c r="I7038" s="88"/>
    </row>
    <row r="7039" spans="1:9" ht="15.75" thickBot="1" x14ac:dyDescent="0.3">
      <c r="A7039" s="140" t="s">
        <v>27</v>
      </c>
      <c r="B7039" s="53">
        <v>44186</v>
      </c>
      <c r="C7039" s="4">
        <v>183</v>
      </c>
      <c r="D7039" s="29">
        <v>122816</v>
      </c>
      <c r="E7039" s="4">
        <v>16</v>
      </c>
      <c r="F7039" s="129">
        <f t="shared" si="570"/>
        <v>2408</v>
      </c>
      <c r="I7039" s="88"/>
    </row>
    <row r="7040" spans="1:9" ht="15.75" thickBot="1" x14ac:dyDescent="0.3">
      <c r="A7040" s="140" t="s">
        <v>37</v>
      </c>
      <c r="B7040" s="53">
        <v>44186</v>
      </c>
      <c r="C7040" s="4">
        <v>262</v>
      </c>
      <c r="D7040" s="29">
        <f t="shared" si="569"/>
        <v>10711</v>
      </c>
      <c r="E7040" s="4">
        <v>4</v>
      </c>
      <c r="F7040" s="129">
        <f t="shared" si="570"/>
        <v>147</v>
      </c>
      <c r="I7040" s="88"/>
    </row>
    <row r="7041" spans="1:9" ht="15.75" thickBot="1" x14ac:dyDescent="0.3">
      <c r="A7041" s="140" t="s">
        <v>38</v>
      </c>
      <c r="B7041" s="53">
        <v>44186</v>
      </c>
      <c r="C7041" s="4">
        <v>38</v>
      </c>
      <c r="D7041" s="29">
        <f t="shared" si="569"/>
        <v>27003</v>
      </c>
      <c r="E7041" s="4">
        <v>7</v>
      </c>
      <c r="F7041" s="129">
        <f t="shared" si="570"/>
        <v>560</v>
      </c>
      <c r="I7041" s="88"/>
    </row>
    <row r="7042" spans="1:9" ht="15.75" thickBot="1" x14ac:dyDescent="0.3">
      <c r="A7042" s="140" t="s">
        <v>48</v>
      </c>
      <c r="B7042" s="53">
        <v>44186</v>
      </c>
      <c r="C7042" s="4">
        <v>-1</v>
      </c>
      <c r="D7042" s="29">
        <f t="shared" si="569"/>
        <v>203</v>
      </c>
      <c r="E7042" s="4">
        <v>0</v>
      </c>
      <c r="F7042" s="129">
        <f t="shared" si="570"/>
        <v>3</v>
      </c>
      <c r="I7042" s="88"/>
    </row>
    <row r="7043" spans="1:9" ht="15.75" thickBot="1" x14ac:dyDescent="0.3">
      <c r="A7043" s="140" t="s">
        <v>39</v>
      </c>
      <c r="B7043" s="53">
        <v>44186</v>
      </c>
      <c r="C7043" s="4">
        <v>0</v>
      </c>
      <c r="D7043" s="29">
        <f t="shared" si="569"/>
        <v>18482</v>
      </c>
      <c r="E7043" s="4">
        <v>0</v>
      </c>
      <c r="F7043" s="129">
        <f t="shared" si="570"/>
        <v>857</v>
      </c>
      <c r="I7043" s="88"/>
    </row>
    <row r="7044" spans="1:9" ht="15.75" thickBot="1" x14ac:dyDescent="0.3">
      <c r="A7044" s="140" t="s">
        <v>40</v>
      </c>
      <c r="B7044" s="53">
        <v>44186</v>
      </c>
      <c r="C7044" s="4">
        <v>161</v>
      </c>
      <c r="D7044" s="29">
        <f t="shared" si="569"/>
        <v>8432</v>
      </c>
      <c r="E7044" s="4">
        <v>10</v>
      </c>
      <c r="F7044" s="129">
        <f t="shared" si="570"/>
        <v>116</v>
      </c>
      <c r="I7044" s="88"/>
    </row>
    <row r="7045" spans="1:9" ht="15.75" thickBot="1" x14ac:dyDescent="0.3">
      <c r="A7045" s="140" t="s">
        <v>28</v>
      </c>
      <c r="B7045" s="53">
        <v>44186</v>
      </c>
      <c r="C7045" s="4">
        <v>14</v>
      </c>
      <c r="D7045" s="29">
        <f t="shared" si="569"/>
        <v>9014</v>
      </c>
      <c r="E7045" s="4">
        <v>10</v>
      </c>
      <c r="F7045" s="129">
        <f t="shared" si="570"/>
        <v>358</v>
      </c>
      <c r="I7045" s="88"/>
    </row>
    <row r="7046" spans="1:9" ht="15.75" thickBot="1" x14ac:dyDescent="0.3">
      <c r="A7046" s="140" t="s">
        <v>24</v>
      </c>
      <c r="B7046" s="53">
        <v>44186</v>
      </c>
      <c r="C7046" s="4">
        <v>76</v>
      </c>
      <c r="D7046" s="29">
        <f t="shared" si="569"/>
        <v>59051</v>
      </c>
      <c r="E7046" s="4">
        <v>0</v>
      </c>
      <c r="F7046" s="129">
        <f t="shared" si="570"/>
        <v>1199</v>
      </c>
      <c r="I7046" s="88"/>
    </row>
    <row r="7047" spans="1:9" ht="15.75" thickBot="1" x14ac:dyDescent="0.3">
      <c r="A7047" s="140" t="s">
        <v>30</v>
      </c>
      <c r="B7047" s="53">
        <v>44186</v>
      </c>
      <c r="C7047" s="4">
        <v>5</v>
      </c>
      <c r="D7047" s="29">
        <f t="shared" si="569"/>
        <v>864</v>
      </c>
      <c r="E7047" s="4">
        <v>0</v>
      </c>
      <c r="F7047" s="129">
        <f t="shared" si="570"/>
        <v>11</v>
      </c>
      <c r="I7047" s="88"/>
    </row>
    <row r="7048" spans="1:9" ht="15.75" thickBot="1" x14ac:dyDescent="0.3">
      <c r="A7048" s="140" t="s">
        <v>26</v>
      </c>
      <c r="B7048" s="53">
        <v>44186</v>
      </c>
      <c r="C7048" s="4">
        <v>268</v>
      </c>
      <c r="D7048" s="29">
        <f t="shared" si="569"/>
        <v>38316</v>
      </c>
      <c r="E7048" s="4">
        <v>0</v>
      </c>
      <c r="F7048" s="129">
        <f t="shared" si="570"/>
        <v>683</v>
      </c>
      <c r="I7048" s="88"/>
    </row>
    <row r="7049" spans="1:9" ht="15.75" thickBot="1" x14ac:dyDescent="0.3">
      <c r="A7049" s="140" t="s">
        <v>25</v>
      </c>
      <c r="B7049" s="53">
        <v>44186</v>
      </c>
      <c r="C7049" s="4">
        <v>199</v>
      </c>
      <c r="D7049" s="29">
        <f t="shared" si="569"/>
        <v>35897</v>
      </c>
      <c r="E7049" s="4">
        <v>4</v>
      </c>
      <c r="F7049" s="129">
        <f t="shared" si="570"/>
        <v>871</v>
      </c>
      <c r="I7049" s="88"/>
    </row>
    <row r="7050" spans="1:9" ht="15.75" thickBot="1" x14ac:dyDescent="0.3">
      <c r="A7050" s="140" t="s">
        <v>41</v>
      </c>
      <c r="B7050" s="53">
        <v>44186</v>
      </c>
      <c r="C7050" s="4">
        <v>8</v>
      </c>
      <c r="D7050" s="29">
        <f t="shared" si="569"/>
        <v>21971</v>
      </c>
      <c r="E7050" s="4">
        <v>2</v>
      </c>
      <c r="F7050" s="129">
        <f t="shared" si="570"/>
        <v>1027</v>
      </c>
      <c r="I7050" s="88"/>
    </row>
    <row r="7051" spans="1:9" ht="15.75" thickBot="1" x14ac:dyDescent="0.3">
      <c r="A7051" s="140" t="s">
        <v>42</v>
      </c>
      <c r="B7051" s="53">
        <v>44186</v>
      </c>
      <c r="C7051" s="4">
        <v>215</v>
      </c>
      <c r="D7051" s="29">
        <f t="shared" si="569"/>
        <v>10512</v>
      </c>
      <c r="E7051" s="4">
        <v>0</v>
      </c>
      <c r="F7051" s="129">
        <f t="shared" si="570"/>
        <v>196</v>
      </c>
      <c r="I7051" s="88"/>
    </row>
    <row r="7052" spans="1:9" ht="15.75" thickBot="1" x14ac:dyDescent="0.3">
      <c r="A7052" s="140" t="s">
        <v>43</v>
      </c>
      <c r="B7052" s="53">
        <v>44186</v>
      </c>
      <c r="C7052" s="4">
        <v>32</v>
      </c>
      <c r="D7052" s="29">
        <f t="shared" si="569"/>
        <v>15928</v>
      </c>
      <c r="E7052" s="4">
        <v>9</v>
      </c>
      <c r="F7052" s="129">
        <f t="shared" si="570"/>
        <v>287</v>
      </c>
      <c r="I7052" s="88"/>
    </row>
    <row r="7053" spans="1:9" ht="15.75" thickBot="1" x14ac:dyDescent="0.3">
      <c r="A7053" s="140" t="s">
        <v>44</v>
      </c>
      <c r="B7053" s="53">
        <v>44186</v>
      </c>
      <c r="C7053" s="4">
        <v>179</v>
      </c>
      <c r="D7053" s="29">
        <f t="shared" si="569"/>
        <v>20843</v>
      </c>
      <c r="E7053" s="4">
        <v>3</v>
      </c>
      <c r="F7053" s="129">
        <f t="shared" si="570"/>
        <v>358</v>
      </c>
      <c r="I7053" s="88"/>
    </row>
    <row r="7054" spans="1:9" ht="15.75" thickBot="1" x14ac:dyDescent="0.3">
      <c r="A7054" s="140" t="s">
        <v>29</v>
      </c>
      <c r="B7054" s="53">
        <v>44186</v>
      </c>
      <c r="C7054" s="4">
        <v>801</v>
      </c>
      <c r="D7054" s="29">
        <f t="shared" si="569"/>
        <v>167492</v>
      </c>
      <c r="E7054" s="4">
        <v>24</v>
      </c>
      <c r="F7054" s="129">
        <f t="shared" si="570"/>
        <v>2752</v>
      </c>
      <c r="I7054" s="88"/>
    </row>
    <row r="7055" spans="1:9" ht="15.75" thickBot="1" x14ac:dyDescent="0.3">
      <c r="A7055" s="140" t="s">
        <v>45</v>
      </c>
      <c r="B7055" s="53">
        <v>44186</v>
      </c>
      <c r="C7055" s="4">
        <v>38</v>
      </c>
      <c r="D7055" s="29">
        <f t="shared" si="569"/>
        <v>16876</v>
      </c>
      <c r="E7055" s="4">
        <v>0</v>
      </c>
      <c r="F7055" s="129">
        <f t="shared" si="570"/>
        <v>214</v>
      </c>
      <c r="I7055" s="88"/>
    </row>
    <row r="7056" spans="1:9" ht="15.75" thickBot="1" x14ac:dyDescent="0.3">
      <c r="A7056" s="140" t="s">
        <v>46</v>
      </c>
      <c r="B7056" s="53">
        <v>44186</v>
      </c>
      <c r="C7056" s="4">
        <v>59</v>
      </c>
      <c r="D7056" s="29">
        <f t="shared" si="569"/>
        <v>18203</v>
      </c>
      <c r="E7056" s="4">
        <v>2</v>
      </c>
      <c r="F7056" s="129">
        <f t="shared" si="570"/>
        <v>246</v>
      </c>
      <c r="I7056" s="88"/>
    </row>
    <row r="7057" spans="1:10" ht="15.75" thickBot="1" x14ac:dyDescent="0.3">
      <c r="A7057" s="142" t="s">
        <v>47</v>
      </c>
      <c r="B7057" s="46">
        <v>44186</v>
      </c>
      <c r="C7057" s="47">
        <v>236</v>
      </c>
      <c r="D7057" s="85">
        <f t="shared" si="569"/>
        <v>69883</v>
      </c>
      <c r="E7057" s="47">
        <v>6</v>
      </c>
      <c r="F7057" s="139">
        <f t="shared" si="570"/>
        <v>1328</v>
      </c>
    </row>
    <row r="7058" spans="1:10" x14ac:dyDescent="0.25">
      <c r="A7058" s="64" t="s">
        <v>22</v>
      </c>
      <c r="B7058" s="49">
        <v>44187</v>
      </c>
      <c r="C7058" s="50">
        <v>3019</v>
      </c>
      <c r="D7058" s="131">
        <f t="shared" si="569"/>
        <v>657205</v>
      </c>
      <c r="E7058" s="50">
        <v>151</v>
      </c>
      <c r="F7058" s="128">
        <f t="shared" si="570"/>
        <v>21943</v>
      </c>
      <c r="J7058" s="88"/>
    </row>
    <row r="7059" spans="1:10" x14ac:dyDescent="0.25">
      <c r="A7059" s="140" t="s">
        <v>20</v>
      </c>
      <c r="B7059" s="26">
        <v>44187</v>
      </c>
      <c r="C7059" s="4">
        <v>712</v>
      </c>
      <c r="D7059" s="29">
        <f t="shared" si="569"/>
        <v>167288</v>
      </c>
      <c r="E7059" s="4">
        <v>17</v>
      </c>
      <c r="F7059" s="129">
        <f t="shared" si="570"/>
        <v>5392</v>
      </c>
      <c r="J7059" s="88"/>
    </row>
    <row r="7060" spans="1:10" x14ac:dyDescent="0.25">
      <c r="A7060" s="140" t="s">
        <v>35</v>
      </c>
      <c r="B7060" s="26">
        <v>44187</v>
      </c>
      <c r="C7060" s="4">
        <v>37</v>
      </c>
      <c r="D7060" s="29">
        <f t="shared" si="569"/>
        <v>2399</v>
      </c>
      <c r="E7060" s="4">
        <v>0</v>
      </c>
      <c r="F7060" s="129">
        <f t="shared" si="570"/>
        <v>17</v>
      </c>
      <c r="J7060" s="88"/>
    </row>
    <row r="7061" spans="1:10" x14ac:dyDescent="0.25">
      <c r="A7061" s="140" t="s">
        <v>21</v>
      </c>
      <c r="B7061" s="26">
        <v>44187</v>
      </c>
      <c r="C7061" s="4">
        <v>191</v>
      </c>
      <c r="D7061" s="29">
        <f t="shared" si="569"/>
        <v>23212</v>
      </c>
      <c r="E7061" s="4">
        <v>0</v>
      </c>
      <c r="F7061" s="129">
        <f t="shared" si="570"/>
        <v>653</v>
      </c>
      <c r="J7061" s="88"/>
    </row>
    <row r="7062" spans="1:10" x14ac:dyDescent="0.25">
      <c r="A7062" s="140" t="s">
        <v>36</v>
      </c>
      <c r="B7062" s="26">
        <v>44187</v>
      </c>
      <c r="C7062" s="4">
        <v>409</v>
      </c>
      <c r="D7062" s="29">
        <f t="shared" si="569"/>
        <v>28905</v>
      </c>
      <c r="E7062" s="4">
        <v>1</v>
      </c>
      <c r="F7062" s="129">
        <f t="shared" si="570"/>
        <v>486</v>
      </c>
      <c r="J7062" s="88"/>
    </row>
    <row r="7063" spans="1:10" x14ac:dyDescent="0.25">
      <c r="A7063" s="140" t="s">
        <v>27</v>
      </c>
      <c r="B7063" s="26">
        <v>44187</v>
      </c>
      <c r="C7063" s="4">
        <v>494</v>
      </c>
      <c r="D7063" s="29">
        <f t="shared" si="569"/>
        <v>123310</v>
      </c>
      <c r="E7063" s="4">
        <v>10</v>
      </c>
      <c r="F7063" s="129">
        <f t="shared" si="570"/>
        <v>2418</v>
      </c>
      <c r="J7063" s="88"/>
    </row>
    <row r="7064" spans="1:10" x14ac:dyDescent="0.25">
      <c r="A7064" s="140" t="s">
        <v>37</v>
      </c>
      <c r="B7064" s="26">
        <v>44187</v>
      </c>
      <c r="C7064" s="4">
        <v>143</v>
      </c>
      <c r="D7064" s="29">
        <f t="shared" si="569"/>
        <v>10854</v>
      </c>
      <c r="E7064" s="4">
        <v>3</v>
      </c>
      <c r="F7064" s="129">
        <f t="shared" si="570"/>
        <v>150</v>
      </c>
      <c r="J7064" s="88"/>
    </row>
    <row r="7065" spans="1:10" x14ac:dyDescent="0.25">
      <c r="A7065" s="140" t="s">
        <v>38</v>
      </c>
      <c r="B7065" s="26">
        <v>44187</v>
      </c>
      <c r="C7065" s="4">
        <v>140</v>
      </c>
      <c r="D7065" s="29">
        <f t="shared" si="569"/>
        <v>27143</v>
      </c>
      <c r="E7065" s="4">
        <v>7</v>
      </c>
      <c r="F7065" s="129">
        <f t="shared" si="570"/>
        <v>567</v>
      </c>
      <c r="J7065" s="88"/>
    </row>
    <row r="7066" spans="1:10" x14ac:dyDescent="0.25">
      <c r="A7066" s="140" t="s">
        <v>48</v>
      </c>
      <c r="B7066" s="26">
        <v>44187</v>
      </c>
      <c r="C7066" s="4">
        <v>7</v>
      </c>
      <c r="D7066" s="29">
        <f t="shared" si="569"/>
        <v>210</v>
      </c>
      <c r="E7066" s="4">
        <v>0</v>
      </c>
      <c r="F7066" s="129">
        <f t="shared" si="570"/>
        <v>3</v>
      </c>
      <c r="J7066" s="88"/>
    </row>
    <row r="7067" spans="1:10" x14ac:dyDescent="0.25">
      <c r="A7067" s="140" t="s">
        <v>39</v>
      </c>
      <c r="B7067" s="26">
        <v>44187</v>
      </c>
      <c r="C7067" s="4">
        <v>3</v>
      </c>
      <c r="D7067" s="29">
        <f t="shared" si="569"/>
        <v>18485</v>
      </c>
      <c r="E7067" s="4">
        <v>0</v>
      </c>
      <c r="F7067" s="129">
        <f t="shared" si="570"/>
        <v>857</v>
      </c>
      <c r="J7067" s="88"/>
    </row>
    <row r="7068" spans="1:10" x14ac:dyDescent="0.25">
      <c r="A7068" s="140" t="s">
        <v>40</v>
      </c>
      <c r="B7068" s="26">
        <v>44187</v>
      </c>
      <c r="C7068" s="4">
        <v>247</v>
      </c>
      <c r="D7068" s="29">
        <f t="shared" si="569"/>
        <v>8679</v>
      </c>
      <c r="E7068" s="4">
        <v>0</v>
      </c>
      <c r="F7068" s="129">
        <f t="shared" si="570"/>
        <v>116</v>
      </c>
      <c r="J7068" s="88"/>
    </row>
    <row r="7069" spans="1:10" x14ac:dyDescent="0.25">
      <c r="A7069" s="140" t="s">
        <v>28</v>
      </c>
      <c r="B7069" s="26">
        <v>44187</v>
      </c>
      <c r="C7069" s="4">
        <v>9</v>
      </c>
      <c r="D7069" s="29">
        <f t="shared" si="569"/>
        <v>9023</v>
      </c>
      <c r="E7069" s="4">
        <v>3</v>
      </c>
      <c r="F7069" s="129">
        <f t="shared" si="570"/>
        <v>361</v>
      </c>
      <c r="J7069" s="88"/>
    </row>
    <row r="7070" spans="1:10" x14ac:dyDescent="0.25">
      <c r="A7070" s="140" t="s">
        <v>24</v>
      </c>
      <c r="B7070" s="26">
        <v>44187</v>
      </c>
      <c r="C7070" s="4">
        <v>138</v>
      </c>
      <c r="D7070" s="29">
        <f t="shared" si="569"/>
        <v>59189</v>
      </c>
      <c r="E7070" s="4">
        <v>18</v>
      </c>
      <c r="F7070" s="129">
        <f t="shared" si="570"/>
        <v>1217</v>
      </c>
      <c r="J7070" s="88"/>
    </row>
    <row r="7071" spans="1:10" x14ac:dyDescent="0.25">
      <c r="A7071" s="140" t="s">
        <v>30</v>
      </c>
      <c r="B7071" s="26">
        <v>44187</v>
      </c>
      <c r="C7071" s="4">
        <v>24</v>
      </c>
      <c r="D7071" s="29">
        <f t="shared" si="569"/>
        <v>888</v>
      </c>
      <c r="E7071" s="4">
        <v>0</v>
      </c>
      <c r="F7071" s="129">
        <f t="shared" si="570"/>
        <v>11</v>
      </c>
      <c r="J7071" s="88"/>
    </row>
    <row r="7072" spans="1:10" x14ac:dyDescent="0.25">
      <c r="A7072" s="140" t="s">
        <v>26</v>
      </c>
      <c r="B7072" s="26">
        <v>44187</v>
      </c>
      <c r="C7072" s="4">
        <v>327</v>
      </c>
      <c r="D7072" s="29">
        <f t="shared" si="569"/>
        <v>38643</v>
      </c>
      <c r="E7072" s="4">
        <v>0</v>
      </c>
      <c r="F7072" s="129">
        <f t="shared" si="570"/>
        <v>683</v>
      </c>
      <c r="J7072" s="88"/>
    </row>
    <row r="7073" spans="1:10" x14ac:dyDescent="0.25">
      <c r="A7073" s="140" t="s">
        <v>25</v>
      </c>
      <c r="B7073" s="26">
        <v>44187</v>
      </c>
      <c r="C7073" s="4">
        <v>396</v>
      </c>
      <c r="D7073" s="29">
        <f t="shared" si="569"/>
        <v>36293</v>
      </c>
      <c r="E7073" s="4">
        <v>4</v>
      </c>
      <c r="F7073" s="129">
        <f t="shared" si="570"/>
        <v>875</v>
      </c>
      <c r="J7073" s="88"/>
    </row>
    <row r="7074" spans="1:10" x14ac:dyDescent="0.25">
      <c r="A7074" s="140" t="s">
        <v>41</v>
      </c>
      <c r="B7074" s="26">
        <v>44187</v>
      </c>
      <c r="C7074" s="4">
        <v>45</v>
      </c>
      <c r="D7074" s="29">
        <f t="shared" si="569"/>
        <v>22016</v>
      </c>
      <c r="E7074" s="4">
        <v>0</v>
      </c>
      <c r="F7074" s="129">
        <f t="shared" si="570"/>
        <v>1027</v>
      </c>
      <c r="J7074" s="88"/>
    </row>
    <row r="7075" spans="1:10" x14ac:dyDescent="0.25">
      <c r="A7075" s="140" t="s">
        <v>42</v>
      </c>
      <c r="B7075" s="26">
        <v>44187</v>
      </c>
      <c r="C7075" s="4">
        <v>153</v>
      </c>
      <c r="D7075" s="29">
        <f t="shared" ref="D7075:D7138" si="571">C7075+D7051</f>
        <v>10665</v>
      </c>
      <c r="E7075" s="4">
        <v>0</v>
      </c>
      <c r="F7075" s="129">
        <f t="shared" ref="F7075:F7138" si="572">E7075+F7051</f>
        <v>196</v>
      </c>
      <c r="J7075" s="88"/>
    </row>
    <row r="7076" spans="1:10" x14ac:dyDescent="0.25">
      <c r="A7076" s="140" t="s">
        <v>43</v>
      </c>
      <c r="B7076" s="26">
        <v>44187</v>
      </c>
      <c r="C7076" s="4">
        <v>13</v>
      </c>
      <c r="D7076" s="29">
        <f t="shared" si="571"/>
        <v>15941</v>
      </c>
      <c r="E7076" s="4">
        <v>0</v>
      </c>
      <c r="F7076" s="129">
        <f t="shared" si="572"/>
        <v>287</v>
      </c>
      <c r="J7076" s="88"/>
    </row>
    <row r="7077" spans="1:10" x14ac:dyDescent="0.25">
      <c r="A7077" s="140" t="s">
        <v>44</v>
      </c>
      <c r="B7077" s="26">
        <v>44187</v>
      </c>
      <c r="C7077" s="4">
        <v>312</v>
      </c>
      <c r="D7077" s="29">
        <f t="shared" si="571"/>
        <v>21155</v>
      </c>
      <c r="E7077" s="4">
        <v>1</v>
      </c>
      <c r="F7077" s="129">
        <f t="shared" si="572"/>
        <v>359</v>
      </c>
      <c r="J7077" s="88"/>
    </row>
    <row r="7078" spans="1:10" x14ac:dyDescent="0.25">
      <c r="A7078" s="140" t="s">
        <v>29</v>
      </c>
      <c r="B7078" s="26">
        <v>44187</v>
      </c>
      <c r="C7078" s="4">
        <v>1180</v>
      </c>
      <c r="D7078" s="29">
        <f t="shared" si="571"/>
        <v>168672</v>
      </c>
      <c r="E7078" s="4">
        <v>37</v>
      </c>
      <c r="F7078" s="129">
        <f t="shared" si="572"/>
        <v>2789</v>
      </c>
      <c r="J7078" s="88"/>
    </row>
    <row r="7079" spans="1:10" x14ac:dyDescent="0.25">
      <c r="A7079" s="140" t="s">
        <v>45</v>
      </c>
      <c r="B7079" s="26">
        <v>44187</v>
      </c>
      <c r="C7079" s="4">
        <v>-43</v>
      </c>
      <c r="D7079" s="29">
        <f t="shared" si="571"/>
        <v>16833</v>
      </c>
      <c r="E7079" s="4">
        <v>0</v>
      </c>
      <c r="F7079" s="129">
        <f t="shared" si="572"/>
        <v>214</v>
      </c>
      <c r="J7079" s="88"/>
    </row>
    <row r="7080" spans="1:10" x14ac:dyDescent="0.25">
      <c r="A7080" s="140" t="s">
        <v>46</v>
      </c>
      <c r="B7080" s="26">
        <v>44187</v>
      </c>
      <c r="C7080" s="4">
        <v>51</v>
      </c>
      <c r="D7080" s="29">
        <f t="shared" si="571"/>
        <v>18254</v>
      </c>
      <c r="E7080" s="4">
        <v>0</v>
      </c>
      <c r="F7080" s="129">
        <f t="shared" si="572"/>
        <v>246</v>
      </c>
      <c r="J7080" s="88"/>
    </row>
    <row r="7081" spans="1:10" ht="15.75" thickBot="1" x14ac:dyDescent="0.3">
      <c r="A7081" s="142" t="s">
        <v>47</v>
      </c>
      <c r="B7081" s="46">
        <v>44187</v>
      </c>
      <c r="C7081" s="47">
        <v>134</v>
      </c>
      <c r="D7081" s="85">
        <f t="shared" si="571"/>
        <v>70017</v>
      </c>
      <c r="E7081" s="47">
        <v>5</v>
      </c>
      <c r="F7081" s="139">
        <f t="shared" si="572"/>
        <v>1333</v>
      </c>
    </row>
    <row r="7082" spans="1:10" x14ac:dyDescent="0.25">
      <c r="A7082" s="64" t="s">
        <v>22</v>
      </c>
      <c r="B7082" s="49">
        <v>44188</v>
      </c>
      <c r="C7082" s="50">
        <v>3467</v>
      </c>
      <c r="D7082" s="131">
        <f t="shared" si="571"/>
        <v>660672</v>
      </c>
      <c r="E7082" s="50">
        <v>12</v>
      </c>
      <c r="F7082" s="128">
        <f t="shared" si="572"/>
        <v>21955</v>
      </c>
    </row>
    <row r="7083" spans="1:10" x14ac:dyDescent="0.25">
      <c r="A7083" s="140" t="s">
        <v>20</v>
      </c>
      <c r="B7083" s="26">
        <v>44188</v>
      </c>
      <c r="C7083" s="4">
        <v>690</v>
      </c>
      <c r="D7083" s="29">
        <f t="shared" si="571"/>
        <v>167978</v>
      </c>
      <c r="E7083" s="4">
        <v>4</v>
      </c>
      <c r="F7083" s="129">
        <f t="shared" si="572"/>
        <v>5396</v>
      </c>
      <c r="I7083" s="88"/>
    </row>
    <row r="7084" spans="1:10" x14ac:dyDescent="0.25">
      <c r="A7084" s="140" t="s">
        <v>35</v>
      </c>
      <c r="B7084" s="26">
        <v>44188</v>
      </c>
      <c r="C7084" s="4">
        <v>18</v>
      </c>
      <c r="D7084" s="29">
        <f t="shared" si="571"/>
        <v>2417</v>
      </c>
      <c r="E7084" s="4">
        <v>0</v>
      </c>
      <c r="F7084" s="129">
        <f t="shared" si="572"/>
        <v>17</v>
      </c>
      <c r="I7084" s="88"/>
    </row>
    <row r="7085" spans="1:10" x14ac:dyDescent="0.25">
      <c r="A7085" s="140" t="s">
        <v>21</v>
      </c>
      <c r="B7085" s="26">
        <v>44188</v>
      </c>
      <c r="C7085" s="4">
        <v>236</v>
      </c>
      <c r="D7085" s="29">
        <f t="shared" si="571"/>
        <v>23448</v>
      </c>
      <c r="E7085" s="4">
        <v>3</v>
      </c>
      <c r="F7085" s="129">
        <f t="shared" si="572"/>
        <v>656</v>
      </c>
      <c r="I7085" s="88"/>
    </row>
    <row r="7086" spans="1:10" x14ac:dyDescent="0.25">
      <c r="A7086" s="140" t="s">
        <v>36</v>
      </c>
      <c r="B7086" s="26">
        <v>44188</v>
      </c>
      <c r="C7086" s="4">
        <v>308</v>
      </c>
      <c r="D7086" s="29">
        <f t="shared" si="571"/>
        <v>29213</v>
      </c>
      <c r="E7086" s="4">
        <v>0</v>
      </c>
      <c r="F7086" s="129">
        <f t="shared" si="572"/>
        <v>486</v>
      </c>
      <c r="I7086" s="88"/>
    </row>
    <row r="7087" spans="1:10" x14ac:dyDescent="0.25">
      <c r="A7087" s="140" t="s">
        <v>27</v>
      </c>
      <c r="B7087" s="26">
        <v>44188</v>
      </c>
      <c r="C7087" s="4">
        <v>575</v>
      </c>
      <c r="D7087" s="29">
        <f t="shared" si="571"/>
        <v>123885</v>
      </c>
      <c r="E7087" s="4">
        <v>12</v>
      </c>
      <c r="F7087" s="129">
        <f t="shared" si="572"/>
        <v>2430</v>
      </c>
      <c r="I7087" s="88"/>
    </row>
    <row r="7088" spans="1:10" x14ac:dyDescent="0.25">
      <c r="A7088" s="140" t="s">
        <v>37</v>
      </c>
      <c r="B7088" s="26">
        <v>44188</v>
      </c>
      <c r="C7088" s="4">
        <v>179</v>
      </c>
      <c r="D7088" s="29">
        <f t="shared" si="571"/>
        <v>11033</v>
      </c>
      <c r="E7088" s="4">
        <v>2</v>
      </c>
      <c r="F7088" s="129">
        <f t="shared" si="572"/>
        <v>152</v>
      </c>
      <c r="I7088" s="88"/>
    </row>
    <row r="7089" spans="1:9" x14ac:dyDescent="0.25">
      <c r="A7089" s="140" t="s">
        <v>38</v>
      </c>
      <c r="B7089" s="26">
        <v>44188</v>
      </c>
      <c r="C7089" s="4">
        <v>278</v>
      </c>
      <c r="D7089" s="29">
        <f t="shared" si="571"/>
        <v>27421</v>
      </c>
      <c r="E7089" s="4">
        <v>2</v>
      </c>
      <c r="F7089" s="129">
        <f t="shared" si="572"/>
        <v>569</v>
      </c>
      <c r="I7089" s="88"/>
    </row>
    <row r="7090" spans="1:9" x14ac:dyDescent="0.25">
      <c r="A7090" s="140" t="s">
        <v>48</v>
      </c>
      <c r="B7090" s="26">
        <v>44188</v>
      </c>
      <c r="C7090" s="4">
        <v>2</v>
      </c>
      <c r="D7090" s="29">
        <f t="shared" si="571"/>
        <v>212</v>
      </c>
      <c r="E7090" s="4">
        <v>0</v>
      </c>
      <c r="F7090" s="129">
        <f t="shared" si="572"/>
        <v>3</v>
      </c>
      <c r="I7090" s="88"/>
    </row>
    <row r="7091" spans="1:9" x14ac:dyDescent="0.25">
      <c r="A7091" s="140" t="s">
        <v>39</v>
      </c>
      <c r="B7091" s="26">
        <v>44188</v>
      </c>
      <c r="C7091" s="4">
        <v>6</v>
      </c>
      <c r="D7091" s="29">
        <f t="shared" si="571"/>
        <v>18491</v>
      </c>
      <c r="E7091" s="4">
        <v>0</v>
      </c>
      <c r="F7091" s="129">
        <f t="shared" si="572"/>
        <v>857</v>
      </c>
      <c r="I7091" s="88"/>
    </row>
    <row r="7092" spans="1:9" x14ac:dyDescent="0.25">
      <c r="A7092" s="140" t="s">
        <v>40</v>
      </c>
      <c r="B7092" s="26">
        <v>44188</v>
      </c>
      <c r="C7092" s="4">
        <v>240</v>
      </c>
      <c r="D7092" s="29">
        <f t="shared" si="571"/>
        <v>8919</v>
      </c>
      <c r="E7092" s="4">
        <v>0</v>
      </c>
      <c r="F7092" s="129">
        <f t="shared" si="572"/>
        <v>116</v>
      </c>
      <c r="I7092" s="88"/>
    </row>
    <row r="7093" spans="1:9" x14ac:dyDescent="0.25">
      <c r="A7093" s="140" t="s">
        <v>28</v>
      </c>
      <c r="B7093" s="26">
        <v>44188</v>
      </c>
      <c r="C7093" s="4">
        <v>17</v>
      </c>
      <c r="D7093" s="29">
        <f t="shared" si="571"/>
        <v>9040</v>
      </c>
      <c r="E7093" s="4">
        <v>0</v>
      </c>
      <c r="F7093" s="129">
        <f t="shared" si="572"/>
        <v>361</v>
      </c>
      <c r="I7093" s="88"/>
    </row>
    <row r="7094" spans="1:9" x14ac:dyDescent="0.25">
      <c r="A7094" s="140" t="s">
        <v>24</v>
      </c>
      <c r="B7094" s="26">
        <v>44188</v>
      </c>
      <c r="C7094" s="4">
        <v>183</v>
      </c>
      <c r="D7094" s="29">
        <f t="shared" si="571"/>
        <v>59372</v>
      </c>
      <c r="E7094" s="4">
        <v>2</v>
      </c>
      <c r="F7094" s="129">
        <f t="shared" si="572"/>
        <v>1219</v>
      </c>
      <c r="I7094" s="88"/>
    </row>
    <row r="7095" spans="1:9" x14ac:dyDescent="0.25">
      <c r="A7095" s="140" t="s">
        <v>30</v>
      </c>
      <c r="B7095" s="26">
        <v>44188</v>
      </c>
      <c r="C7095" s="4">
        <v>8</v>
      </c>
      <c r="D7095" s="29">
        <f t="shared" si="571"/>
        <v>896</v>
      </c>
      <c r="E7095" s="4">
        <v>0</v>
      </c>
      <c r="F7095" s="129">
        <f t="shared" si="572"/>
        <v>11</v>
      </c>
      <c r="I7095" s="88"/>
    </row>
    <row r="7096" spans="1:9" x14ac:dyDescent="0.25">
      <c r="A7096" s="140" t="s">
        <v>26</v>
      </c>
      <c r="B7096" s="26">
        <v>44188</v>
      </c>
      <c r="C7096" s="4">
        <v>234</v>
      </c>
      <c r="D7096" s="29">
        <f t="shared" si="571"/>
        <v>38877</v>
      </c>
      <c r="E7096" s="4">
        <v>7</v>
      </c>
      <c r="F7096" s="129">
        <f t="shared" si="572"/>
        <v>690</v>
      </c>
      <c r="I7096" s="88"/>
    </row>
    <row r="7097" spans="1:9" x14ac:dyDescent="0.25">
      <c r="A7097" s="140" t="s">
        <v>25</v>
      </c>
      <c r="B7097" s="26">
        <v>44188</v>
      </c>
      <c r="C7097" s="4">
        <v>335</v>
      </c>
      <c r="D7097" s="29">
        <f t="shared" si="571"/>
        <v>36628</v>
      </c>
      <c r="E7097" s="4">
        <v>2</v>
      </c>
      <c r="F7097" s="129">
        <f t="shared" si="572"/>
        <v>877</v>
      </c>
      <c r="I7097" s="88"/>
    </row>
    <row r="7098" spans="1:9" x14ac:dyDescent="0.25">
      <c r="A7098" s="140" t="s">
        <v>41</v>
      </c>
      <c r="B7098" s="26">
        <v>44188</v>
      </c>
      <c r="C7098" s="4">
        <v>51</v>
      </c>
      <c r="D7098" s="29">
        <f t="shared" si="571"/>
        <v>22067</v>
      </c>
      <c r="E7098" s="4">
        <v>0</v>
      </c>
      <c r="F7098" s="129">
        <f t="shared" si="572"/>
        <v>1027</v>
      </c>
      <c r="I7098" s="88"/>
    </row>
    <row r="7099" spans="1:9" x14ac:dyDescent="0.25">
      <c r="A7099" s="140" t="s">
        <v>42</v>
      </c>
      <c r="B7099" s="26">
        <v>44188</v>
      </c>
      <c r="C7099" s="4">
        <v>147</v>
      </c>
      <c r="D7099" s="29">
        <f t="shared" si="571"/>
        <v>10812</v>
      </c>
      <c r="E7099" s="4">
        <v>0</v>
      </c>
      <c r="F7099" s="129">
        <f t="shared" si="572"/>
        <v>196</v>
      </c>
      <c r="I7099" s="88"/>
    </row>
    <row r="7100" spans="1:9" x14ac:dyDescent="0.25">
      <c r="A7100" s="140" t="s">
        <v>43</v>
      </c>
      <c r="B7100" s="26">
        <v>44188</v>
      </c>
      <c r="C7100" s="4">
        <v>22</v>
      </c>
      <c r="D7100" s="29">
        <f t="shared" si="571"/>
        <v>15963</v>
      </c>
      <c r="E7100" s="4">
        <v>5</v>
      </c>
      <c r="F7100" s="129">
        <f t="shared" si="572"/>
        <v>292</v>
      </c>
      <c r="I7100" s="88"/>
    </row>
    <row r="7101" spans="1:9" x14ac:dyDescent="0.25">
      <c r="A7101" s="140" t="s">
        <v>44</v>
      </c>
      <c r="B7101" s="26">
        <v>44188</v>
      </c>
      <c r="C7101" s="4">
        <v>301</v>
      </c>
      <c r="D7101" s="29">
        <f t="shared" si="571"/>
        <v>21456</v>
      </c>
      <c r="E7101" s="4">
        <v>1</v>
      </c>
      <c r="F7101" s="129">
        <f t="shared" si="572"/>
        <v>360</v>
      </c>
      <c r="I7101" s="88"/>
    </row>
    <row r="7102" spans="1:9" x14ac:dyDescent="0.25">
      <c r="A7102" s="140" t="s">
        <v>29</v>
      </c>
      <c r="B7102" s="26">
        <v>44188</v>
      </c>
      <c r="C7102" s="4">
        <v>1003</v>
      </c>
      <c r="D7102" s="29">
        <f t="shared" si="571"/>
        <v>169675</v>
      </c>
      <c r="E7102" s="4">
        <v>8</v>
      </c>
      <c r="F7102" s="129">
        <f t="shared" si="572"/>
        <v>2797</v>
      </c>
      <c r="I7102" s="88"/>
    </row>
    <row r="7103" spans="1:9" x14ac:dyDescent="0.25">
      <c r="A7103" s="140" t="s">
        <v>45</v>
      </c>
      <c r="B7103" s="26">
        <v>44188</v>
      </c>
      <c r="C7103" s="4">
        <v>49</v>
      </c>
      <c r="D7103" s="29">
        <f t="shared" si="571"/>
        <v>16882</v>
      </c>
      <c r="E7103" s="4">
        <v>0</v>
      </c>
      <c r="F7103" s="129">
        <f t="shared" si="572"/>
        <v>214</v>
      </c>
      <c r="I7103" s="88"/>
    </row>
    <row r="7104" spans="1:9" x14ac:dyDescent="0.25">
      <c r="A7104" s="140" t="s">
        <v>46</v>
      </c>
      <c r="B7104" s="26">
        <v>44188</v>
      </c>
      <c r="C7104" s="4">
        <v>111</v>
      </c>
      <c r="D7104" s="29">
        <f t="shared" si="571"/>
        <v>18365</v>
      </c>
      <c r="E7104" s="4">
        <v>0</v>
      </c>
      <c r="F7104" s="129">
        <f t="shared" si="572"/>
        <v>246</v>
      </c>
      <c r="I7104" s="88"/>
    </row>
    <row r="7105" spans="1:9" ht="15.75" thickBot="1" x14ac:dyDescent="0.3">
      <c r="A7105" s="141" t="s">
        <v>47</v>
      </c>
      <c r="B7105" s="53">
        <v>44188</v>
      </c>
      <c r="C7105" s="54">
        <v>126</v>
      </c>
      <c r="D7105" s="132">
        <f t="shared" si="571"/>
        <v>70143</v>
      </c>
      <c r="E7105" s="54">
        <v>0</v>
      </c>
      <c r="F7105" s="130">
        <f t="shared" si="572"/>
        <v>1333</v>
      </c>
      <c r="I7105" s="88"/>
    </row>
    <row r="7106" spans="1:9" ht="15.75" thickBot="1" x14ac:dyDescent="0.3">
      <c r="A7106" s="64" t="s">
        <v>22</v>
      </c>
      <c r="B7106" s="53">
        <v>44189</v>
      </c>
      <c r="C7106" s="48">
        <v>2877</v>
      </c>
      <c r="D7106" s="131">
        <f t="shared" si="571"/>
        <v>663549</v>
      </c>
      <c r="E7106" s="48">
        <v>17</v>
      </c>
      <c r="F7106" s="128">
        <f t="shared" si="572"/>
        <v>21972</v>
      </c>
    </row>
    <row r="7107" spans="1:9" x14ac:dyDescent="0.25">
      <c r="A7107" s="140" t="s">
        <v>20</v>
      </c>
      <c r="B7107" s="26">
        <v>44189</v>
      </c>
      <c r="C7107" s="4">
        <v>835</v>
      </c>
      <c r="D7107" s="29">
        <f t="shared" si="571"/>
        <v>168813</v>
      </c>
      <c r="E7107" s="4">
        <v>5</v>
      </c>
      <c r="F7107" s="129">
        <f t="shared" si="572"/>
        <v>5401</v>
      </c>
    </row>
    <row r="7108" spans="1:9" x14ac:dyDescent="0.25">
      <c r="A7108" s="140" t="s">
        <v>35</v>
      </c>
      <c r="B7108" s="26">
        <v>44189</v>
      </c>
      <c r="C7108" s="4">
        <v>76</v>
      </c>
      <c r="D7108" s="29">
        <f t="shared" si="571"/>
        <v>2493</v>
      </c>
      <c r="E7108" s="4">
        <v>0</v>
      </c>
      <c r="F7108" s="129">
        <f t="shared" si="572"/>
        <v>17</v>
      </c>
    </row>
    <row r="7109" spans="1:9" x14ac:dyDescent="0.25">
      <c r="A7109" s="140" t="s">
        <v>21</v>
      </c>
      <c r="B7109" s="26">
        <v>44189</v>
      </c>
      <c r="C7109" s="4">
        <v>176</v>
      </c>
      <c r="D7109" s="29">
        <f t="shared" si="571"/>
        <v>23624</v>
      </c>
      <c r="E7109" s="4">
        <v>3</v>
      </c>
      <c r="F7109" s="129">
        <f t="shared" si="572"/>
        <v>659</v>
      </c>
    </row>
    <row r="7110" spans="1:9" x14ac:dyDescent="0.25">
      <c r="A7110" s="140" t="s">
        <v>36</v>
      </c>
      <c r="B7110" s="26">
        <v>44189</v>
      </c>
      <c r="C7110" s="4">
        <v>250</v>
      </c>
      <c r="D7110" s="29">
        <f t="shared" si="571"/>
        <v>29463</v>
      </c>
      <c r="E7110" s="4">
        <v>0</v>
      </c>
      <c r="F7110" s="129">
        <f t="shared" si="572"/>
        <v>486</v>
      </c>
    </row>
    <row r="7111" spans="1:9" x14ac:dyDescent="0.25">
      <c r="A7111" s="140" t="s">
        <v>27</v>
      </c>
      <c r="B7111" s="26">
        <v>44189</v>
      </c>
      <c r="C7111" s="4">
        <v>660</v>
      </c>
      <c r="D7111" s="29">
        <f t="shared" si="571"/>
        <v>124545</v>
      </c>
      <c r="E7111" s="4">
        <v>15</v>
      </c>
      <c r="F7111" s="129">
        <f t="shared" si="572"/>
        <v>2445</v>
      </c>
    </row>
    <row r="7112" spans="1:9" x14ac:dyDescent="0.25">
      <c r="A7112" s="140" t="s">
        <v>37</v>
      </c>
      <c r="B7112" s="26">
        <v>44189</v>
      </c>
      <c r="C7112" s="4">
        <v>56</v>
      </c>
      <c r="D7112" s="29">
        <f t="shared" si="571"/>
        <v>11089</v>
      </c>
      <c r="E7112" s="4">
        <v>2</v>
      </c>
      <c r="F7112" s="129">
        <f t="shared" si="572"/>
        <v>154</v>
      </c>
    </row>
    <row r="7113" spans="1:9" x14ac:dyDescent="0.25">
      <c r="A7113" s="140" t="s">
        <v>38</v>
      </c>
      <c r="B7113" s="26">
        <v>44189</v>
      </c>
      <c r="C7113" s="4">
        <v>283</v>
      </c>
      <c r="D7113" s="29">
        <f t="shared" si="571"/>
        <v>27704</v>
      </c>
      <c r="E7113" s="4">
        <v>2</v>
      </c>
      <c r="F7113" s="129">
        <f t="shared" si="572"/>
        <v>571</v>
      </c>
    </row>
    <row r="7114" spans="1:9" x14ac:dyDescent="0.25">
      <c r="A7114" s="140" t="s">
        <v>48</v>
      </c>
      <c r="B7114" s="26">
        <v>44189</v>
      </c>
      <c r="C7114" s="4">
        <v>1</v>
      </c>
      <c r="D7114" s="29">
        <f t="shared" si="571"/>
        <v>213</v>
      </c>
      <c r="E7114" s="4">
        <v>0</v>
      </c>
      <c r="F7114" s="129">
        <f t="shared" si="572"/>
        <v>3</v>
      </c>
    </row>
    <row r="7115" spans="1:9" x14ac:dyDescent="0.25">
      <c r="A7115" s="140" t="s">
        <v>39</v>
      </c>
      <c r="B7115" s="26">
        <v>44189</v>
      </c>
      <c r="C7115" s="4">
        <v>3</v>
      </c>
      <c r="D7115" s="29">
        <f t="shared" si="571"/>
        <v>18494</v>
      </c>
      <c r="E7115" s="4">
        <v>0</v>
      </c>
      <c r="F7115" s="129">
        <f t="shared" si="572"/>
        <v>857</v>
      </c>
    </row>
    <row r="7116" spans="1:9" x14ac:dyDescent="0.25">
      <c r="A7116" s="140" t="s">
        <v>40</v>
      </c>
      <c r="B7116" s="26">
        <v>44189</v>
      </c>
      <c r="C7116" s="4">
        <v>276</v>
      </c>
      <c r="D7116" s="29">
        <f t="shared" si="571"/>
        <v>9195</v>
      </c>
      <c r="E7116" s="4">
        <v>0</v>
      </c>
      <c r="F7116" s="129">
        <f t="shared" si="572"/>
        <v>116</v>
      </c>
    </row>
    <row r="7117" spans="1:9" x14ac:dyDescent="0.25">
      <c r="A7117" s="140" t="s">
        <v>28</v>
      </c>
      <c r="B7117" s="26">
        <v>44189</v>
      </c>
      <c r="C7117" s="4">
        <v>10</v>
      </c>
      <c r="D7117" s="29">
        <f t="shared" si="571"/>
        <v>9050</v>
      </c>
      <c r="E7117" s="4">
        <v>13</v>
      </c>
      <c r="F7117" s="129">
        <f t="shared" si="572"/>
        <v>374</v>
      </c>
    </row>
    <row r="7118" spans="1:9" x14ac:dyDescent="0.25">
      <c r="A7118" s="140" t="s">
        <v>24</v>
      </c>
      <c r="B7118" s="26">
        <v>44189</v>
      </c>
      <c r="C7118" s="4">
        <v>111</v>
      </c>
      <c r="D7118" s="29">
        <f t="shared" si="571"/>
        <v>59483</v>
      </c>
      <c r="E7118" s="4">
        <v>0</v>
      </c>
      <c r="F7118" s="129">
        <f t="shared" si="572"/>
        <v>1219</v>
      </c>
    </row>
    <row r="7119" spans="1:9" x14ac:dyDescent="0.25">
      <c r="A7119" s="140" t="s">
        <v>30</v>
      </c>
      <c r="B7119" s="26">
        <v>44189</v>
      </c>
      <c r="C7119" s="4">
        <v>4</v>
      </c>
      <c r="D7119" s="29">
        <f t="shared" si="571"/>
        <v>900</v>
      </c>
      <c r="E7119" s="4">
        <v>0</v>
      </c>
      <c r="F7119" s="129">
        <f t="shared" si="572"/>
        <v>11</v>
      </c>
    </row>
    <row r="7120" spans="1:9" x14ac:dyDescent="0.25">
      <c r="A7120" s="140" t="s">
        <v>26</v>
      </c>
      <c r="B7120" s="26">
        <v>44189</v>
      </c>
      <c r="C7120" s="4">
        <v>225</v>
      </c>
      <c r="D7120" s="29">
        <f t="shared" si="571"/>
        <v>39102</v>
      </c>
      <c r="E7120" s="4">
        <v>0</v>
      </c>
      <c r="F7120" s="129">
        <f t="shared" si="572"/>
        <v>690</v>
      </c>
    </row>
    <row r="7121" spans="1:6" x14ac:dyDescent="0.25">
      <c r="A7121" s="140" t="s">
        <v>25</v>
      </c>
      <c r="B7121" s="26">
        <v>44189</v>
      </c>
      <c r="C7121" s="4">
        <v>234</v>
      </c>
      <c r="D7121" s="29">
        <f t="shared" si="571"/>
        <v>36862</v>
      </c>
      <c r="E7121" s="4">
        <v>3</v>
      </c>
      <c r="F7121" s="129">
        <f t="shared" si="572"/>
        <v>880</v>
      </c>
    </row>
    <row r="7122" spans="1:6" x14ac:dyDescent="0.25">
      <c r="A7122" s="140" t="s">
        <v>41</v>
      </c>
      <c r="B7122" s="26">
        <v>44189</v>
      </c>
      <c r="C7122" s="4">
        <v>67</v>
      </c>
      <c r="D7122" s="29">
        <f t="shared" si="571"/>
        <v>22134</v>
      </c>
      <c r="E7122" s="4">
        <v>1</v>
      </c>
      <c r="F7122" s="129">
        <f t="shared" si="572"/>
        <v>1028</v>
      </c>
    </row>
    <row r="7123" spans="1:6" x14ac:dyDescent="0.25">
      <c r="A7123" s="140" t="s">
        <v>42</v>
      </c>
      <c r="B7123" s="26">
        <v>44189</v>
      </c>
      <c r="C7123" s="4">
        <v>64</v>
      </c>
      <c r="D7123" s="29">
        <f t="shared" si="571"/>
        <v>10876</v>
      </c>
      <c r="E7123" s="4">
        <v>0</v>
      </c>
      <c r="F7123" s="129">
        <f t="shared" si="572"/>
        <v>196</v>
      </c>
    </row>
    <row r="7124" spans="1:6" x14ac:dyDescent="0.25">
      <c r="A7124" s="140" t="s">
        <v>43</v>
      </c>
      <c r="B7124" s="26">
        <v>44189</v>
      </c>
      <c r="C7124" s="4">
        <v>22</v>
      </c>
      <c r="D7124" s="29">
        <f t="shared" si="571"/>
        <v>15985</v>
      </c>
      <c r="E7124" s="4">
        <v>1</v>
      </c>
      <c r="F7124" s="129">
        <f t="shared" si="572"/>
        <v>293</v>
      </c>
    </row>
    <row r="7125" spans="1:6" x14ac:dyDescent="0.25">
      <c r="A7125" s="140" t="s">
        <v>44</v>
      </c>
      <c r="B7125" s="26">
        <v>44189</v>
      </c>
      <c r="C7125" s="4">
        <v>290</v>
      </c>
      <c r="D7125" s="29">
        <f t="shared" si="571"/>
        <v>21746</v>
      </c>
      <c r="E7125" s="4">
        <v>2</v>
      </c>
      <c r="F7125" s="129">
        <f t="shared" si="572"/>
        <v>362</v>
      </c>
    </row>
    <row r="7126" spans="1:6" x14ac:dyDescent="0.25">
      <c r="A7126" s="140" t="s">
        <v>29</v>
      </c>
      <c r="B7126" s="26">
        <v>44189</v>
      </c>
      <c r="C7126" s="4">
        <v>1038</v>
      </c>
      <c r="D7126" s="29">
        <f t="shared" si="571"/>
        <v>170713</v>
      </c>
      <c r="E7126" s="4">
        <v>13</v>
      </c>
      <c r="F7126" s="129">
        <f t="shared" si="572"/>
        <v>2810</v>
      </c>
    </row>
    <row r="7127" spans="1:6" x14ac:dyDescent="0.25">
      <c r="A7127" s="140" t="s">
        <v>45</v>
      </c>
      <c r="B7127" s="26">
        <v>44189</v>
      </c>
      <c r="C7127" s="4">
        <v>73</v>
      </c>
      <c r="D7127" s="29">
        <f t="shared" si="571"/>
        <v>16955</v>
      </c>
      <c r="E7127" s="4">
        <v>0</v>
      </c>
      <c r="F7127" s="129">
        <f t="shared" si="572"/>
        <v>214</v>
      </c>
    </row>
    <row r="7128" spans="1:6" x14ac:dyDescent="0.25">
      <c r="A7128" s="140" t="s">
        <v>46</v>
      </c>
      <c r="B7128" s="26">
        <v>44189</v>
      </c>
      <c r="C7128" s="4">
        <v>71</v>
      </c>
      <c r="D7128" s="29">
        <f t="shared" si="571"/>
        <v>18436</v>
      </c>
      <c r="E7128" s="4">
        <v>0</v>
      </c>
      <c r="F7128" s="129">
        <f t="shared" si="572"/>
        <v>246</v>
      </c>
    </row>
    <row r="7129" spans="1:6" ht="15.75" thickBot="1" x14ac:dyDescent="0.3">
      <c r="A7129" s="141" t="s">
        <v>47</v>
      </c>
      <c r="B7129" s="26">
        <v>44189</v>
      </c>
      <c r="C7129" s="4">
        <v>113</v>
      </c>
      <c r="D7129" s="132">
        <f t="shared" si="571"/>
        <v>70256</v>
      </c>
      <c r="E7129" s="4">
        <v>1</v>
      </c>
      <c r="F7129" s="130">
        <f t="shared" si="572"/>
        <v>1334</v>
      </c>
    </row>
    <row r="7130" spans="1:6" x14ac:dyDescent="0.25">
      <c r="A7130" s="64" t="s">
        <v>22</v>
      </c>
      <c r="B7130" s="26">
        <v>44190</v>
      </c>
      <c r="C7130" s="4">
        <v>1102</v>
      </c>
      <c r="D7130" s="131">
        <f t="shared" si="571"/>
        <v>664651</v>
      </c>
      <c r="E7130" s="4">
        <v>2</v>
      </c>
      <c r="F7130" s="128">
        <f t="shared" si="572"/>
        <v>21974</v>
      </c>
    </row>
    <row r="7131" spans="1:6" x14ac:dyDescent="0.25">
      <c r="A7131" s="140" t="s">
        <v>20</v>
      </c>
      <c r="B7131" s="26">
        <v>44190</v>
      </c>
      <c r="C7131" s="4">
        <v>411</v>
      </c>
      <c r="D7131" s="29">
        <f t="shared" si="571"/>
        <v>169224</v>
      </c>
      <c r="E7131" s="4">
        <v>12</v>
      </c>
      <c r="F7131" s="129">
        <f t="shared" si="572"/>
        <v>5413</v>
      </c>
    </row>
    <row r="7132" spans="1:6" x14ac:dyDescent="0.25">
      <c r="A7132" s="140" t="s">
        <v>35</v>
      </c>
      <c r="B7132" s="26">
        <v>44190</v>
      </c>
      <c r="C7132" s="4">
        <v>14</v>
      </c>
      <c r="D7132" s="29">
        <f t="shared" si="571"/>
        <v>2507</v>
      </c>
      <c r="E7132" s="4">
        <v>0</v>
      </c>
      <c r="F7132" s="129">
        <f t="shared" si="572"/>
        <v>17</v>
      </c>
    </row>
    <row r="7133" spans="1:6" x14ac:dyDescent="0.25">
      <c r="A7133" s="140" t="s">
        <v>21</v>
      </c>
      <c r="B7133" s="26">
        <v>44190</v>
      </c>
      <c r="C7133" s="4">
        <v>90</v>
      </c>
      <c r="D7133" s="29">
        <f t="shared" si="571"/>
        <v>23714</v>
      </c>
      <c r="E7133" s="4">
        <v>7</v>
      </c>
      <c r="F7133" s="129">
        <f t="shared" si="572"/>
        <v>666</v>
      </c>
    </row>
    <row r="7134" spans="1:6" x14ac:dyDescent="0.25">
      <c r="A7134" s="140" t="s">
        <v>36</v>
      </c>
      <c r="B7134" s="26">
        <v>44190</v>
      </c>
      <c r="C7134" s="4">
        <v>48</v>
      </c>
      <c r="D7134" s="29">
        <f t="shared" si="571"/>
        <v>29511</v>
      </c>
      <c r="E7134" s="4">
        <v>0</v>
      </c>
      <c r="F7134" s="129">
        <f t="shared" si="572"/>
        <v>486</v>
      </c>
    </row>
    <row r="7135" spans="1:6" x14ac:dyDescent="0.25">
      <c r="A7135" s="140" t="s">
        <v>27</v>
      </c>
      <c r="B7135" s="26">
        <v>44190</v>
      </c>
      <c r="C7135" s="4">
        <v>158</v>
      </c>
      <c r="D7135" s="29">
        <f t="shared" si="571"/>
        <v>124703</v>
      </c>
      <c r="E7135" s="4">
        <v>3</v>
      </c>
      <c r="F7135" s="129">
        <f t="shared" si="572"/>
        <v>2448</v>
      </c>
    </row>
    <row r="7136" spans="1:6" x14ac:dyDescent="0.25">
      <c r="A7136" s="140" t="s">
        <v>37</v>
      </c>
      <c r="B7136" s="26">
        <v>44190</v>
      </c>
      <c r="C7136" s="4">
        <v>35</v>
      </c>
      <c r="D7136" s="29">
        <f t="shared" si="571"/>
        <v>11124</v>
      </c>
      <c r="E7136" s="4">
        <v>0</v>
      </c>
      <c r="F7136" s="129">
        <f t="shared" si="572"/>
        <v>154</v>
      </c>
    </row>
    <row r="7137" spans="1:6" x14ac:dyDescent="0.25">
      <c r="A7137" s="140" t="s">
        <v>38</v>
      </c>
      <c r="B7137" s="26">
        <v>44190</v>
      </c>
      <c r="C7137" s="4">
        <v>134</v>
      </c>
      <c r="D7137" s="29">
        <f t="shared" si="571"/>
        <v>27838</v>
      </c>
      <c r="E7137" s="4">
        <v>0</v>
      </c>
      <c r="F7137" s="129">
        <f t="shared" si="572"/>
        <v>571</v>
      </c>
    </row>
    <row r="7138" spans="1:6" x14ac:dyDescent="0.25">
      <c r="A7138" s="140" t="s">
        <v>48</v>
      </c>
      <c r="B7138" s="26">
        <v>44190</v>
      </c>
      <c r="C7138" s="4">
        <v>0</v>
      </c>
      <c r="D7138" s="29">
        <f t="shared" si="571"/>
        <v>213</v>
      </c>
      <c r="E7138" s="4">
        <v>0</v>
      </c>
      <c r="F7138" s="129">
        <f t="shared" si="572"/>
        <v>3</v>
      </c>
    </row>
    <row r="7139" spans="1:6" x14ac:dyDescent="0.25">
      <c r="A7139" s="140" t="s">
        <v>39</v>
      </c>
      <c r="B7139" s="26">
        <v>44190</v>
      </c>
      <c r="C7139" s="4">
        <v>4</v>
      </c>
      <c r="D7139" s="29">
        <f t="shared" ref="D7139:D7201" si="573">C7139+D7115</f>
        <v>18498</v>
      </c>
      <c r="E7139" s="4">
        <v>0</v>
      </c>
      <c r="F7139" s="129">
        <f t="shared" ref="F7139:F7201" si="574">E7139+F7115</f>
        <v>857</v>
      </c>
    </row>
    <row r="7140" spans="1:6" x14ac:dyDescent="0.25">
      <c r="A7140" s="140" t="s">
        <v>40</v>
      </c>
      <c r="B7140" s="26">
        <v>44190</v>
      </c>
      <c r="C7140" s="4">
        <v>140</v>
      </c>
      <c r="D7140" s="29">
        <f t="shared" si="573"/>
        <v>9335</v>
      </c>
      <c r="E7140" s="4">
        <v>0</v>
      </c>
      <c r="F7140" s="129">
        <f t="shared" si="574"/>
        <v>116</v>
      </c>
    </row>
    <row r="7141" spans="1:6" x14ac:dyDescent="0.25">
      <c r="A7141" s="140" t="s">
        <v>28</v>
      </c>
      <c r="B7141" s="26">
        <v>44190</v>
      </c>
      <c r="C7141" s="4">
        <v>7</v>
      </c>
      <c r="D7141" s="29">
        <f t="shared" si="573"/>
        <v>9057</v>
      </c>
      <c r="E7141" s="4">
        <v>5</v>
      </c>
      <c r="F7141" s="129">
        <f t="shared" si="574"/>
        <v>379</v>
      </c>
    </row>
    <row r="7142" spans="1:6" x14ac:dyDescent="0.25">
      <c r="A7142" s="140" t="s">
        <v>24</v>
      </c>
      <c r="B7142" s="26">
        <v>44190</v>
      </c>
      <c r="C7142" s="4">
        <v>22</v>
      </c>
      <c r="D7142" s="29">
        <f t="shared" si="573"/>
        <v>59505</v>
      </c>
      <c r="E7142" s="4">
        <v>0</v>
      </c>
      <c r="F7142" s="129">
        <f t="shared" si="574"/>
        <v>1219</v>
      </c>
    </row>
    <row r="7143" spans="1:6" x14ac:dyDescent="0.25">
      <c r="A7143" s="140" t="s">
        <v>30</v>
      </c>
      <c r="B7143" s="26">
        <v>44190</v>
      </c>
      <c r="C7143" s="4">
        <v>45</v>
      </c>
      <c r="D7143" s="29">
        <f t="shared" si="573"/>
        <v>945</v>
      </c>
      <c r="E7143" s="4">
        <v>0</v>
      </c>
      <c r="F7143" s="129">
        <f t="shared" si="574"/>
        <v>11</v>
      </c>
    </row>
    <row r="7144" spans="1:6" x14ac:dyDescent="0.25">
      <c r="A7144" s="140" t="s">
        <v>26</v>
      </c>
      <c r="B7144" s="26">
        <v>44190</v>
      </c>
      <c r="C7144" s="4">
        <v>79</v>
      </c>
      <c r="D7144" s="29">
        <f t="shared" si="573"/>
        <v>39181</v>
      </c>
      <c r="E7144" s="4">
        <v>0</v>
      </c>
      <c r="F7144" s="129">
        <f t="shared" si="574"/>
        <v>690</v>
      </c>
    </row>
    <row r="7145" spans="1:6" x14ac:dyDescent="0.25">
      <c r="A7145" s="140" t="s">
        <v>25</v>
      </c>
      <c r="B7145" s="26">
        <v>44190</v>
      </c>
      <c r="C7145" s="4">
        <v>89</v>
      </c>
      <c r="D7145" s="29">
        <f t="shared" si="573"/>
        <v>36951</v>
      </c>
      <c r="E7145" s="4">
        <v>1</v>
      </c>
      <c r="F7145" s="129">
        <f t="shared" si="574"/>
        <v>881</v>
      </c>
    </row>
    <row r="7146" spans="1:6" x14ac:dyDescent="0.25">
      <c r="A7146" s="140" t="s">
        <v>41</v>
      </c>
      <c r="B7146" s="26">
        <v>44190</v>
      </c>
      <c r="C7146" s="4">
        <v>12</v>
      </c>
      <c r="D7146" s="29">
        <f t="shared" si="573"/>
        <v>22146</v>
      </c>
      <c r="E7146" s="4">
        <v>0</v>
      </c>
      <c r="F7146" s="129">
        <f t="shared" si="574"/>
        <v>1028</v>
      </c>
    </row>
    <row r="7147" spans="1:6" x14ac:dyDescent="0.25">
      <c r="A7147" s="140" t="s">
        <v>42</v>
      </c>
      <c r="B7147" s="26">
        <v>44190</v>
      </c>
      <c r="C7147" s="4">
        <v>2</v>
      </c>
      <c r="D7147" s="29">
        <f t="shared" si="573"/>
        <v>10878</v>
      </c>
      <c r="E7147" s="4">
        <v>0</v>
      </c>
      <c r="F7147" s="129">
        <f t="shared" si="574"/>
        <v>196</v>
      </c>
    </row>
    <row r="7148" spans="1:6" x14ac:dyDescent="0.25">
      <c r="A7148" s="140" t="s">
        <v>43</v>
      </c>
      <c r="B7148" s="26">
        <v>44190</v>
      </c>
      <c r="C7148" s="4">
        <v>3</v>
      </c>
      <c r="D7148" s="29">
        <f t="shared" si="573"/>
        <v>15988</v>
      </c>
      <c r="E7148" s="4">
        <v>0</v>
      </c>
      <c r="F7148" s="129">
        <f t="shared" si="574"/>
        <v>293</v>
      </c>
    </row>
    <row r="7149" spans="1:6" x14ac:dyDescent="0.25">
      <c r="A7149" s="140" t="s">
        <v>44</v>
      </c>
      <c r="B7149" s="26">
        <v>44190</v>
      </c>
      <c r="C7149" s="4">
        <v>92</v>
      </c>
      <c r="D7149" s="29">
        <f t="shared" si="573"/>
        <v>21838</v>
      </c>
      <c r="E7149" s="4">
        <v>0</v>
      </c>
      <c r="F7149" s="129">
        <f t="shared" si="574"/>
        <v>362</v>
      </c>
    </row>
    <row r="7150" spans="1:6" x14ac:dyDescent="0.25">
      <c r="A7150" s="140" t="s">
        <v>29</v>
      </c>
      <c r="B7150" s="26">
        <v>44190</v>
      </c>
      <c r="C7150" s="4">
        <v>228</v>
      </c>
      <c r="D7150" s="29">
        <f t="shared" si="573"/>
        <v>170941</v>
      </c>
      <c r="E7150" s="4">
        <v>0</v>
      </c>
      <c r="F7150" s="129">
        <f t="shared" si="574"/>
        <v>2810</v>
      </c>
    </row>
    <row r="7151" spans="1:6" x14ac:dyDescent="0.25">
      <c r="A7151" s="140" t="s">
        <v>45</v>
      </c>
      <c r="B7151" s="26">
        <v>44190</v>
      </c>
      <c r="C7151" s="4">
        <v>45</v>
      </c>
      <c r="D7151" s="29">
        <f t="shared" si="573"/>
        <v>17000</v>
      </c>
      <c r="E7151" s="4">
        <v>0</v>
      </c>
      <c r="F7151" s="129">
        <f t="shared" si="574"/>
        <v>214</v>
      </c>
    </row>
    <row r="7152" spans="1:6" x14ac:dyDescent="0.25">
      <c r="A7152" s="140" t="s">
        <v>46</v>
      </c>
      <c r="B7152" s="26">
        <v>44190</v>
      </c>
      <c r="C7152" s="4">
        <v>91</v>
      </c>
      <c r="D7152" s="29">
        <f t="shared" si="573"/>
        <v>18527</v>
      </c>
      <c r="E7152" s="4">
        <v>0</v>
      </c>
      <c r="F7152" s="129">
        <f t="shared" si="574"/>
        <v>246</v>
      </c>
    </row>
    <row r="7153" spans="1:9" ht="15.75" thickBot="1" x14ac:dyDescent="0.3">
      <c r="A7153" s="141" t="s">
        <v>47</v>
      </c>
      <c r="B7153" s="26">
        <v>44190</v>
      </c>
      <c r="C7153" s="4">
        <v>23</v>
      </c>
      <c r="D7153" s="132">
        <f t="shared" si="573"/>
        <v>70279</v>
      </c>
      <c r="E7153" s="4">
        <v>0</v>
      </c>
      <c r="F7153" s="130">
        <f t="shared" si="574"/>
        <v>1334</v>
      </c>
    </row>
    <row r="7154" spans="1:9" x14ac:dyDescent="0.25">
      <c r="A7154" s="64" t="s">
        <v>22</v>
      </c>
      <c r="B7154" s="26">
        <v>44191</v>
      </c>
      <c r="C7154" s="4">
        <v>1343</v>
      </c>
      <c r="D7154" s="131">
        <f t="shared" si="573"/>
        <v>665994</v>
      </c>
      <c r="E7154" s="4">
        <v>39</v>
      </c>
      <c r="F7154" s="128">
        <f t="shared" si="574"/>
        <v>22013</v>
      </c>
    </row>
    <row r="7155" spans="1:9" x14ac:dyDescent="0.25">
      <c r="A7155" s="140" t="s">
        <v>20</v>
      </c>
      <c r="B7155" s="26">
        <v>44191</v>
      </c>
      <c r="C7155" s="4">
        <v>375</v>
      </c>
      <c r="D7155" s="29">
        <f t="shared" si="573"/>
        <v>169599</v>
      </c>
      <c r="E7155" s="4">
        <v>2</v>
      </c>
      <c r="F7155" s="129">
        <f t="shared" si="574"/>
        <v>5415</v>
      </c>
      <c r="I7155" s="88"/>
    </row>
    <row r="7156" spans="1:9" x14ac:dyDescent="0.25">
      <c r="A7156" s="140" t="s">
        <v>35</v>
      </c>
      <c r="B7156" s="26">
        <v>44191</v>
      </c>
      <c r="C7156" s="4">
        <v>23</v>
      </c>
      <c r="D7156" s="29">
        <f t="shared" si="573"/>
        <v>2530</v>
      </c>
      <c r="E7156" s="4">
        <v>0</v>
      </c>
      <c r="F7156" s="129">
        <f t="shared" si="574"/>
        <v>17</v>
      </c>
      <c r="I7156" s="88"/>
    </row>
    <row r="7157" spans="1:9" x14ac:dyDescent="0.25">
      <c r="A7157" s="140" t="s">
        <v>21</v>
      </c>
      <c r="B7157" s="26">
        <v>44191</v>
      </c>
      <c r="C7157" s="4">
        <v>63</v>
      </c>
      <c r="D7157" s="29">
        <f t="shared" si="573"/>
        <v>23777</v>
      </c>
      <c r="E7157" s="4">
        <v>4</v>
      </c>
      <c r="F7157" s="129">
        <f t="shared" si="574"/>
        <v>670</v>
      </c>
      <c r="I7157" s="88"/>
    </row>
    <row r="7158" spans="1:9" x14ac:dyDescent="0.25">
      <c r="A7158" s="140" t="s">
        <v>36</v>
      </c>
      <c r="B7158" s="26">
        <v>44191</v>
      </c>
      <c r="C7158" s="4">
        <v>215</v>
      </c>
      <c r="D7158" s="29">
        <f t="shared" si="573"/>
        <v>29726</v>
      </c>
      <c r="E7158" s="4">
        <v>0</v>
      </c>
      <c r="F7158" s="129">
        <f t="shared" si="574"/>
        <v>486</v>
      </c>
      <c r="I7158" s="88"/>
    </row>
    <row r="7159" spans="1:9" x14ac:dyDescent="0.25">
      <c r="A7159" s="140" t="s">
        <v>27</v>
      </c>
      <c r="B7159" s="26">
        <v>44191</v>
      </c>
      <c r="C7159" s="4">
        <v>163</v>
      </c>
      <c r="D7159" s="29">
        <f t="shared" si="573"/>
        <v>124866</v>
      </c>
      <c r="E7159" s="4">
        <v>4</v>
      </c>
      <c r="F7159" s="129">
        <f t="shared" si="574"/>
        <v>2452</v>
      </c>
      <c r="I7159" s="88"/>
    </row>
    <row r="7160" spans="1:9" x14ac:dyDescent="0.25">
      <c r="A7160" s="140" t="s">
        <v>37</v>
      </c>
      <c r="B7160" s="26">
        <v>44191</v>
      </c>
      <c r="C7160" s="4">
        <v>24</v>
      </c>
      <c r="D7160" s="29">
        <f t="shared" si="573"/>
        <v>11148</v>
      </c>
      <c r="E7160" s="4">
        <v>3</v>
      </c>
      <c r="F7160" s="129">
        <f t="shared" si="574"/>
        <v>157</v>
      </c>
      <c r="I7160" s="88"/>
    </row>
    <row r="7161" spans="1:9" x14ac:dyDescent="0.25">
      <c r="A7161" s="140" t="s">
        <v>38</v>
      </c>
      <c r="B7161" s="26">
        <v>44191</v>
      </c>
      <c r="C7161" s="4">
        <v>85</v>
      </c>
      <c r="D7161" s="29">
        <f t="shared" si="573"/>
        <v>27923</v>
      </c>
      <c r="E7161" s="4">
        <v>0</v>
      </c>
      <c r="F7161" s="129">
        <f t="shared" si="574"/>
        <v>571</v>
      </c>
      <c r="I7161" s="88"/>
    </row>
    <row r="7162" spans="1:9" x14ac:dyDescent="0.25">
      <c r="A7162" s="140" t="s">
        <v>48</v>
      </c>
      <c r="B7162" s="26">
        <v>44191</v>
      </c>
      <c r="C7162" s="4">
        <v>0</v>
      </c>
      <c r="D7162" s="29">
        <f t="shared" si="573"/>
        <v>213</v>
      </c>
      <c r="E7162" s="4">
        <v>0</v>
      </c>
      <c r="F7162" s="129">
        <f t="shared" si="574"/>
        <v>3</v>
      </c>
      <c r="I7162" s="88"/>
    </row>
    <row r="7163" spans="1:9" x14ac:dyDescent="0.25">
      <c r="A7163" s="140" t="s">
        <v>39</v>
      </c>
      <c r="B7163" s="26">
        <v>44191</v>
      </c>
      <c r="C7163" s="4">
        <v>2</v>
      </c>
      <c r="D7163" s="29">
        <f t="shared" si="573"/>
        <v>18500</v>
      </c>
      <c r="E7163" s="4">
        <v>0</v>
      </c>
      <c r="F7163" s="129">
        <f t="shared" si="574"/>
        <v>857</v>
      </c>
      <c r="I7163" s="88"/>
    </row>
    <row r="7164" spans="1:9" x14ac:dyDescent="0.25">
      <c r="A7164" s="140" t="s">
        <v>40</v>
      </c>
      <c r="B7164" s="26">
        <v>44191</v>
      </c>
      <c r="C7164" s="4">
        <v>182</v>
      </c>
      <c r="D7164" s="29">
        <f t="shared" si="573"/>
        <v>9517</v>
      </c>
      <c r="E7164" s="4">
        <v>0</v>
      </c>
      <c r="F7164" s="129">
        <f t="shared" si="574"/>
        <v>116</v>
      </c>
      <c r="I7164" s="88"/>
    </row>
    <row r="7165" spans="1:9" x14ac:dyDescent="0.25">
      <c r="A7165" s="140" t="s">
        <v>28</v>
      </c>
      <c r="B7165" s="26">
        <v>44191</v>
      </c>
      <c r="C7165" s="4">
        <v>4</v>
      </c>
      <c r="D7165" s="29">
        <f t="shared" si="573"/>
        <v>9061</v>
      </c>
      <c r="E7165" s="4">
        <v>6</v>
      </c>
      <c r="F7165" s="129">
        <f t="shared" si="574"/>
        <v>385</v>
      </c>
      <c r="I7165" s="88"/>
    </row>
    <row r="7166" spans="1:9" x14ac:dyDescent="0.25">
      <c r="A7166" s="140" t="s">
        <v>24</v>
      </c>
      <c r="B7166" s="26">
        <v>44191</v>
      </c>
      <c r="C7166" s="4">
        <v>53</v>
      </c>
      <c r="D7166" s="29">
        <f t="shared" si="573"/>
        <v>59558</v>
      </c>
      <c r="E7166" s="4">
        <v>1</v>
      </c>
      <c r="F7166" s="129">
        <f t="shared" si="574"/>
        <v>1220</v>
      </c>
      <c r="I7166" s="88"/>
    </row>
    <row r="7167" spans="1:9" x14ac:dyDescent="0.25">
      <c r="A7167" s="140" t="s">
        <v>30</v>
      </c>
      <c r="B7167" s="26">
        <v>44191</v>
      </c>
      <c r="C7167" s="4">
        <v>43</v>
      </c>
      <c r="D7167" s="29">
        <f t="shared" si="573"/>
        <v>988</v>
      </c>
      <c r="E7167" s="4">
        <v>0</v>
      </c>
      <c r="F7167" s="129">
        <f t="shared" si="574"/>
        <v>11</v>
      </c>
      <c r="I7167" s="88"/>
    </row>
    <row r="7168" spans="1:9" x14ac:dyDescent="0.25">
      <c r="A7168" s="140" t="s">
        <v>26</v>
      </c>
      <c r="B7168" s="26">
        <v>44191</v>
      </c>
      <c r="C7168" s="4">
        <v>102</v>
      </c>
      <c r="D7168" s="29">
        <f t="shared" si="573"/>
        <v>39283</v>
      </c>
      <c r="E7168" s="4">
        <v>0</v>
      </c>
      <c r="F7168" s="129">
        <f t="shared" si="574"/>
        <v>690</v>
      </c>
      <c r="I7168" s="88"/>
    </row>
    <row r="7169" spans="1:9" x14ac:dyDescent="0.25">
      <c r="A7169" s="140" t="s">
        <v>25</v>
      </c>
      <c r="B7169" s="26">
        <v>44191</v>
      </c>
      <c r="C7169" s="4">
        <v>163</v>
      </c>
      <c r="D7169" s="29">
        <f t="shared" si="573"/>
        <v>37114</v>
      </c>
      <c r="E7169" s="4">
        <v>2</v>
      </c>
      <c r="F7169" s="129">
        <f t="shared" si="574"/>
        <v>883</v>
      </c>
      <c r="I7169" s="88"/>
    </row>
    <row r="7170" spans="1:9" x14ac:dyDescent="0.25">
      <c r="A7170" s="140" t="s">
        <v>41</v>
      </c>
      <c r="B7170" s="26">
        <v>44191</v>
      </c>
      <c r="C7170" s="4">
        <v>25</v>
      </c>
      <c r="D7170" s="29">
        <f t="shared" si="573"/>
        <v>22171</v>
      </c>
      <c r="E7170" s="4">
        <v>0</v>
      </c>
      <c r="F7170" s="129">
        <f t="shared" si="574"/>
        <v>1028</v>
      </c>
      <c r="I7170" s="88"/>
    </row>
    <row r="7171" spans="1:9" x14ac:dyDescent="0.25">
      <c r="A7171" s="140" t="s">
        <v>42</v>
      </c>
      <c r="B7171" s="26">
        <v>44191</v>
      </c>
      <c r="C7171" s="4">
        <v>12</v>
      </c>
      <c r="D7171" s="29">
        <f t="shared" si="573"/>
        <v>10890</v>
      </c>
      <c r="E7171" s="4">
        <v>0</v>
      </c>
      <c r="F7171" s="129">
        <f t="shared" si="574"/>
        <v>196</v>
      </c>
      <c r="I7171" s="88"/>
    </row>
    <row r="7172" spans="1:9" x14ac:dyDescent="0.25">
      <c r="A7172" s="140" t="s">
        <v>43</v>
      </c>
      <c r="B7172" s="26">
        <v>44191</v>
      </c>
      <c r="C7172" s="4">
        <v>6</v>
      </c>
      <c r="D7172" s="29">
        <f t="shared" si="573"/>
        <v>15994</v>
      </c>
      <c r="E7172" s="4">
        <v>0</v>
      </c>
      <c r="F7172" s="129">
        <f t="shared" si="574"/>
        <v>293</v>
      </c>
      <c r="I7172" s="88"/>
    </row>
    <row r="7173" spans="1:9" x14ac:dyDescent="0.25">
      <c r="A7173" s="140" t="s">
        <v>44</v>
      </c>
      <c r="B7173" s="26">
        <v>44191</v>
      </c>
      <c r="C7173" s="4">
        <v>159</v>
      </c>
      <c r="D7173" s="29">
        <f t="shared" si="573"/>
        <v>21997</v>
      </c>
      <c r="E7173" s="4">
        <v>1</v>
      </c>
      <c r="F7173" s="129">
        <f t="shared" si="574"/>
        <v>363</v>
      </c>
      <c r="I7173" s="88"/>
    </row>
    <row r="7174" spans="1:9" x14ac:dyDescent="0.25">
      <c r="A7174" s="140" t="s">
        <v>29</v>
      </c>
      <c r="B7174" s="26">
        <v>44191</v>
      </c>
      <c r="C7174" s="4">
        <v>423</v>
      </c>
      <c r="D7174" s="29">
        <f t="shared" si="573"/>
        <v>171364</v>
      </c>
      <c r="E7174" s="4">
        <v>17</v>
      </c>
      <c r="F7174" s="129">
        <f t="shared" si="574"/>
        <v>2827</v>
      </c>
      <c r="I7174" s="88"/>
    </row>
    <row r="7175" spans="1:9" x14ac:dyDescent="0.25">
      <c r="A7175" s="140" t="s">
        <v>45</v>
      </c>
      <c r="B7175" s="26">
        <v>44191</v>
      </c>
      <c r="C7175" s="4">
        <v>47</v>
      </c>
      <c r="D7175" s="29">
        <f t="shared" si="573"/>
        <v>17047</v>
      </c>
      <c r="E7175" s="4">
        <v>0</v>
      </c>
      <c r="F7175" s="129">
        <f t="shared" si="574"/>
        <v>214</v>
      </c>
      <c r="I7175" s="88"/>
    </row>
    <row r="7176" spans="1:9" x14ac:dyDescent="0.25">
      <c r="A7176" s="140" t="s">
        <v>46</v>
      </c>
      <c r="B7176" s="26">
        <v>44191</v>
      </c>
      <c r="C7176" s="4">
        <v>124</v>
      </c>
      <c r="D7176" s="29">
        <f t="shared" si="573"/>
        <v>18651</v>
      </c>
      <c r="E7176" s="4">
        <v>0</v>
      </c>
      <c r="F7176" s="129">
        <f t="shared" si="574"/>
        <v>246</v>
      </c>
      <c r="I7176" s="88"/>
    </row>
    <row r="7177" spans="1:9" ht="15.75" thickBot="1" x14ac:dyDescent="0.3">
      <c r="A7177" s="141" t="s">
        <v>47</v>
      </c>
      <c r="B7177" s="26">
        <v>44191</v>
      </c>
      <c r="C7177" s="4">
        <v>77</v>
      </c>
      <c r="D7177" s="132">
        <f t="shared" si="573"/>
        <v>70356</v>
      </c>
      <c r="E7177" s="4">
        <v>0</v>
      </c>
      <c r="F7177" s="130">
        <f t="shared" si="574"/>
        <v>1334</v>
      </c>
      <c r="I7177" s="88"/>
    </row>
    <row r="7178" spans="1:9" x14ac:dyDescent="0.25">
      <c r="A7178" s="64" t="s">
        <v>22</v>
      </c>
      <c r="B7178" s="26">
        <v>44192</v>
      </c>
      <c r="C7178" s="4">
        <v>1996</v>
      </c>
      <c r="D7178" s="131">
        <f t="shared" si="573"/>
        <v>667990</v>
      </c>
      <c r="E7178" s="4">
        <v>110</v>
      </c>
      <c r="F7178" s="128">
        <f t="shared" si="574"/>
        <v>22123</v>
      </c>
      <c r="I7178" s="88"/>
    </row>
    <row r="7179" spans="1:9" x14ac:dyDescent="0.25">
      <c r="A7179" s="140" t="s">
        <v>20</v>
      </c>
      <c r="B7179" s="26">
        <v>44192</v>
      </c>
      <c r="C7179" s="4">
        <v>728</v>
      </c>
      <c r="D7179" s="29">
        <f t="shared" si="573"/>
        <v>170327</v>
      </c>
      <c r="E7179" s="4">
        <v>3</v>
      </c>
      <c r="F7179" s="129">
        <f t="shared" si="574"/>
        <v>5418</v>
      </c>
      <c r="I7179" s="88"/>
    </row>
    <row r="7180" spans="1:9" x14ac:dyDescent="0.25">
      <c r="A7180" s="140" t="s">
        <v>35</v>
      </c>
      <c r="B7180" s="26">
        <v>44192</v>
      </c>
      <c r="C7180" s="4">
        <v>46</v>
      </c>
      <c r="D7180" s="29">
        <f t="shared" si="573"/>
        <v>2576</v>
      </c>
      <c r="E7180" s="4">
        <v>0</v>
      </c>
      <c r="F7180" s="129">
        <f t="shared" si="574"/>
        <v>17</v>
      </c>
      <c r="I7180" s="88"/>
    </row>
    <row r="7181" spans="1:9" x14ac:dyDescent="0.25">
      <c r="A7181" s="140" t="s">
        <v>21</v>
      </c>
      <c r="B7181" s="26">
        <v>44192</v>
      </c>
      <c r="C7181" s="4">
        <v>70</v>
      </c>
      <c r="D7181" s="29">
        <f t="shared" si="573"/>
        <v>23847</v>
      </c>
      <c r="E7181" s="4">
        <v>1</v>
      </c>
      <c r="F7181" s="129">
        <f t="shared" si="574"/>
        <v>671</v>
      </c>
      <c r="I7181" s="88"/>
    </row>
    <row r="7182" spans="1:9" x14ac:dyDescent="0.25">
      <c r="A7182" s="140" t="s">
        <v>36</v>
      </c>
      <c r="B7182" s="26">
        <v>44192</v>
      </c>
      <c r="C7182" s="4">
        <v>155</v>
      </c>
      <c r="D7182" s="29">
        <f t="shared" si="573"/>
        <v>29881</v>
      </c>
      <c r="E7182" s="4">
        <v>1</v>
      </c>
      <c r="F7182" s="129">
        <f t="shared" si="574"/>
        <v>487</v>
      </c>
      <c r="I7182" s="88"/>
    </row>
    <row r="7183" spans="1:9" x14ac:dyDescent="0.25">
      <c r="A7183" s="140" t="s">
        <v>27</v>
      </c>
      <c r="B7183" s="26">
        <v>44192</v>
      </c>
      <c r="C7183" s="4">
        <v>227</v>
      </c>
      <c r="D7183" s="29">
        <f t="shared" si="573"/>
        <v>125093</v>
      </c>
      <c r="E7183" s="4">
        <v>0</v>
      </c>
      <c r="F7183" s="129">
        <f t="shared" si="574"/>
        <v>2452</v>
      </c>
      <c r="I7183" s="88"/>
    </row>
    <row r="7184" spans="1:9" x14ac:dyDescent="0.25">
      <c r="A7184" s="140" t="s">
        <v>37</v>
      </c>
      <c r="B7184" s="26">
        <v>44192</v>
      </c>
      <c r="C7184" s="4">
        <v>235</v>
      </c>
      <c r="D7184" s="29">
        <f t="shared" si="573"/>
        <v>11383</v>
      </c>
      <c r="E7184" s="4">
        <v>0</v>
      </c>
      <c r="F7184" s="129">
        <f t="shared" si="574"/>
        <v>157</v>
      </c>
      <c r="I7184" s="88"/>
    </row>
    <row r="7185" spans="1:9" x14ac:dyDescent="0.25">
      <c r="A7185" s="140" t="s">
        <v>38</v>
      </c>
      <c r="B7185" s="26">
        <v>44192</v>
      </c>
      <c r="C7185" s="4">
        <v>155</v>
      </c>
      <c r="D7185" s="29">
        <f t="shared" si="573"/>
        <v>28078</v>
      </c>
      <c r="E7185" s="4">
        <v>1</v>
      </c>
      <c r="F7185" s="129">
        <f t="shared" si="574"/>
        <v>572</v>
      </c>
      <c r="I7185" s="88"/>
    </row>
    <row r="7186" spans="1:9" x14ac:dyDescent="0.25">
      <c r="A7186" s="140" t="s">
        <v>48</v>
      </c>
      <c r="B7186" s="26">
        <v>44192</v>
      </c>
      <c r="C7186" s="4">
        <v>1</v>
      </c>
      <c r="D7186" s="29">
        <f t="shared" si="573"/>
        <v>214</v>
      </c>
      <c r="E7186" s="4">
        <v>0</v>
      </c>
      <c r="F7186" s="129">
        <f t="shared" si="574"/>
        <v>3</v>
      </c>
      <c r="I7186" s="88"/>
    </row>
    <row r="7187" spans="1:9" x14ac:dyDescent="0.25">
      <c r="A7187" s="140" t="s">
        <v>39</v>
      </c>
      <c r="B7187" s="26">
        <v>44192</v>
      </c>
      <c r="C7187" s="4">
        <v>6</v>
      </c>
      <c r="D7187" s="29">
        <f t="shared" si="573"/>
        <v>18506</v>
      </c>
      <c r="E7187" s="4">
        <v>0</v>
      </c>
      <c r="F7187" s="129">
        <f t="shared" si="574"/>
        <v>857</v>
      </c>
      <c r="I7187" s="88"/>
    </row>
    <row r="7188" spans="1:9" x14ac:dyDescent="0.25">
      <c r="A7188" s="140" t="s">
        <v>40</v>
      </c>
      <c r="B7188" s="26">
        <v>44192</v>
      </c>
      <c r="C7188" s="4">
        <v>189</v>
      </c>
      <c r="D7188" s="29">
        <f t="shared" si="573"/>
        <v>9706</v>
      </c>
      <c r="E7188" s="4">
        <v>0</v>
      </c>
      <c r="F7188" s="129">
        <f t="shared" si="574"/>
        <v>116</v>
      </c>
      <c r="I7188" s="88"/>
    </row>
    <row r="7189" spans="1:9" x14ac:dyDescent="0.25">
      <c r="A7189" s="140" t="s">
        <v>28</v>
      </c>
      <c r="B7189" s="26">
        <v>44192</v>
      </c>
      <c r="C7189" s="4">
        <v>7</v>
      </c>
      <c r="D7189" s="29">
        <f t="shared" si="573"/>
        <v>9068</v>
      </c>
      <c r="E7189" s="4">
        <v>3</v>
      </c>
      <c r="F7189" s="129">
        <f t="shared" si="574"/>
        <v>388</v>
      </c>
      <c r="I7189" s="88"/>
    </row>
    <row r="7190" spans="1:9" x14ac:dyDescent="0.25">
      <c r="A7190" s="140" t="s">
        <v>24</v>
      </c>
      <c r="B7190" s="26">
        <v>44192</v>
      </c>
      <c r="C7190" s="4">
        <v>51</v>
      </c>
      <c r="D7190" s="29">
        <f t="shared" si="573"/>
        <v>59609</v>
      </c>
      <c r="E7190" s="4">
        <v>0</v>
      </c>
      <c r="F7190" s="129">
        <f t="shared" si="574"/>
        <v>1220</v>
      </c>
      <c r="I7190" s="88"/>
    </row>
    <row r="7191" spans="1:9" x14ac:dyDescent="0.25">
      <c r="A7191" s="140" t="s">
        <v>30</v>
      </c>
      <c r="B7191" s="26">
        <v>44192</v>
      </c>
      <c r="C7191" s="4">
        <v>23</v>
      </c>
      <c r="D7191" s="29">
        <f t="shared" si="573"/>
        <v>1011</v>
      </c>
      <c r="E7191" s="4">
        <v>0</v>
      </c>
      <c r="F7191" s="129">
        <f t="shared" si="574"/>
        <v>11</v>
      </c>
      <c r="I7191" s="88"/>
    </row>
    <row r="7192" spans="1:9" x14ac:dyDescent="0.25">
      <c r="A7192" s="140" t="s">
        <v>26</v>
      </c>
      <c r="B7192" s="26">
        <v>44192</v>
      </c>
      <c r="C7192" s="4">
        <v>82</v>
      </c>
      <c r="D7192" s="29">
        <f t="shared" si="573"/>
        <v>39365</v>
      </c>
      <c r="E7192" s="4">
        <v>0</v>
      </c>
      <c r="F7192" s="129">
        <f t="shared" si="574"/>
        <v>690</v>
      </c>
      <c r="I7192" s="88"/>
    </row>
    <row r="7193" spans="1:9" x14ac:dyDescent="0.25">
      <c r="A7193" s="140" t="s">
        <v>25</v>
      </c>
      <c r="B7193" s="26">
        <v>44192</v>
      </c>
      <c r="C7193" s="4">
        <v>163</v>
      </c>
      <c r="D7193" s="29">
        <f t="shared" si="573"/>
        <v>37277</v>
      </c>
      <c r="E7193" s="4">
        <v>1</v>
      </c>
      <c r="F7193" s="129">
        <f t="shared" si="574"/>
        <v>884</v>
      </c>
      <c r="I7193" s="88"/>
    </row>
    <row r="7194" spans="1:9" x14ac:dyDescent="0.25">
      <c r="A7194" s="140" t="s">
        <v>41</v>
      </c>
      <c r="B7194" s="26">
        <v>44192</v>
      </c>
      <c r="C7194" s="4">
        <v>37</v>
      </c>
      <c r="D7194" s="29">
        <f t="shared" si="573"/>
        <v>22208</v>
      </c>
      <c r="E7194" s="4">
        <v>1</v>
      </c>
      <c r="F7194" s="129">
        <f t="shared" si="574"/>
        <v>1029</v>
      </c>
      <c r="I7194" s="88"/>
    </row>
    <row r="7195" spans="1:9" x14ac:dyDescent="0.25">
      <c r="A7195" s="140" t="s">
        <v>42</v>
      </c>
      <c r="B7195" s="26">
        <v>44192</v>
      </c>
      <c r="C7195" s="4">
        <v>10</v>
      </c>
      <c r="D7195" s="29">
        <f t="shared" si="573"/>
        <v>10900</v>
      </c>
      <c r="E7195" s="4">
        <v>0</v>
      </c>
      <c r="F7195" s="129">
        <f t="shared" si="574"/>
        <v>196</v>
      </c>
      <c r="I7195" s="88"/>
    </row>
    <row r="7196" spans="1:9" x14ac:dyDescent="0.25">
      <c r="A7196" s="140" t="s">
        <v>43</v>
      </c>
      <c r="B7196" s="26">
        <v>44192</v>
      </c>
      <c r="C7196" s="4">
        <v>38</v>
      </c>
      <c r="D7196" s="29">
        <f t="shared" si="573"/>
        <v>16032</v>
      </c>
      <c r="E7196" s="4">
        <v>2</v>
      </c>
      <c r="F7196" s="129">
        <f t="shared" si="574"/>
        <v>295</v>
      </c>
      <c r="I7196" s="88"/>
    </row>
    <row r="7197" spans="1:9" x14ac:dyDescent="0.25">
      <c r="A7197" s="140" t="s">
        <v>44</v>
      </c>
      <c r="B7197" s="26">
        <v>44192</v>
      </c>
      <c r="C7197" s="4">
        <v>242</v>
      </c>
      <c r="D7197" s="29">
        <f t="shared" si="573"/>
        <v>22239</v>
      </c>
      <c r="E7197" s="4">
        <v>3</v>
      </c>
      <c r="F7197" s="129">
        <f t="shared" si="574"/>
        <v>366</v>
      </c>
      <c r="I7197" s="88"/>
    </row>
    <row r="7198" spans="1:9" x14ac:dyDescent="0.25">
      <c r="A7198" s="140" t="s">
        <v>29</v>
      </c>
      <c r="B7198" s="26">
        <v>44192</v>
      </c>
      <c r="C7198" s="4">
        <v>406</v>
      </c>
      <c r="D7198" s="29">
        <f t="shared" si="573"/>
        <v>171770</v>
      </c>
      <c r="E7198" s="4">
        <v>16</v>
      </c>
      <c r="F7198" s="129">
        <f t="shared" si="574"/>
        <v>2843</v>
      </c>
      <c r="I7198" s="88"/>
    </row>
    <row r="7199" spans="1:9" x14ac:dyDescent="0.25">
      <c r="A7199" s="140" t="s">
        <v>45</v>
      </c>
      <c r="B7199" s="26">
        <v>44192</v>
      </c>
      <c r="C7199" s="4">
        <v>24</v>
      </c>
      <c r="D7199" s="29">
        <f t="shared" si="573"/>
        <v>17071</v>
      </c>
      <c r="E7199" s="4">
        <v>3</v>
      </c>
      <c r="F7199" s="129">
        <f t="shared" si="574"/>
        <v>217</v>
      </c>
      <c r="I7199" s="88"/>
    </row>
    <row r="7200" spans="1:9" x14ac:dyDescent="0.25">
      <c r="A7200" s="140" t="s">
        <v>46</v>
      </c>
      <c r="B7200" s="26">
        <v>44192</v>
      </c>
      <c r="C7200" s="4">
        <v>88</v>
      </c>
      <c r="D7200" s="29">
        <f t="shared" si="573"/>
        <v>18739</v>
      </c>
      <c r="E7200" s="4">
        <v>2</v>
      </c>
      <c r="F7200" s="129">
        <f t="shared" si="574"/>
        <v>248</v>
      </c>
      <c r="I7200" s="88"/>
    </row>
    <row r="7201" spans="1:6" ht="15.75" thickBot="1" x14ac:dyDescent="0.3">
      <c r="A7201" s="141" t="s">
        <v>47</v>
      </c>
      <c r="B7201" s="26">
        <v>44192</v>
      </c>
      <c r="C7201" s="4">
        <v>51</v>
      </c>
      <c r="D7201" s="132">
        <f t="shared" si="573"/>
        <v>70407</v>
      </c>
      <c r="E7201" s="4">
        <v>1</v>
      </c>
      <c r="F7201" s="130">
        <f t="shared" si="574"/>
        <v>1335</v>
      </c>
    </row>
  </sheetData>
  <autoFilter ref="A1:E6409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12" x14ac:dyDescent="0.25">
      <c r="A162" s="69" t="s">
        <v>32</v>
      </c>
      <c r="B162" s="69" t="s">
        <v>133</v>
      </c>
      <c r="C162" s="69" t="s">
        <v>134</v>
      </c>
      <c r="D162" s="69"/>
      <c r="E162" s="69" t="s">
        <v>135</v>
      </c>
      <c r="F162" s="70" t="s">
        <v>129</v>
      </c>
      <c r="H162" s="159" t="s">
        <v>32</v>
      </c>
      <c r="I162" s="159" t="s">
        <v>31</v>
      </c>
      <c r="J162" s="159" t="s">
        <v>150</v>
      </c>
      <c r="K162" s="159" t="s">
        <v>148</v>
      </c>
      <c r="L162" s="159" t="s">
        <v>149</v>
      </c>
    </row>
    <row r="163" spans="1:12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12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12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12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12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12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12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12" hidden="1" x14ac:dyDescent="0.25">
      <c r="A171" s="26">
        <v>44076</v>
      </c>
      <c r="B171" s="48">
        <v>2359</v>
      </c>
      <c r="C171" s="126">
        <v>61.1</v>
      </c>
      <c r="E171" s="124">
        <f t="shared" si="0"/>
        <v>3860.8837970540098</v>
      </c>
      <c r="F171" s="125" t="e">
        <f t="shared" si="1"/>
        <v>#DIV/0!</v>
      </c>
    </row>
    <row r="172" spans="1:12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12" hidden="1" x14ac:dyDescent="0.25">
      <c r="A173" s="26">
        <v>44078</v>
      </c>
      <c r="B173" s="47">
        <v>2425</v>
      </c>
      <c r="C173" s="123">
        <v>61.5</v>
      </c>
      <c r="E173" s="63">
        <f t="shared" si="0"/>
        <v>3943.0894308943089</v>
      </c>
      <c r="F173" s="66" t="e">
        <f t="shared" si="1"/>
        <v>#DIV/0!</v>
      </c>
    </row>
    <row r="174" spans="1:12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  <c r="I174" t="s">
        <v>22</v>
      </c>
      <c r="J174" s="189">
        <v>0.43</v>
      </c>
    </row>
    <row r="175" spans="1:12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  <c r="I175" t="s">
        <v>20</v>
      </c>
      <c r="J175" s="189">
        <v>0.3</v>
      </c>
      <c r="K175">
        <v>450</v>
      </c>
      <c r="L175">
        <f>J175/K175</f>
        <v>6.6666666666666664E-4</v>
      </c>
    </row>
    <row r="176" spans="1:12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  <c r="I176" t="s">
        <v>35</v>
      </c>
      <c r="J176" s="189">
        <v>0.15</v>
      </c>
    </row>
    <row r="177" spans="1:12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  <c r="I177" t="s">
        <v>21</v>
      </c>
      <c r="J177" s="189">
        <v>0.39</v>
      </c>
    </row>
    <row r="178" spans="1:12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  <c r="I178" t="s">
        <v>36</v>
      </c>
      <c r="J178" s="189">
        <v>0.42</v>
      </c>
      <c r="K178">
        <f>139+39+8</f>
        <v>186</v>
      </c>
      <c r="L178" s="160">
        <f>J178/K178</f>
        <v>2.258064516129032E-3</v>
      </c>
    </row>
    <row r="179" spans="1:12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S40"/>
  <sheetViews>
    <sheetView zoomScaleNormal="100" workbookViewId="0">
      <selection activeCell="D3" sqref="D3"/>
    </sheetView>
  </sheetViews>
  <sheetFormatPr baseColWidth="10" defaultRowHeight="15.75" x14ac:dyDescent="0.25"/>
  <cols>
    <col min="1" max="2" width="11.42578125" style="115"/>
    <col min="3" max="3" width="19" style="99" customWidth="1"/>
    <col min="4" max="5" width="11.42578125" style="100"/>
    <col min="6" max="6" width="18.140625" style="100" customWidth="1"/>
    <col min="7" max="7" width="12.85546875" style="100" customWidth="1"/>
    <col min="8" max="8" width="17.7109375" style="100" customWidth="1"/>
    <col min="9" max="12" width="11.42578125" style="115"/>
    <col min="13" max="13" width="22.28515625" style="115" customWidth="1"/>
    <col min="14" max="14" width="14.5703125" style="115" customWidth="1"/>
    <col min="15" max="15" width="13.7109375" style="115" customWidth="1"/>
    <col min="16" max="16" width="15" style="115" customWidth="1"/>
    <col min="17" max="17" width="13.7109375" style="115" customWidth="1"/>
    <col min="18" max="18" width="15.140625" style="99" customWidth="1"/>
    <col min="19" max="19" width="11.42578125" style="115"/>
    <col min="20" max="16384" width="11.42578125" style="99"/>
  </cols>
  <sheetData>
    <row r="1" spans="1:19" s="115" customFormat="1" ht="52.5" customHeight="1" thickBot="1" x14ac:dyDescent="0.3">
      <c r="C1" s="257" t="s">
        <v>145</v>
      </c>
      <c r="D1" s="257"/>
      <c r="E1" s="257"/>
      <c r="F1" s="257"/>
      <c r="G1" s="257"/>
      <c r="H1" s="257"/>
      <c r="K1" s="157">
        <v>547</v>
      </c>
      <c r="M1" s="258" t="s">
        <v>146</v>
      </c>
      <c r="N1" s="258"/>
      <c r="O1" s="258"/>
      <c r="P1" s="258"/>
      <c r="Q1" s="258"/>
      <c r="R1" s="258"/>
      <c r="S1" s="258"/>
    </row>
    <row r="2" spans="1:19" ht="58.5" customHeight="1" x14ac:dyDescent="0.25">
      <c r="C2" s="103" t="s">
        <v>31</v>
      </c>
      <c r="D2" s="104">
        <v>44043</v>
      </c>
      <c r="E2" s="104">
        <v>44074</v>
      </c>
      <c r="F2" s="105" t="s">
        <v>144</v>
      </c>
      <c r="G2" s="106" t="s">
        <v>142</v>
      </c>
      <c r="H2" s="107" t="s">
        <v>143</v>
      </c>
      <c r="K2" s="157">
        <v>1398</v>
      </c>
      <c r="M2" s="103" t="s">
        <v>31</v>
      </c>
      <c r="N2" s="104">
        <v>44043</v>
      </c>
      <c r="O2" s="104">
        <v>44074</v>
      </c>
      <c r="P2" s="105" t="s">
        <v>144</v>
      </c>
      <c r="Q2" s="106" t="s">
        <v>142</v>
      </c>
      <c r="R2" s="107" t="s">
        <v>147</v>
      </c>
    </row>
    <row r="3" spans="1:19" s="100" customFormat="1" ht="27.95" customHeight="1" x14ac:dyDescent="0.25">
      <c r="A3" s="116"/>
      <c r="B3" s="116"/>
      <c r="C3" s="108" t="s">
        <v>22</v>
      </c>
      <c r="D3" s="101">
        <v>49911</v>
      </c>
      <c r="E3" s="101">
        <v>156669</v>
      </c>
      <c r="F3" s="102">
        <f>(E3-D3)/D3</f>
        <v>2.1389673619041893</v>
      </c>
      <c r="G3" s="101">
        <v>316506</v>
      </c>
      <c r="H3" s="109">
        <f>(G3-E3)/E3</f>
        <v>1.0202209754322809</v>
      </c>
      <c r="I3" s="116"/>
      <c r="J3" s="116"/>
      <c r="K3" s="157">
        <v>1365</v>
      </c>
      <c r="L3" s="116"/>
      <c r="M3" s="108" t="s">
        <v>22</v>
      </c>
      <c r="N3" s="117">
        <v>114573</v>
      </c>
      <c r="O3" s="117">
        <v>258793</v>
      </c>
      <c r="P3" s="118">
        <f>(O3-N3)/N3</f>
        <v>1.2587607900639768</v>
      </c>
      <c r="Q3" s="117">
        <v>316506</v>
      </c>
      <c r="R3" s="119">
        <f>(Q3-O3)/O3</f>
        <v>0.22300835030313804</v>
      </c>
      <c r="S3" s="116"/>
    </row>
    <row r="4" spans="1:19" s="100" customFormat="1" ht="27.95" customHeight="1" x14ac:dyDescent="0.25">
      <c r="A4" s="116"/>
      <c r="B4" s="116"/>
      <c r="C4" s="110" t="s">
        <v>51</v>
      </c>
      <c r="D4" s="101">
        <v>36520</v>
      </c>
      <c r="E4" s="101">
        <v>71086</v>
      </c>
      <c r="F4" s="102">
        <f t="shared" ref="F4:F26" si="0">(E4-D4)/D4</f>
        <v>0.94649507119386633</v>
      </c>
      <c r="G4" s="101">
        <v>107857</v>
      </c>
      <c r="H4" s="109">
        <f t="shared" ref="H4:H26" si="1">(G4-E4)/E4</f>
        <v>0.51727485018147035</v>
      </c>
      <c r="I4" s="116"/>
      <c r="J4" s="116"/>
      <c r="K4" s="157">
        <v>1195</v>
      </c>
      <c r="L4" s="116"/>
      <c r="M4" s="110" t="s">
        <v>51</v>
      </c>
      <c r="N4" s="117">
        <v>59708</v>
      </c>
      <c r="O4" s="117">
        <v>95604</v>
      </c>
      <c r="P4" s="118">
        <f t="shared" ref="P4:P26" si="2">(O4-N4)/N4</f>
        <v>0.6011924700207677</v>
      </c>
      <c r="Q4" s="117">
        <v>107857</v>
      </c>
      <c r="R4" s="119">
        <f t="shared" ref="R4:R26" si="3">(Q4-O4)/O4</f>
        <v>0.12816409355257102</v>
      </c>
      <c r="S4" s="116"/>
    </row>
    <row r="5" spans="1:19" s="100" customFormat="1" ht="27.95" customHeight="1" x14ac:dyDescent="0.25">
      <c r="A5" s="116"/>
      <c r="B5" s="116"/>
      <c r="C5" s="110" t="s">
        <v>35</v>
      </c>
      <c r="D5" s="101">
        <v>38</v>
      </c>
      <c r="E5" s="101">
        <v>62</v>
      </c>
      <c r="F5" s="102">
        <f t="shared" si="0"/>
        <v>0.63157894736842102</v>
      </c>
      <c r="G5" s="101">
        <v>111</v>
      </c>
      <c r="H5" s="109">
        <f t="shared" si="1"/>
        <v>0.79032258064516125</v>
      </c>
      <c r="I5" s="116"/>
      <c r="J5" s="116"/>
      <c r="K5" s="157">
        <v>1478</v>
      </c>
      <c r="L5" s="116"/>
      <c r="M5" s="110" t="s">
        <v>35</v>
      </c>
      <c r="N5" s="117">
        <v>61</v>
      </c>
      <c r="O5" s="117">
        <v>66</v>
      </c>
      <c r="P5" s="118">
        <f t="shared" si="2"/>
        <v>8.1967213114754092E-2</v>
      </c>
      <c r="Q5" s="117">
        <v>111</v>
      </c>
      <c r="R5" s="119">
        <f t="shared" si="3"/>
        <v>0.68181818181818177</v>
      </c>
      <c r="S5" s="116"/>
    </row>
    <row r="6" spans="1:19" s="100" customFormat="1" ht="27.95" customHeight="1" x14ac:dyDescent="0.25">
      <c r="A6" s="116"/>
      <c r="B6" s="116"/>
      <c r="C6" s="110" t="s">
        <v>21</v>
      </c>
      <c r="D6" s="101">
        <v>2496</v>
      </c>
      <c r="E6" s="101">
        <v>4085</v>
      </c>
      <c r="F6" s="102">
        <f t="shared" si="0"/>
        <v>0.63661858974358976</v>
      </c>
      <c r="G6" s="101">
        <v>6418</v>
      </c>
      <c r="H6" s="109">
        <f t="shared" si="1"/>
        <v>0.57111383108935132</v>
      </c>
      <c r="I6" s="116"/>
      <c r="J6" s="116"/>
      <c r="K6" s="157">
        <v>1359</v>
      </c>
      <c r="L6" s="116"/>
      <c r="M6" s="110" t="s">
        <v>21</v>
      </c>
      <c r="N6" s="117">
        <v>3579</v>
      </c>
      <c r="O6" s="117">
        <v>5417</v>
      </c>
      <c r="P6" s="118">
        <f t="shared" si="2"/>
        <v>0.5135512713048338</v>
      </c>
      <c r="Q6" s="117">
        <v>6418</v>
      </c>
      <c r="R6" s="119">
        <f t="shared" si="3"/>
        <v>0.18478862839209895</v>
      </c>
      <c r="S6" s="116"/>
    </row>
    <row r="7" spans="1:19" s="100" customFormat="1" ht="27.95" customHeight="1" x14ac:dyDescent="0.25">
      <c r="A7" s="116"/>
      <c r="B7" s="116"/>
      <c r="C7" s="110" t="s">
        <v>36</v>
      </c>
      <c r="D7" s="101">
        <v>196</v>
      </c>
      <c r="E7" s="101">
        <v>351</v>
      </c>
      <c r="F7" s="102">
        <f t="shared" si="0"/>
        <v>0.79081632653061229</v>
      </c>
      <c r="G7" s="101">
        <v>1390</v>
      </c>
      <c r="H7" s="109">
        <f t="shared" si="1"/>
        <v>2.9601139601139601</v>
      </c>
      <c r="I7" s="116"/>
      <c r="J7" s="116"/>
      <c r="K7" s="116"/>
      <c r="L7" s="116"/>
      <c r="M7" s="110" t="s">
        <v>36</v>
      </c>
      <c r="N7" s="117">
        <v>275</v>
      </c>
      <c r="O7" s="117">
        <v>899</v>
      </c>
      <c r="P7" s="118">
        <f t="shared" si="2"/>
        <v>2.269090909090909</v>
      </c>
      <c r="Q7" s="117">
        <v>1390</v>
      </c>
      <c r="R7" s="119">
        <f t="shared" si="3"/>
        <v>0.5461624026696329</v>
      </c>
      <c r="S7" s="116"/>
    </row>
    <row r="8" spans="1:19" s="100" customFormat="1" ht="27.95" customHeight="1" x14ac:dyDescent="0.25">
      <c r="A8" s="116"/>
      <c r="B8" s="116"/>
      <c r="C8" s="110" t="s">
        <v>27</v>
      </c>
      <c r="D8" s="101">
        <v>855</v>
      </c>
      <c r="E8" s="101">
        <v>3685</v>
      </c>
      <c r="F8" s="102">
        <f t="shared" si="0"/>
        <v>3.3099415204678362</v>
      </c>
      <c r="G8" s="101">
        <v>13009</v>
      </c>
      <c r="H8" s="109">
        <f t="shared" si="1"/>
        <v>2.5302578018995932</v>
      </c>
      <c r="I8" s="116"/>
      <c r="J8" s="116"/>
      <c r="K8" s="116"/>
      <c r="L8" s="116"/>
      <c r="M8" s="110" t="s">
        <v>27</v>
      </c>
      <c r="N8" s="117">
        <v>2256</v>
      </c>
      <c r="O8" s="117">
        <v>8522</v>
      </c>
      <c r="P8" s="118">
        <f t="shared" si="2"/>
        <v>2.7774822695035462</v>
      </c>
      <c r="Q8" s="117">
        <v>13009</v>
      </c>
      <c r="R8" s="119">
        <f t="shared" si="3"/>
        <v>0.52651959633888756</v>
      </c>
      <c r="S8" s="116"/>
    </row>
    <row r="9" spans="1:19" s="100" customFormat="1" ht="27.95" customHeight="1" x14ac:dyDescent="0.25">
      <c r="A9" s="116"/>
      <c r="B9" s="116"/>
      <c r="C9" s="110" t="s">
        <v>37</v>
      </c>
      <c r="D9" s="101">
        <v>126</v>
      </c>
      <c r="E9" s="101">
        <v>216</v>
      </c>
      <c r="F9" s="102">
        <f t="shared" si="0"/>
        <v>0.7142857142857143</v>
      </c>
      <c r="G9" s="101">
        <v>491</v>
      </c>
      <c r="H9" s="109">
        <f t="shared" si="1"/>
        <v>1.2731481481481481</v>
      </c>
      <c r="I9" s="116"/>
      <c r="J9" s="116"/>
      <c r="K9" s="116"/>
      <c r="L9" s="116"/>
      <c r="M9" s="110" t="s">
        <v>37</v>
      </c>
      <c r="N9" s="117">
        <v>168</v>
      </c>
      <c r="O9" s="117">
        <v>311</v>
      </c>
      <c r="P9" s="118">
        <f t="shared" si="2"/>
        <v>0.85119047619047616</v>
      </c>
      <c r="Q9" s="117">
        <v>491</v>
      </c>
      <c r="R9" s="119">
        <f t="shared" si="3"/>
        <v>0.5787781350482315</v>
      </c>
      <c r="S9" s="116"/>
    </row>
    <row r="10" spans="1:19" s="100" customFormat="1" ht="27.95" customHeight="1" x14ac:dyDescent="0.25">
      <c r="A10" s="116"/>
      <c r="B10" s="116"/>
      <c r="C10" s="110" t="s">
        <v>38</v>
      </c>
      <c r="D10" s="101">
        <v>401</v>
      </c>
      <c r="E10" s="101">
        <v>1208</v>
      </c>
      <c r="F10" s="102">
        <f t="shared" si="0"/>
        <v>2.0124688279301743</v>
      </c>
      <c r="G10" s="101">
        <v>4844</v>
      </c>
      <c r="H10" s="109">
        <f t="shared" si="1"/>
        <v>3.0099337748344372</v>
      </c>
      <c r="I10" s="116"/>
      <c r="J10" s="116"/>
      <c r="K10" s="116"/>
      <c r="L10" s="116"/>
      <c r="M10" s="110" t="s">
        <v>38</v>
      </c>
      <c r="N10" s="117">
        <v>813</v>
      </c>
      <c r="O10" s="117">
        <v>3338</v>
      </c>
      <c r="P10" s="118">
        <f t="shared" si="2"/>
        <v>3.105781057810578</v>
      </c>
      <c r="Q10" s="117">
        <v>4844</v>
      </c>
      <c r="R10" s="119">
        <f t="shared" si="3"/>
        <v>0.45116836428999402</v>
      </c>
      <c r="S10" s="116"/>
    </row>
    <row r="11" spans="1:19" s="100" customFormat="1" ht="27.95" customHeight="1" x14ac:dyDescent="0.25">
      <c r="A11" s="116"/>
      <c r="B11" s="116"/>
      <c r="C11" s="110" t="s">
        <v>48</v>
      </c>
      <c r="D11" s="101">
        <v>76</v>
      </c>
      <c r="E11" s="101">
        <v>87</v>
      </c>
      <c r="F11" s="102">
        <f t="shared" si="0"/>
        <v>0.14473684210526316</v>
      </c>
      <c r="G11" s="101">
        <v>92</v>
      </c>
      <c r="H11" s="109">
        <f t="shared" si="1"/>
        <v>5.7471264367816091E-2</v>
      </c>
      <c r="I11" s="116"/>
      <c r="J11" s="116"/>
      <c r="K11" s="116"/>
      <c r="L11" s="116"/>
      <c r="M11" s="110" t="s">
        <v>48</v>
      </c>
      <c r="N11" s="117">
        <v>79</v>
      </c>
      <c r="O11" s="117">
        <v>84</v>
      </c>
      <c r="P11" s="118">
        <f t="shared" si="2"/>
        <v>6.3291139240506333E-2</v>
      </c>
      <c r="Q11" s="117">
        <v>92</v>
      </c>
      <c r="R11" s="119">
        <f t="shared" si="3"/>
        <v>9.5238095238095233E-2</v>
      </c>
      <c r="S11" s="116"/>
    </row>
    <row r="12" spans="1:19" s="100" customFormat="1" ht="27.95" customHeight="1" x14ac:dyDescent="0.25">
      <c r="A12" s="116"/>
      <c r="B12" s="116"/>
      <c r="C12" s="110" t="s">
        <v>39</v>
      </c>
      <c r="D12" s="101">
        <v>334</v>
      </c>
      <c r="E12" s="101">
        <v>3559</v>
      </c>
      <c r="F12" s="102">
        <f t="shared" si="0"/>
        <v>9.6556886227544911</v>
      </c>
      <c r="G12" s="101">
        <v>11397</v>
      </c>
      <c r="H12" s="109">
        <f t="shared" si="1"/>
        <v>2.2023040179825792</v>
      </c>
      <c r="I12" s="116"/>
      <c r="J12" s="116"/>
      <c r="K12" s="116"/>
      <c r="L12" s="116"/>
      <c r="M12" s="110" t="s">
        <v>39</v>
      </c>
      <c r="N12" s="117">
        <v>2256</v>
      </c>
      <c r="O12" s="117">
        <v>8418</v>
      </c>
      <c r="P12" s="118">
        <f t="shared" si="2"/>
        <v>2.7313829787234041</v>
      </c>
      <c r="Q12" s="117">
        <v>11397</v>
      </c>
      <c r="R12" s="119">
        <f t="shared" si="3"/>
        <v>0.35388453314326446</v>
      </c>
      <c r="S12" s="116"/>
    </row>
    <row r="13" spans="1:19" s="100" customFormat="1" ht="27.95" customHeight="1" x14ac:dyDescent="0.25">
      <c r="A13" s="116"/>
      <c r="B13" s="116"/>
      <c r="C13" s="110" t="s">
        <v>40</v>
      </c>
      <c r="D13" s="101">
        <v>7</v>
      </c>
      <c r="E13" s="101">
        <v>208</v>
      </c>
      <c r="F13" s="102">
        <f t="shared" si="0"/>
        <v>28.714285714285715</v>
      </c>
      <c r="G13" s="101">
        <v>294</v>
      </c>
      <c r="H13" s="109">
        <f t="shared" si="1"/>
        <v>0.41346153846153844</v>
      </c>
      <c r="I13" s="116"/>
      <c r="J13" s="116"/>
      <c r="K13" s="116"/>
      <c r="L13" s="116"/>
      <c r="M13" s="110" t="s">
        <v>40</v>
      </c>
      <c r="N13" s="117">
        <v>117</v>
      </c>
      <c r="O13" s="117">
        <v>204</v>
      </c>
      <c r="P13" s="118">
        <f t="shared" si="2"/>
        <v>0.74358974358974361</v>
      </c>
      <c r="Q13" s="117">
        <v>294</v>
      </c>
      <c r="R13" s="119">
        <f t="shared" si="3"/>
        <v>0.44117647058823528</v>
      </c>
      <c r="S13" s="116"/>
    </row>
    <row r="14" spans="1:19" s="100" customFormat="1" ht="27.95" customHeight="1" x14ac:dyDescent="0.25">
      <c r="A14" s="116"/>
      <c r="B14" s="116"/>
      <c r="C14" s="110" t="s">
        <v>28</v>
      </c>
      <c r="D14" s="101">
        <v>131</v>
      </c>
      <c r="E14" s="101">
        <v>518</v>
      </c>
      <c r="F14" s="102">
        <f t="shared" si="0"/>
        <v>2.9541984732824429</v>
      </c>
      <c r="G14" s="101">
        <v>2503</v>
      </c>
      <c r="H14" s="109">
        <f t="shared" si="1"/>
        <v>3.8320463320463318</v>
      </c>
      <c r="I14" s="116"/>
      <c r="J14" s="116"/>
      <c r="K14" s="116"/>
      <c r="L14" s="116"/>
      <c r="M14" s="110" t="s">
        <v>28</v>
      </c>
      <c r="N14" s="117">
        <v>337</v>
      </c>
      <c r="O14" s="117">
        <v>1588</v>
      </c>
      <c r="P14" s="118">
        <f t="shared" si="2"/>
        <v>3.7121661721068251</v>
      </c>
      <c r="Q14" s="117">
        <v>2503</v>
      </c>
      <c r="R14" s="119">
        <f t="shared" si="3"/>
        <v>0.57619647355163728</v>
      </c>
      <c r="S14" s="116"/>
    </row>
    <row r="15" spans="1:19" s="100" customFormat="1" ht="27.95" customHeight="1" x14ac:dyDescent="0.25">
      <c r="A15" s="116"/>
      <c r="B15" s="116"/>
      <c r="C15" s="110" t="s">
        <v>24</v>
      </c>
      <c r="D15" s="101">
        <v>263</v>
      </c>
      <c r="E15" s="101">
        <v>2240</v>
      </c>
      <c r="F15" s="102">
        <f t="shared" si="0"/>
        <v>7.5171102661596958</v>
      </c>
      <c r="G15" s="101">
        <v>12365</v>
      </c>
      <c r="H15" s="109">
        <f t="shared" si="1"/>
        <v>4.5200892857142856</v>
      </c>
      <c r="I15" s="116"/>
      <c r="J15" s="116"/>
      <c r="K15" s="116"/>
      <c r="L15" s="116"/>
      <c r="M15" s="110" t="s">
        <v>24</v>
      </c>
      <c r="N15" s="117">
        <v>1215</v>
      </c>
      <c r="O15" s="117">
        <v>6830</v>
      </c>
      <c r="P15" s="118">
        <f t="shared" si="2"/>
        <v>4.6213991769547329</v>
      </c>
      <c r="Q15" s="117">
        <v>12365</v>
      </c>
      <c r="R15" s="119">
        <f>(Q15-O15)/O15</f>
        <v>0.81039531478770133</v>
      </c>
      <c r="S15" s="116"/>
    </row>
    <row r="16" spans="1:19" s="100" customFormat="1" ht="27.95" customHeight="1" x14ac:dyDescent="0.25">
      <c r="A16" s="116"/>
      <c r="B16" s="116"/>
      <c r="C16" s="110" t="s">
        <v>30</v>
      </c>
      <c r="D16" s="101">
        <v>49</v>
      </c>
      <c r="E16" s="101">
        <v>61</v>
      </c>
      <c r="F16" s="102">
        <f t="shared" si="0"/>
        <v>0.24489795918367346</v>
      </c>
      <c r="G16" s="101">
        <v>65</v>
      </c>
      <c r="H16" s="109">
        <f t="shared" si="1"/>
        <v>6.5573770491803282E-2</v>
      </c>
      <c r="I16" s="116"/>
      <c r="J16" s="116"/>
      <c r="K16" s="116"/>
      <c r="L16" s="116"/>
      <c r="M16" s="110" t="s">
        <v>30</v>
      </c>
      <c r="N16" s="117">
        <v>51</v>
      </c>
      <c r="O16" s="117">
        <v>62</v>
      </c>
      <c r="P16" s="118">
        <f t="shared" si="2"/>
        <v>0.21568627450980393</v>
      </c>
      <c r="Q16" s="117">
        <v>65</v>
      </c>
      <c r="R16" s="119">
        <f t="shared" si="3"/>
        <v>4.8387096774193547E-2</v>
      </c>
      <c r="S16" s="116"/>
    </row>
    <row r="17" spans="1:19" s="100" customFormat="1" ht="27.95" customHeight="1" x14ac:dyDescent="0.25">
      <c r="A17" s="116"/>
      <c r="B17" s="116"/>
      <c r="C17" s="110" t="s">
        <v>26</v>
      </c>
      <c r="D17" s="101">
        <v>654</v>
      </c>
      <c r="E17" s="101">
        <v>1483</v>
      </c>
      <c r="F17" s="102">
        <f t="shared" si="0"/>
        <v>1.2675840978593271</v>
      </c>
      <c r="G17" s="101">
        <v>4298</v>
      </c>
      <c r="H17" s="109">
        <f t="shared" si="1"/>
        <v>1.8981793661496966</v>
      </c>
      <c r="I17" s="116"/>
      <c r="J17" s="116"/>
      <c r="K17" s="116"/>
      <c r="L17" s="116"/>
      <c r="M17" s="110" t="s">
        <v>26</v>
      </c>
      <c r="N17" s="117">
        <v>1187</v>
      </c>
      <c r="O17" s="117">
        <v>3036</v>
      </c>
      <c r="P17" s="118">
        <f t="shared" si="2"/>
        <v>1.5577085088458298</v>
      </c>
      <c r="Q17" s="117">
        <v>4298</v>
      </c>
      <c r="R17" s="119">
        <f t="shared" si="3"/>
        <v>0.41567852437417657</v>
      </c>
      <c r="S17" s="116"/>
    </row>
    <row r="18" spans="1:19" s="100" customFormat="1" ht="27.95" customHeight="1" x14ac:dyDescent="0.25">
      <c r="A18" s="116"/>
      <c r="B18" s="116"/>
      <c r="C18" s="110" t="s">
        <v>25</v>
      </c>
      <c r="D18" s="101">
        <v>1057</v>
      </c>
      <c r="E18" s="101">
        <v>3008</v>
      </c>
      <c r="F18" s="102">
        <f t="shared" si="0"/>
        <v>1.8457899716177861</v>
      </c>
      <c r="G18" s="101">
        <v>8042</v>
      </c>
      <c r="H18" s="109">
        <f t="shared" si="1"/>
        <v>1.6735372340425532</v>
      </c>
      <c r="I18" s="116"/>
      <c r="J18" s="116"/>
      <c r="K18" s="116"/>
      <c r="L18" s="116"/>
      <c r="M18" s="110" t="s">
        <v>25</v>
      </c>
      <c r="N18" s="117">
        <v>1947</v>
      </c>
      <c r="O18" s="117">
        <v>5996</v>
      </c>
      <c r="P18" s="118">
        <f t="shared" si="2"/>
        <v>2.0796096558808421</v>
      </c>
      <c r="Q18" s="117">
        <v>8042</v>
      </c>
      <c r="R18" s="119">
        <f t="shared" si="3"/>
        <v>0.34122748498999333</v>
      </c>
      <c r="S18" s="116"/>
    </row>
    <row r="19" spans="1:19" s="100" customFormat="1" ht="27.95" customHeight="1" x14ac:dyDescent="0.25">
      <c r="A19" s="116"/>
      <c r="B19" s="116"/>
      <c r="C19" s="110" t="s">
        <v>41</v>
      </c>
      <c r="D19" s="101">
        <v>86</v>
      </c>
      <c r="E19" s="101">
        <v>611</v>
      </c>
      <c r="F19" s="102">
        <f t="shared" si="0"/>
        <v>6.1046511627906979</v>
      </c>
      <c r="G19" s="101">
        <v>5837</v>
      </c>
      <c r="H19" s="109">
        <f t="shared" si="1"/>
        <v>8.5531914893617014</v>
      </c>
      <c r="I19" s="116"/>
      <c r="J19" s="116"/>
      <c r="K19" s="116"/>
      <c r="L19" s="116"/>
      <c r="M19" s="110" t="s">
        <v>41</v>
      </c>
      <c r="N19" s="117">
        <v>259</v>
      </c>
      <c r="O19" s="117">
        <v>3320</v>
      </c>
      <c r="P19" s="118">
        <f t="shared" si="2"/>
        <v>11.818532818532818</v>
      </c>
      <c r="Q19" s="117">
        <v>5837</v>
      </c>
      <c r="R19" s="119">
        <f t="shared" si="3"/>
        <v>0.75813253012048187</v>
      </c>
      <c r="S19" s="116"/>
    </row>
    <row r="20" spans="1:19" s="100" customFormat="1" ht="27.95" customHeight="1" x14ac:dyDescent="0.25">
      <c r="A20" s="116"/>
      <c r="B20" s="116"/>
      <c r="C20" s="110" t="s">
        <v>42</v>
      </c>
      <c r="D20" s="101">
        <v>9</v>
      </c>
      <c r="E20" s="101">
        <v>22</v>
      </c>
      <c r="F20" s="102">
        <f t="shared" si="0"/>
        <v>1.4444444444444444</v>
      </c>
      <c r="G20" s="101">
        <v>385</v>
      </c>
      <c r="H20" s="109">
        <f t="shared" si="1"/>
        <v>16.5</v>
      </c>
      <c r="I20" s="116"/>
      <c r="J20" s="116"/>
      <c r="K20" s="116"/>
      <c r="L20" s="116"/>
      <c r="M20" s="110" t="s">
        <v>42</v>
      </c>
      <c r="N20" s="117">
        <v>20</v>
      </c>
      <c r="O20" s="117">
        <v>223</v>
      </c>
      <c r="P20" s="118">
        <f t="shared" si="2"/>
        <v>10.15</v>
      </c>
      <c r="Q20" s="117">
        <v>385</v>
      </c>
      <c r="R20" s="119">
        <f t="shared" si="3"/>
        <v>0.726457399103139</v>
      </c>
      <c r="S20" s="116"/>
    </row>
    <row r="21" spans="1:19" s="100" customFormat="1" ht="27.95" customHeight="1" x14ac:dyDescent="0.25">
      <c r="A21" s="116"/>
      <c r="B21" s="116"/>
      <c r="C21" s="110" t="s">
        <v>43</v>
      </c>
      <c r="D21" s="101">
        <v>12</v>
      </c>
      <c r="E21" s="101">
        <v>31</v>
      </c>
      <c r="F21" s="102">
        <f t="shared" si="0"/>
        <v>1.5833333333333333</v>
      </c>
      <c r="G21" s="101">
        <v>356</v>
      </c>
      <c r="H21" s="109">
        <f t="shared" si="1"/>
        <v>10.483870967741936</v>
      </c>
      <c r="I21" s="116"/>
      <c r="J21" s="116"/>
      <c r="K21" s="116"/>
      <c r="L21" s="116"/>
      <c r="M21" s="110" t="s">
        <v>43</v>
      </c>
      <c r="N21" s="117">
        <v>26</v>
      </c>
      <c r="O21" s="117">
        <v>147</v>
      </c>
      <c r="P21" s="118">
        <f t="shared" si="2"/>
        <v>4.6538461538461542</v>
      </c>
      <c r="Q21" s="117">
        <v>356</v>
      </c>
      <c r="R21" s="119">
        <f t="shared" si="3"/>
        <v>1.4217687074829932</v>
      </c>
      <c r="S21" s="116"/>
    </row>
    <row r="22" spans="1:19" s="100" customFormat="1" ht="27.95" customHeight="1" x14ac:dyDescent="0.25">
      <c r="A22" s="116"/>
      <c r="B22" s="116"/>
      <c r="C22" s="110" t="s">
        <v>44</v>
      </c>
      <c r="D22" s="101">
        <v>60</v>
      </c>
      <c r="E22" s="101">
        <v>805</v>
      </c>
      <c r="F22" s="102">
        <f t="shared" si="0"/>
        <v>12.416666666666666</v>
      </c>
      <c r="G22" s="101">
        <v>2626</v>
      </c>
      <c r="H22" s="109">
        <f t="shared" si="1"/>
        <v>2.2621118012422361</v>
      </c>
      <c r="I22" s="116"/>
      <c r="J22" s="116"/>
      <c r="K22" s="116"/>
      <c r="L22" s="116"/>
      <c r="M22" s="110" t="s">
        <v>44</v>
      </c>
      <c r="N22" s="117">
        <v>454</v>
      </c>
      <c r="O22" s="117">
        <v>1771</v>
      </c>
      <c r="P22" s="118">
        <f t="shared" si="2"/>
        <v>2.9008810572687223</v>
      </c>
      <c r="Q22" s="117">
        <v>2626</v>
      </c>
      <c r="R22" s="119">
        <f t="shared" si="3"/>
        <v>0.48277809147374362</v>
      </c>
      <c r="S22" s="116"/>
    </row>
    <row r="23" spans="1:19" s="100" customFormat="1" ht="27.95" customHeight="1" x14ac:dyDescent="0.25">
      <c r="A23" s="116"/>
      <c r="B23" s="116"/>
      <c r="C23" s="110" t="s">
        <v>29</v>
      </c>
      <c r="D23" s="101">
        <v>486</v>
      </c>
      <c r="E23" s="101">
        <v>2276</v>
      </c>
      <c r="F23" s="102">
        <f t="shared" si="0"/>
        <v>3.6831275720164611</v>
      </c>
      <c r="G23" s="101">
        <v>15743</v>
      </c>
      <c r="H23" s="109">
        <f t="shared" si="1"/>
        <v>5.9169595782073809</v>
      </c>
      <c r="I23" s="116"/>
      <c r="J23" s="116"/>
      <c r="K23" s="116"/>
      <c r="L23" s="116"/>
      <c r="M23" s="110" t="s">
        <v>29</v>
      </c>
      <c r="N23" s="117">
        <v>1216</v>
      </c>
      <c r="O23" s="117">
        <v>7905</v>
      </c>
      <c r="P23" s="118">
        <f t="shared" si="2"/>
        <v>5.5008223684210522</v>
      </c>
      <c r="Q23" s="117">
        <v>15743</v>
      </c>
      <c r="R23" s="119">
        <f t="shared" si="3"/>
        <v>0.99152435167615438</v>
      </c>
      <c r="S23" s="116"/>
    </row>
    <row r="24" spans="1:19" s="100" customFormat="1" ht="27.95" customHeight="1" x14ac:dyDescent="0.25">
      <c r="A24" s="116"/>
      <c r="B24" s="116"/>
      <c r="C24" s="110" t="s">
        <v>141</v>
      </c>
      <c r="D24" s="101">
        <v>36</v>
      </c>
      <c r="E24" s="101">
        <v>138</v>
      </c>
      <c r="F24" s="102">
        <f t="shared" si="0"/>
        <v>2.8333333333333335</v>
      </c>
      <c r="G24" s="101">
        <v>1558</v>
      </c>
      <c r="H24" s="109">
        <f t="shared" si="1"/>
        <v>10.289855072463768</v>
      </c>
      <c r="I24" s="116"/>
      <c r="J24" s="116"/>
      <c r="K24" s="116"/>
      <c r="L24" s="116"/>
      <c r="M24" s="110" t="s">
        <v>141</v>
      </c>
      <c r="N24" s="117">
        <v>44</v>
      </c>
      <c r="O24" s="117">
        <v>938</v>
      </c>
      <c r="P24" s="118">
        <f t="shared" si="2"/>
        <v>20.318181818181817</v>
      </c>
      <c r="Q24" s="117">
        <v>1558</v>
      </c>
      <c r="R24" s="119">
        <f t="shared" si="3"/>
        <v>0.66098081023454158</v>
      </c>
      <c r="S24" s="116"/>
    </row>
    <row r="25" spans="1:19" s="100" customFormat="1" ht="27.95" customHeight="1" x14ac:dyDescent="0.25">
      <c r="A25" s="116"/>
      <c r="B25" s="116"/>
      <c r="C25" s="110" t="s">
        <v>46</v>
      </c>
      <c r="D25" s="101">
        <v>155</v>
      </c>
      <c r="E25" s="101">
        <v>1055</v>
      </c>
      <c r="F25" s="102">
        <f t="shared" si="0"/>
        <v>5.806451612903226</v>
      </c>
      <c r="G25" s="101">
        <v>2592</v>
      </c>
      <c r="H25" s="109">
        <f t="shared" si="1"/>
        <v>1.456872037914692</v>
      </c>
      <c r="I25" s="116"/>
      <c r="J25" s="116"/>
      <c r="K25" s="116"/>
      <c r="L25" s="116"/>
      <c r="M25" s="110" t="s">
        <v>46</v>
      </c>
      <c r="N25" s="117">
        <v>457</v>
      </c>
      <c r="O25" s="117">
        <v>2020</v>
      </c>
      <c r="P25" s="118">
        <f t="shared" si="2"/>
        <v>3.4201312910284463</v>
      </c>
      <c r="Q25" s="117">
        <v>2592</v>
      </c>
      <c r="R25" s="119">
        <f t="shared" si="3"/>
        <v>0.28316831683168314</v>
      </c>
      <c r="S25" s="116"/>
    </row>
    <row r="26" spans="1:19" s="100" customFormat="1" ht="27.95" customHeight="1" thickBot="1" x14ac:dyDescent="0.3">
      <c r="A26" s="116"/>
      <c r="B26" s="116"/>
      <c r="C26" s="111" t="s">
        <v>47</v>
      </c>
      <c r="D26" s="114">
        <v>91</v>
      </c>
      <c r="E26" s="114">
        <v>426</v>
      </c>
      <c r="F26" s="112">
        <f t="shared" si="0"/>
        <v>3.6813186813186811</v>
      </c>
      <c r="G26" s="114">
        <v>5419</v>
      </c>
      <c r="H26" s="113">
        <f t="shared" si="1"/>
        <v>11.720657276995306</v>
      </c>
      <c r="I26" s="116"/>
      <c r="J26" s="116"/>
      <c r="K26" s="116"/>
      <c r="L26" s="116"/>
      <c r="M26" s="111" t="s">
        <v>47</v>
      </c>
      <c r="N26" s="120">
        <v>204</v>
      </c>
      <c r="O26" s="120">
        <v>2243</v>
      </c>
      <c r="P26" s="121">
        <f t="shared" si="2"/>
        <v>9.9950980392156854</v>
      </c>
      <c r="Q26" s="120">
        <v>5419</v>
      </c>
      <c r="R26" s="122">
        <f t="shared" si="3"/>
        <v>1.4159607668301382</v>
      </c>
      <c r="S26" s="116"/>
    </row>
    <row r="27" spans="1:19" s="115" customFormat="1" x14ac:dyDescent="0.25">
      <c r="D27" s="116"/>
      <c r="E27" s="116"/>
      <c r="F27" s="116"/>
      <c r="G27" s="116"/>
      <c r="H27" s="116"/>
      <c r="N27" s="116"/>
      <c r="O27" s="116"/>
      <c r="P27" s="116"/>
      <c r="Q27" s="116"/>
      <c r="R27" s="116"/>
    </row>
    <row r="28" spans="1:19" s="115" customFormat="1" x14ac:dyDescent="0.25">
      <c r="D28" s="116"/>
      <c r="E28" s="116"/>
      <c r="F28" s="116"/>
      <c r="G28" s="116"/>
      <c r="H28" s="116"/>
      <c r="N28" s="116"/>
      <c r="O28" s="116"/>
      <c r="P28" s="116"/>
      <c r="Q28" s="116"/>
      <c r="R28" s="116"/>
    </row>
    <row r="29" spans="1:19" s="115" customFormat="1" x14ac:dyDescent="0.25">
      <c r="D29" s="116"/>
      <c r="E29" s="116"/>
      <c r="F29" s="116"/>
      <c r="G29" s="116"/>
      <c r="H29" s="116"/>
      <c r="N29" s="116"/>
      <c r="O29" s="116"/>
      <c r="P29" s="116"/>
      <c r="Q29" s="116"/>
      <c r="R29" s="116"/>
    </row>
    <row r="30" spans="1:19" s="115" customFormat="1" x14ac:dyDescent="0.25">
      <c r="D30" s="116"/>
      <c r="E30" s="116"/>
      <c r="F30" s="116"/>
      <c r="G30" s="116"/>
      <c r="H30" s="116"/>
      <c r="N30" s="116"/>
      <c r="O30" s="116"/>
      <c r="P30" s="116"/>
      <c r="Q30" s="116"/>
      <c r="R30" s="116"/>
    </row>
    <row r="31" spans="1:19" s="115" customFormat="1" x14ac:dyDescent="0.25">
      <c r="D31" s="116"/>
      <c r="E31" s="116"/>
      <c r="F31" s="116"/>
      <c r="G31" s="116"/>
      <c r="H31" s="116"/>
      <c r="N31" s="116"/>
      <c r="O31" s="116"/>
      <c r="P31" s="116"/>
      <c r="Q31" s="116"/>
      <c r="R31" s="116"/>
    </row>
    <row r="32" spans="1:19" s="115" customFormat="1" x14ac:dyDescent="0.25">
      <c r="D32" s="116"/>
      <c r="E32" s="116"/>
      <c r="F32" s="116"/>
      <c r="G32" s="116"/>
      <c r="H32" s="116"/>
    </row>
    <row r="33" spans="4:8" s="115" customFormat="1" x14ac:dyDescent="0.25">
      <c r="D33" s="116"/>
      <c r="E33" s="116"/>
      <c r="F33" s="116"/>
      <c r="G33" s="116"/>
      <c r="H33" s="116"/>
    </row>
    <row r="34" spans="4:8" s="115" customFormat="1" x14ac:dyDescent="0.25">
      <c r="D34" s="116"/>
      <c r="E34" s="116"/>
      <c r="F34" s="116"/>
      <c r="G34" s="116"/>
      <c r="H34" s="116"/>
    </row>
    <row r="35" spans="4:8" s="115" customFormat="1" x14ac:dyDescent="0.25">
      <c r="D35" s="116"/>
      <c r="E35" s="116"/>
      <c r="F35" s="116"/>
      <c r="G35" s="116"/>
      <c r="H35" s="116"/>
    </row>
    <row r="36" spans="4:8" s="115" customFormat="1" x14ac:dyDescent="0.25">
      <c r="D36" s="116"/>
      <c r="E36" s="116"/>
      <c r="F36" s="116"/>
      <c r="G36" s="116"/>
      <c r="H36" s="116"/>
    </row>
    <row r="37" spans="4:8" s="115" customFormat="1" x14ac:dyDescent="0.25">
      <c r="D37" s="116"/>
      <c r="E37" s="116"/>
      <c r="F37" s="116"/>
      <c r="G37" s="116"/>
      <c r="H37" s="116"/>
    </row>
    <row r="38" spans="4:8" s="115" customFormat="1" x14ac:dyDescent="0.25">
      <c r="D38" s="116"/>
      <c r="E38" s="116"/>
      <c r="F38" s="116"/>
      <c r="G38" s="116"/>
      <c r="H38" s="116"/>
    </row>
    <row r="39" spans="4:8" s="115" customFormat="1" x14ac:dyDescent="0.25">
      <c r="D39" s="116"/>
      <c r="E39" s="116"/>
      <c r="F39" s="116"/>
      <c r="G39" s="116"/>
      <c r="H39" s="116"/>
    </row>
    <row r="40" spans="4:8" s="115" customFormat="1" x14ac:dyDescent="0.25">
      <c r="D40" s="116"/>
      <c r="E40" s="116"/>
      <c r="F40" s="116"/>
      <c r="G40" s="116"/>
      <c r="H40" s="116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88" t="s">
        <v>136</v>
      </c>
      <c r="J1" s="88" t="s">
        <v>137</v>
      </c>
      <c r="K1" s="90" t="s">
        <v>18</v>
      </c>
      <c r="L1" s="91" t="s">
        <v>138</v>
      </c>
      <c r="M1" s="91" t="s">
        <v>111</v>
      </c>
      <c r="N1" s="91" t="s">
        <v>112</v>
      </c>
      <c r="O1" s="78" t="s">
        <v>139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1" t="s">
        <v>51</v>
      </c>
      <c r="I2" s="89">
        <v>3075646</v>
      </c>
      <c r="J2" s="88">
        <v>200</v>
      </c>
      <c r="K2" s="92" t="s">
        <v>20</v>
      </c>
      <c r="L2" s="93">
        <v>96988</v>
      </c>
      <c r="M2" s="93">
        <v>2252</v>
      </c>
      <c r="N2" s="93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1" t="s">
        <v>22</v>
      </c>
      <c r="I3" s="89">
        <v>17541141</v>
      </c>
      <c r="J3" s="88">
        <v>307571</v>
      </c>
      <c r="K3" s="92" t="s">
        <v>22</v>
      </c>
      <c r="L3" s="93">
        <v>264956</v>
      </c>
      <c r="M3" s="93">
        <v>5395</v>
      </c>
      <c r="N3" s="93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1" t="s">
        <v>39</v>
      </c>
      <c r="I4" s="89">
        <v>770881</v>
      </c>
      <c r="J4" s="88">
        <v>53219</v>
      </c>
      <c r="K4" s="92" t="s">
        <v>39</v>
      </c>
      <c r="L4" s="93">
        <v>8532</v>
      </c>
      <c r="M4" s="94">
        <v>228</v>
      </c>
      <c r="N4" s="93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1" t="s">
        <v>25</v>
      </c>
      <c r="I5" s="89">
        <v>747610</v>
      </c>
      <c r="J5" s="88">
        <v>203013</v>
      </c>
      <c r="K5" s="92" t="s">
        <v>25</v>
      </c>
      <c r="L5" s="93">
        <v>6175</v>
      </c>
      <c r="M5" s="94">
        <v>177</v>
      </c>
      <c r="N5" s="93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1" t="s">
        <v>21</v>
      </c>
      <c r="I6" s="89">
        <v>1204541</v>
      </c>
      <c r="J6" s="88">
        <v>99633</v>
      </c>
      <c r="K6" s="92" t="s">
        <v>21</v>
      </c>
      <c r="L6" s="93">
        <v>5492</v>
      </c>
      <c r="M6" s="94">
        <v>215</v>
      </c>
      <c r="N6" s="93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1" t="s">
        <v>46</v>
      </c>
      <c r="I7" s="89">
        <v>176830</v>
      </c>
      <c r="J7" s="88">
        <v>21571</v>
      </c>
      <c r="K7" s="92" t="s">
        <v>46</v>
      </c>
      <c r="L7" s="93">
        <v>2101</v>
      </c>
      <c r="M7" s="94">
        <v>29</v>
      </c>
      <c r="N7" s="94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1" t="s">
        <v>28</v>
      </c>
      <c r="I8" s="89">
        <v>393531</v>
      </c>
      <c r="J8" s="88">
        <v>89680</v>
      </c>
      <c r="K8" s="92" t="s">
        <v>28</v>
      </c>
      <c r="L8" s="93">
        <v>1627</v>
      </c>
      <c r="M8" s="94">
        <v>59</v>
      </c>
      <c r="N8" s="94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1" t="s">
        <v>26</v>
      </c>
      <c r="I9" s="89">
        <v>664057</v>
      </c>
      <c r="J9" s="88">
        <v>94078</v>
      </c>
      <c r="K9" s="92" t="s">
        <v>26</v>
      </c>
      <c r="L9" s="93">
        <v>3163</v>
      </c>
      <c r="M9" s="94">
        <v>55</v>
      </c>
      <c r="N9" s="93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1" t="s">
        <v>24</v>
      </c>
      <c r="I10" s="89">
        <v>1990338</v>
      </c>
      <c r="J10" s="88">
        <v>148827</v>
      </c>
      <c r="K10" s="92" t="s">
        <v>24</v>
      </c>
      <c r="L10" s="93">
        <v>7187</v>
      </c>
      <c r="M10" s="94">
        <v>131</v>
      </c>
      <c r="N10" s="93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1" t="s">
        <v>44</v>
      </c>
      <c r="I11" s="89">
        <v>365698</v>
      </c>
      <c r="J11" s="88">
        <v>243943</v>
      </c>
      <c r="K11" s="92" t="s">
        <v>44</v>
      </c>
      <c r="L11" s="93">
        <v>1805</v>
      </c>
      <c r="M11" s="94">
        <v>15</v>
      </c>
      <c r="N11" s="94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1" t="s">
        <v>38</v>
      </c>
      <c r="I12" s="89">
        <v>1385961</v>
      </c>
      <c r="J12" s="88">
        <v>78781</v>
      </c>
      <c r="K12" s="92" t="s">
        <v>38</v>
      </c>
      <c r="L12" s="93">
        <v>3649</v>
      </c>
      <c r="M12" s="94">
        <v>49</v>
      </c>
      <c r="N12" s="93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1" t="s">
        <v>27</v>
      </c>
      <c r="I13" s="89">
        <v>3760450</v>
      </c>
      <c r="J13" s="88">
        <v>165321</v>
      </c>
      <c r="K13" s="92" t="s">
        <v>27</v>
      </c>
      <c r="L13" s="93">
        <v>8917</v>
      </c>
      <c r="M13" s="94">
        <v>126</v>
      </c>
      <c r="N13" s="93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132</v>
      </c>
      <c r="F14">
        <v>1612</v>
      </c>
      <c r="G14">
        <f>AVERAGE(F8:F14)</f>
        <v>1575.2857142857142</v>
      </c>
      <c r="H14" s="81" t="s">
        <v>41</v>
      </c>
      <c r="I14" s="89">
        <v>1424397</v>
      </c>
      <c r="J14" s="88">
        <v>155488</v>
      </c>
      <c r="K14" s="92" t="s">
        <v>41</v>
      </c>
      <c r="L14" s="93">
        <v>3510</v>
      </c>
      <c r="M14" s="94">
        <v>47</v>
      </c>
      <c r="N14" s="93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1" t="s">
        <v>29</v>
      </c>
      <c r="I15" s="89">
        <v>3536418</v>
      </c>
      <c r="J15" s="88">
        <v>133007</v>
      </c>
      <c r="K15" s="92" t="s">
        <v>29</v>
      </c>
      <c r="L15" s="93">
        <v>8582</v>
      </c>
      <c r="M15" s="94">
        <v>95</v>
      </c>
      <c r="N15" s="93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1" t="s">
        <v>45</v>
      </c>
      <c r="I16" s="89">
        <v>978313</v>
      </c>
      <c r="J16" s="88">
        <v>136351</v>
      </c>
      <c r="K16" s="92" t="s">
        <v>45</v>
      </c>
      <c r="L16" s="94">
        <v>975</v>
      </c>
      <c r="M16" s="94">
        <v>13</v>
      </c>
      <c r="N16" s="94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1" t="s">
        <v>36</v>
      </c>
      <c r="I17" s="89">
        <v>618994</v>
      </c>
      <c r="J17" s="88">
        <v>224686</v>
      </c>
      <c r="K17" s="92" t="s">
        <v>36</v>
      </c>
      <c r="L17" s="94">
        <v>956</v>
      </c>
      <c r="M17" s="94">
        <v>7</v>
      </c>
      <c r="N17" s="94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1" t="s">
        <v>47</v>
      </c>
      <c r="I18" s="89">
        <v>1694656</v>
      </c>
      <c r="J18" s="88">
        <v>22524</v>
      </c>
      <c r="K18" s="92" t="s">
        <v>47</v>
      </c>
      <c r="L18" s="93">
        <v>2485</v>
      </c>
      <c r="M18" s="94">
        <v>14</v>
      </c>
      <c r="N18" s="93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1" t="s">
        <v>40</v>
      </c>
      <c r="I19" s="89">
        <v>358428</v>
      </c>
      <c r="J19" s="88">
        <v>143440</v>
      </c>
      <c r="K19" s="92" t="s">
        <v>40</v>
      </c>
      <c r="L19" s="94">
        <v>240</v>
      </c>
      <c r="M19" s="94">
        <v>2</v>
      </c>
      <c r="N19" s="94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1" t="s">
        <v>37</v>
      </c>
      <c r="I20" s="89">
        <v>1120801</v>
      </c>
      <c r="J20" s="88">
        <v>88199</v>
      </c>
      <c r="K20" s="92" t="s">
        <v>37</v>
      </c>
      <c r="L20" s="94">
        <v>315</v>
      </c>
      <c r="M20" s="94">
        <v>5</v>
      </c>
      <c r="N20" s="94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1" t="s">
        <v>48</v>
      </c>
      <c r="I21" s="89">
        <v>605193</v>
      </c>
      <c r="J21" s="88">
        <v>72066</v>
      </c>
      <c r="K21" s="92" t="s">
        <v>48</v>
      </c>
      <c r="L21" s="94">
        <v>86</v>
      </c>
      <c r="M21" s="94">
        <v>1</v>
      </c>
      <c r="N21" s="94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1" t="s">
        <v>30</v>
      </c>
      <c r="I22" s="89">
        <v>1261294</v>
      </c>
      <c r="J22" s="88">
        <v>29801</v>
      </c>
      <c r="K22" s="92" t="s">
        <v>30</v>
      </c>
      <c r="L22" s="94">
        <v>74</v>
      </c>
      <c r="M22" s="94">
        <v>2</v>
      </c>
      <c r="N22" s="94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1" t="s">
        <v>42</v>
      </c>
      <c r="I23" s="89">
        <v>781217</v>
      </c>
      <c r="J23" s="88">
        <v>89651</v>
      </c>
      <c r="K23" s="92" t="s">
        <v>42</v>
      </c>
      <c r="L23" s="94">
        <v>223</v>
      </c>
      <c r="M23" s="94">
        <v>1</v>
      </c>
      <c r="N23" s="94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1" t="s">
        <v>35</v>
      </c>
      <c r="I24" s="89">
        <v>415438</v>
      </c>
      <c r="J24" s="88">
        <v>102602</v>
      </c>
      <c r="K24" s="92" t="s">
        <v>35</v>
      </c>
      <c r="L24" s="94">
        <v>67</v>
      </c>
      <c r="M24" s="94">
        <v>0</v>
      </c>
      <c r="N24" s="94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1" t="s">
        <v>43</v>
      </c>
      <c r="I25" s="89">
        <v>508328</v>
      </c>
      <c r="J25" s="88">
        <v>76748</v>
      </c>
      <c r="K25" s="92" t="s">
        <v>43</v>
      </c>
      <c r="L25" s="94">
        <v>156</v>
      </c>
      <c r="M25" s="94">
        <v>0</v>
      </c>
      <c r="N25" s="94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880F-DAB7-403A-9B71-844DF17E9F27}">
  <dimension ref="A1:X285"/>
  <sheetViews>
    <sheetView topLeftCell="A207" zoomScale="70" zoomScaleNormal="70" workbookViewId="0">
      <selection activeCell="N218" sqref="N218"/>
    </sheetView>
  </sheetViews>
  <sheetFormatPr baseColWidth="10" defaultRowHeight="15" x14ac:dyDescent="0.25"/>
  <cols>
    <col min="1" max="1" width="12.42578125" style="74" customWidth="1"/>
    <col min="2" max="2" width="12" style="95" bestFit="1" customWidth="1"/>
    <col min="3" max="3" width="13.140625" style="95" bestFit="1" customWidth="1"/>
    <col min="4" max="4" width="9.140625" style="95" customWidth="1"/>
    <col min="5" max="5" width="10" style="95" customWidth="1"/>
    <col min="6" max="6" width="13.140625" style="83" customWidth="1"/>
    <col min="7" max="7" width="9.42578125" style="95" customWidth="1"/>
    <col min="8" max="8" width="11.5703125" style="95" bestFit="1" customWidth="1"/>
    <col min="9" max="9" width="13.140625" style="95" bestFit="1" customWidth="1"/>
    <col min="10" max="10" width="12" style="36" customWidth="1"/>
    <col min="11" max="11" width="13.140625" style="36" customWidth="1"/>
    <col min="12" max="12" width="14.140625" style="95" customWidth="1"/>
    <col min="13" max="16" width="11.5703125" style="95" bestFit="1" customWidth="1"/>
    <col min="17" max="17" width="12.5703125" style="95" customWidth="1"/>
    <col min="18" max="18" width="8" style="25" customWidth="1"/>
    <col min="19" max="19" width="11.42578125" style="95"/>
    <col min="20" max="20" width="5.28515625" style="95" customWidth="1"/>
    <col min="21" max="21" width="6.140625" style="95" customWidth="1"/>
    <col min="22" max="22" width="9.28515625" style="95" customWidth="1"/>
    <col min="23" max="23" width="12.7109375" style="95" customWidth="1"/>
    <col min="24" max="24" width="10" style="95" customWidth="1"/>
    <col min="25" max="16384" width="11.42578125" style="95"/>
  </cols>
  <sheetData>
    <row r="1" spans="1:24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151</v>
      </c>
      <c r="R1" s="1" t="s">
        <v>131</v>
      </c>
      <c r="S1" s="4" t="s">
        <v>130</v>
      </c>
      <c r="T1" s="95" t="s">
        <v>155</v>
      </c>
      <c r="U1" s="95" t="s">
        <v>154</v>
      </c>
      <c r="V1" s="95" t="s">
        <v>153</v>
      </c>
      <c r="W1" s="95" t="s">
        <v>152</v>
      </c>
      <c r="X1" s="95" t="s">
        <v>156</v>
      </c>
    </row>
    <row r="2" spans="1:24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24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24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24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24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29">
        <f t="shared" ref="Q6:Q37" si="0">F6-F5</f>
        <v>0</v>
      </c>
      <c r="R6" s="1"/>
      <c r="S6" s="4"/>
    </row>
    <row r="7" spans="1:24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29">
        <f t="shared" si="0"/>
        <v>0</v>
      </c>
      <c r="R7" s="1"/>
      <c r="S7" s="4"/>
    </row>
    <row r="8" spans="1:24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29">
        <f t="shared" si="0"/>
        <v>0</v>
      </c>
      <c r="R8" s="1"/>
      <c r="S8" s="4"/>
      <c r="X8" s="36">
        <f t="shared" ref="X8:X71" si="1">AVERAGE(D2:D8)</f>
        <v>0.14285714285714285</v>
      </c>
    </row>
    <row r="9" spans="1:24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29">
        <f t="shared" si="0"/>
        <v>0</v>
      </c>
      <c r="R9" s="1"/>
      <c r="S9" s="4"/>
      <c r="X9" s="36">
        <f t="shared" si="1"/>
        <v>0.14285714285714285</v>
      </c>
    </row>
    <row r="10" spans="1:24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29">
        <f t="shared" si="0"/>
        <v>0</v>
      </c>
      <c r="R10" s="1"/>
      <c r="S10" s="4"/>
      <c r="X10" s="36">
        <f t="shared" si="1"/>
        <v>0.14285714285714285</v>
      </c>
    </row>
    <row r="11" spans="1:24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29">
        <f t="shared" si="0"/>
        <v>0</v>
      </c>
      <c r="R11" s="1"/>
      <c r="S11" s="4"/>
      <c r="X11" s="36">
        <f t="shared" si="1"/>
        <v>0.14285714285714285</v>
      </c>
    </row>
    <row r="12" spans="1:24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29">
        <f t="shared" si="0"/>
        <v>0</v>
      </c>
      <c r="R12" s="1"/>
      <c r="S12" s="4"/>
      <c r="X12" s="36">
        <f t="shared" si="1"/>
        <v>0.2857142857142857</v>
      </c>
    </row>
    <row r="13" spans="1:24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29">
        <f t="shared" si="0"/>
        <v>0</v>
      </c>
      <c r="R13" s="1"/>
      <c r="S13" s="4"/>
      <c r="X13" s="36">
        <f t="shared" si="1"/>
        <v>0.14285714285714285</v>
      </c>
    </row>
    <row r="14" spans="1:24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29">
        <f t="shared" si="0"/>
        <v>0</v>
      </c>
      <c r="R14" s="72">
        <f t="shared" ref="R14:R45" si="2">G14/(C14-E14-F14)</f>
        <v>0</v>
      </c>
      <c r="S14" s="62">
        <f t="shared" ref="S14:S45" si="3">E14/C14</f>
        <v>3.5714285714285712E-2</v>
      </c>
      <c r="X14" s="36">
        <f t="shared" si="1"/>
        <v>0.14285714285714285</v>
      </c>
    </row>
    <row r="15" spans="1:24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29">
        <f t="shared" si="0"/>
        <v>0</v>
      </c>
      <c r="R15" s="72">
        <f t="shared" si="2"/>
        <v>0</v>
      </c>
      <c r="S15" s="62">
        <f t="shared" si="3"/>
        <v>3.0769230769230771E-2</v>
      </c>
      <c r="X15" s="36">
        <f t="shared" si="1"/>
        <v>0.14285714285714285</v>
      </c>
    </row>
    <row r="16" spans="1:24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29">
        <f t="shared" si="0"/>
        <v>0</v>
      </c>
      <c r="R16" s="72">
        <f t="shared" si="2"/>
        <v>0</v>
      </c>
      <c r="S16" s="62">
        <f t="shared" si="3"/>
        <v>2.564102564102564E-2</v>
      </c>
      <c r="X16" s="36">
        <f t="shared" si="1"/>
        <v>0.14285714285714285</v>
      </c>
    </row>
    <row r="17" spans="1:24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48" si="4">C17-O17-N17-M17</f>
        <v>1</v>
      </c>
      <c r="Q17" s="29">
        <f t="shared" si="0"/>
        <v>18</v>
      </c>
      <c r="R17" s="72">
        <f t="shared" si="2"/>
        <v>0</v>
      </c>
      <c r="S17" s="62">
        <f t="shared" si="3"/>
        <v>3.0927835051546393E-2</v>
      </c>
      <c r="X17" s="36">
        <f t="shared" si="1"/>
        <v>0.2857142857142857</v>
      </c>
    </row>
    <row r="18" spans="1:24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4"/>
        <v>6</v>
      </c>
      <c r="Q18" s="29">
        <f t="shared" si="0"/>
        <v>5</v>
      </c>
      <c r="R18" s="72">
        <f t="shared" si="2"/>
        <v>0</v>
      </c>
      <c r="S18" s="62">
        <f t="shared" si="3"/>
        <v>2.34375E-2</v>
      </c>
      <c r="X18" s="36">
        <f t="shared" si="1"/>
        <v>0.2857142857142857</v>
      </c>
    </row>
    <row r="19" spans="1:24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27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4"/>
        <v>10</v>
      </c>
      <c r="Q19" s="29">
        <f t="shared" si="0"/>
        <v>4</v>
      </c>
      <c r="R19" s="72">
        <f t="shared" si="2"/>
        <v>0</v>
      </c>
      <c r="S19" s="62">
        <f t="shared" si="3"/>
        <v>1.8987341772151899E-2</v>
      </c>
      <c r="X19" s="36">
        <f t="shared" si="1"/>
        <v>0.14285714285714285</v>
      </c>
    </row>
    <row r="20" spans="1:24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31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4"/>
        <v>20</v>
      </c>
      <c r="Q20" s="29">
        <f t="shared" si="0"/>
        <v>4</v>
      </c>
      <c r="R20" s="72">
        <f t="shared" si="2"/>
        <v>0</v>
      </c>
      <c r="S20" s="62">
        <f t="shared" si="3"/>
        <v>1.7777777777777778E-2</v>
      </c>
      <c r="X20" s="36">
        <f t="shared" si="1"/>
        <v>0.2857142857142857</v>
      </c>
    </row>
    <row r="21" spans="1:24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4"/>
        <v>17</v>
      </c>
      <c r="Q21" s="29">
        <f t="shared" si="0"/>
        <v>20</v>
      </c>
      <c r="R21" s="72">
        <f t="shared" si="2"/>
        <v>0</v>
      </c>
      <c r="S21" s="62">
        <f t="shared" si="3"/>
        <v>1.5037593984962405E-2</v>
      </c>
      <c r="X21" s="36">
        <f t="shared" si="1"/>
        <v>0.2857142857142857</v>
      </c>
    </row>
    <row r="22" spans="1:24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4"/>
        <v>30</v>
      </c>
      <c r="Q22" s="29">
        <f t="shared" si="0"/>
        <v>1</v>
      </c>
      <c r="R22" s="72">
        <f t="shared" si="2"/>
        <v>0</v>
      </c>
      <c r="S22" s="62">
        <f t="shared" si="3"/>
        <v>1.3289036544850499E-2</v>
      </c>
      <c r="X22" s="36">
        <f t="shared" si="1"/>
        <v>0.2857142857142857</v>
      </c>
    </row>
    <row r="23" spans="1:24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4"/>
        <v>55</v>
      </c>
      <c r="Q23" s="29">
        <f t="shared" si="0"/>
        <v>11</v>
      </c>
      <c r="R23" s="72">
        <f t="shared" si="2"/>
        <v>0</v>
      </c>
      <c r="S23" s="62">
        <f t="shared" si="3"/>
        <v>1.5503875968992248E-2</v>
      </c>
      <c r="X23" s="36">
        <f t="shared" si="1"/>
        <v>0.5714285714285714</v>
      </c>
    </row>
    <row r="24" spans="1:24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4"/>
        <v>150</v>
      </c>
      <c r="Q24" s="29">
        <f t="shared" si="0"/>
        <v>9</v>
      </c>
      <c r="R24" s="72">
        <f t="shared" si="2"/>
        <v>0</v>
      </c>
      <c r="S24" s="62">
        <f t="shared" si="3"/>
        <v>1.5904572564612324E-2</v>
      </c>
      <c r="X24" s="36">
        <f t="shared" si="1"/>
        <v>0.7142857142857143</v>
      </c>
    </row>
    <row r="25" spans="1:24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4"/>
        <v>175</v>
      </c>
      <c r="Q25" s="29">
        <f t="shared" si="0"/>
        <v>3</v>
      </c>
      <c r="R25" s="72">
        <f t="shared" si="2"/>
        <v>4.9800796812749001E-2</v>
      </c>
      <c r="S25" s="62">
        <f t="shared" si="3"/>
        <v>2.037351443123939E-2</v>
      </c>
      <c r="X25" s="36">
        <f t="shared" si="1"/>
        <v>1.2857142857142858</v>
      </c>
    </row>
    <row r="26" spans="1:24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4"/>
        <v>135</v>
      </c>
      <c r="Q26" s="29">
        <f t="shared" si="0"/>
        <v>5</v>
      </c>
      <c r="R26" s="72">
        <f t="shared" si="2"/>
        <v>0</v>
      </c>
      <c r="S26" s="62">
        <f t="shared" si="3"/>
        <v>2.4637681159420291E-2</v>
      </c>
      <c r="X26" s="36">
        <f t="shared" si="1"/>
        <v>2</v>
      </c>
    </row>
    <row r="27" spans="1:24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4"/>
        <v>151</v>
      </c>
      <c r="Q27" s="29">
        <f t="shared" si="0"/>
        <v>11</v>
      </c>
      <c r="R27" s="72">
        <f t="shared" si="2"/>
        <v>6.9291338582677164E-2</v>
      </c>
      <c r="S27" s="62">
        <f t="shared" si="3"/>
        <v>2.5503355704697986E-2</v>
      </c>
      <c r="X27" s="36">
        <f t="shared" si="1"/>
        <v>2.1428571428571428</v>
      </c>
    </row>
    <row r="28" spans="1:24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4"/>
        <v>170</v>
      </c>
      <c r="Q28" s="29">
        <f t="shared" si="0"/>
        <v>137</v>
      </c>
      <c r="R28" s="72">
        <f t="shared" si="2"/>
        <v>9.2657342657342656E-2</v>
      </c>
      <c r="S28" s="62">
        <f t="shared" si="3"/>
        <v>2.4390243902439025E-2</v>
      </c>
      <c r="X28" s="36">
        <f t="shared" si="1"/>
        <v>2.2857142857142856</v>
      </c>
    </row>
    <row r="29" spans="1:24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4"/>
        <v>269</v>
      </c>
      <c r="Q29" s="29">
        <f t="shared" si="0"/>
        <v>12</v>
      </c>
      <c r="R29" s="72">
        <f t="shared" si="2"/>
        <v>7.8459343794579167E-2</v>
      </c>
      <c r="S29" s="62">
        <f t="shared" si="3"/>
        <v>2.5879917184265012E-2</v>
      </c>
      <c r="X29" s="36">
        <f t="shared" si="1"/>
        <v>3</v>
      </c>
    </row>
    <row r="30" spans="1:24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4"/>
        <v>229</v>
      </c>
      <c r="Q30" s="29">
        <f t="shared" si="0"/>
        <v>8</v>
      </c>
      <c r="R30" s="72">
        <f t="shared" si="2"/>
        <v>7.0694087403598976E-2</v>
      </c>
      <c r="S30" s="62">
        <f t="shared" si="3"/>
        <v>2.6565464895635674E-2</v>
      </c>
      <c r="X30" s="36">
        <f t="shared" si="1"/>
        <v>3.1428571428571428</v>
      </c>
    </row>
    <row r="31" spans="1:24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4"/>
        <v>203</v>
      </c>
      <c r="Q31" s="29">
        <f t="shared" si="0"/>
        <v>8</v>
      </c>
      <c r="R31" s="72">
        <f t="shared" si="2"/>
        <v>8.5308056872037921E-2</v>
      </c>
      <c r="S31" s="62">
        <f t="shared" si="3"/>
        <v>2.9126213592233011E-2</v>
      </c>
      <c r="X31" s="36">
        <f t="shared" si="1"/>
        <v>3.5714285714285716</v>
      </c>
    </row>
    <row r="32" spans="1:24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4"/>
        <v>143</v>
      </c>
      <c r="Q32" s="29">
        <f t="shared" si="0"/>
        <v>10</v>
      </c>
      <c r="R32" s="72">
        <f t="shared" si="2"/>
        <v>8.5239085239085244E-2</v>
      </c>
      <c r="S32" s="62">
        <f t="shared" si="3"/>
        <v>2.9249011857707511E-2</v>
      </c>
      <c r="X32" s="36">
        <f t="shared" si="1"/>
        <v>3.5714285714285716</v>
      </c>
    </row>
    <row r="33" spans="1:24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4"/>
        <v>124</v>
      </c>
      <c r="Q33" s="29">
        <f t="shared" si="0"/>
        <v>13</v>
      </c>
      <c r="R33" s="72">
        <f t="shared" si="2"/>
        <v>8.3333333333333329E-2</v>
      </c>
      <c r="S33" s="62">
        <f t="shared" si="3"/>
        <v>3.1042128603104215E-2</v>
      </c>
      <c r="X33" s="36">
        <f t="shared" si="1"/>
        <v>3.5714285714285716</v>
      </c>
    </row>
    <row r="34" spans="1:24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4"/>
        <v>168</v>
      </c>
      <c r="Q34" s="29">
        <f t="shared" si="0"/>
        <v>1</v>
      </c>
      <c r="R34" s="72">
        <f t="shared" si="2"/>
        <v>7.7127659574468085E-2</v>
      </c>
      <c r="S34" s="62">
        <f t="shared" si="3"/>
        <v>2.9634734665747762E-2</v>
      </c>
      <c r="X34" s="36">
        <f t="shared" si="1"/>
        <v>3.4285714285714284</v>
      </c>
    </row>
    <row r="35" spans="1:24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4"/>
        <v>175</v>
      </c>
      <c r="Q35" s="29">
        <f t="shared" si="0"/>
        <v>45</v>
      </c>
      <c r="R35" s="72">
        <f t="shared" si="2"/>
        <v>7.945900253592561E-2</v>
      </c>
      <c r="S35" s="62">
        <f t="shared" si="3"/>
        <v>2.9601029601029602E-2</v>
      </c>
      <c r="X35" s="36">
        <f t="shared" si="1"/>
        <v>3.7142857142857144</v>
      </c>
    </row>
    <row r="36" spans="1:24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4"/>
        <v>172</v>
      </c>
      <c r="Q36" s="29">
        <f t="shared" si="0"/>
        <v>13</v>
      </c>
      <c r="R36" s="72">
        <f t="shared" si="2"/>
        <v>7.7607113985448672E-2</v>
      </c>
      <c r="S36" s="62">
        <f t="shared" si="3"/>
        <v>3.2555282555282554E-2</v>
      </c>
      <c r="X36" s="36">
        <f t="shared" si="1"/>
        <v>4</v>
      </c>
    </row>
    <row r="37" spans="1:24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4"/>
        <v>184</v>
      </c>
      <c r="Q37" s="29">
        <f t="shared" si="0"/>
        <v>20</v>
      </c>
      <c r="R37" s="72">
        <f t="shared" si="2"/>
        <v>7.5558982266769464E-2</v>
      </c>
      <c r="S37" s="62">
        <f t="shared" si="3"/>
        <v>3.4985422740524783E-2</v>
      </c>
      <c r="X37" s="36">
        <f t="shared" si="1"/>
        <v>4.5714285714285712</v>
      </c>
    </row>
    <row r="38" spans="1:24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4"/>
        <v>186</v>
      </c>
      <c r="Q38" s="29">
        <f t="shared" ref="Q38:Q69" si="5">F38-F37</f>
        <v>7</v>
      </c>
      <c r="R38" s="72">
        <f t="shared" si="2"/>
        <v>7.179487179487179E-2</v>
      </c>
      <c r="S38" s="62">
        <f t="shared" si="3"/>
        <v>3.6211699164345405E-2</v>
      </c>
      <c r="X38" s="36">
        <f t="shared" si="1"/>
        <v>4.5714285714285712</v>
      </c>
    </row>
    <row r="39" spans="1:24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4"/>
        <v>207</v>
      </c>
      <c r="Q39" s="29">
        <f t="shared" si="5"/>
        <v>10</v>
      </c>
      <c r="R39" s="72">
        <f t="shared" si="2"/>
        <v>6.805555555555555E-2</v>
      </c>
      <c r="S39" s="62">
        <f t="shared" si="3"/>
        <v>4.171066525871172E-2</v>
      </c>
      <c r="X39" s="36">
        <f t="shared" si="1"/>
        <v>6</v>
      </c>
    </row>
    <row r="40" spans="1:24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4"/>
        <v>223</v>
      </c>
      <c r="Q40" s="29">
        <f t="shared" si="5"/>
        <v>65</v>
      </c>
      <c r="R40" s="72">
        <f t="shared" si="2"/>
        <v>7.9146593255333797E-2</v>
      </c>
      <c r="S40" s="62">
        <f t="shared" si="3"/>
        <v>4.1518987341772152E-2</v>
      </c>
      <c r="X40" s="36">
        <f t="shared" si="1"/>
        <v>5.7142857142857144</v>
      </c>
    </row>
    <row r="41" spans="1:24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4"/>
        <v>310</v>
      </c>
      <c r="Q41" s="29">
        <f t="shared" si="5"/>
        <v>28</v>
      </c>
      <c r="R41" s="72">
        <f t="shared" si="2"/>
        <v>5.2365930599369087E-2</v>
      </c>
      <c r="S41" s="62">
        <f t="shared" si="3"/>
        <v>4.1549953314659195E-2</v>
      </c>
      <c r="X41" s="36">
        <f t="shared" si="1"/>
        <v>6.5714285714285712</v>
      </c>
    </row>
    <row r="42" spans="1:24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4"/>
        <v>303</v>
      </c>
      <c r="Q42" s="29">
        <f t="shared" si="5"/>
        <v>47</v>
      </c>
      <c r="R42" s="72">
        <f t="shared" si="2"/>
        <v>7.07133917396746E-2</v>
      </c>
      <c r="S42" s="62">
        <f t="shared" si="3"/>
        <v>4.3025362318840576E-2</v>
      </c>
      <c r="X42" s="36">
        <f t="shared" si="1"/>
        <v>7</v>
      </c>
    </row>
    <row r="43" spans="1:24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4"/>
        <v>303</v>
      </c>
      <c r="Q43" s="29">
        <f t="shared" si="5"/>
        <v>44</v>
      </c>
      <c r="R43" s="72">
        <f t="shared" si="2"/>
        <v>7.160493827160494E-2</v>
      </c>
      <c r="S43" s="62">
        <f t="shared" si="3"/>
        <v>4.3039086517347384E-2</v>
      </c>
      <c r="X43" s="36">
        <f t="shared" si="1"/>
        <v>6.4285714285714288</v>
      </c>
    </row>
    <row r="44" spans="1:24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4"/>
        <v>360</v>
      </c>
      <c r="Q44" s="29">
        <f t="shared" si="5"/>
        <v>37</v>
      </c>
      <c r="R44" s="72">
        <f t="shared" si="2"/>
        <v>6.7164179104477612E-2</v>
      </c>
      <c r="S44" s="62">
        <f t="shared" si="3"/>
        <v>4.2979942693409739E-2</v>
      </c>
      <c r="X44" s="36">
        <f t="shared" si="1"/>
        <v>6.4285714285714288</v>
      </c>
    </row>
    <row r="45" spans="1:24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4"/>
        <v>403</v>
      </c>
      <c r="Q45" s="29">
        <f t="shared" si="5"/>
        <v>35</v>
      </c>
      <c r="R45" s="72">
        <f t="shared" si="2"/>
        <v>6.6192560175054704E-2</v>
      </c>
      <c r="S45" s="62">
        <f t="shared" si="3"/>
        <v>4.3562816024893036E-2</v>
      </c>
      <c r="X45" s="36">
        <f t="shared" si="1"/>
        <v>6.7142857142857144</v>
      </c>
    </row>
    <row r="46" spans="1:24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4"/>
        <v>425</v>
      </c>
      <c r="Q46" s="29">
        <f t="shared" si="5"/>
        <v>35</v>
      </c>
      <c r="R46" s="72">
        <f t="shared" ref="R46:R77" si="6">G46/(C46-E46-F46)</f>
        <v>6.6985645933014357E-2</v>
      </c>
      <c r="S46" s="62">
        <f t="shared" ref="S46:S77" si="7">E46/C46</f>
        <v>4.5710003746721621E-2</v>
      </c>
      <c r="X46" s="36">
        <f t="shared" si="1"/>
        <v>6.1428571428571432</v>
      </c>
    </row>
    <row r="47" spans="1:24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4"/>
        <v>436</v>
      </c>
      <c r="Q47" s="29">
        <f t="shared" si="5"/>
        <v>19</v>
      </c>
      <c r="R47" s="72">
        <f t="shared" si="6"/>
        <v>6.5329218106995879E-2</v>
      </c>
      <c r="S47" s="62">
        <f t="shared" si="7"/>
        <v>4.6773023930384336E-2</v>
      </c>
      <c r="X47" s="36">
        <f t="shared" si="1"/>
        <v>6.7142857142857144</v>
      </c>
    </row>
    <row r="48" spans="1:24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4"/>
        <v>303</v>
      </c>
      <c r="Q48" s="29">
        <f t="shared" si="5"/>
        <v>24</v>
      </c>
      <c r="R48" s="72">
        <f t="shared" si="6"/>
        <v>6.1561561561561562E-2</v>
      </c>
      <c r="S48" s="62">
        <f t="shared" si="7"/>
        <v>4.6495244804508631E-2</v>
      </c>
      <c r="X48" s="36">
        <f t="shared" si="1"/>
        <v>6.1428571428571432</v>
      </c>
    </row>
    <row r="49" spans="1:24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ref="P49:P80" si="8">C49-O49-N49-M49</f>
        <v>310</v>
      </c>
      <c r="Q49" s="29">
        <f t="shared" si="5"/>
        <v>28</v>
      </c>
      <c r="R49" s="72">
        <f t="shared" si="6"/>
        <v>6.0869565217391307E-2</v>
      </c>
      <c r="S49" s="62">
        <f t="shared" si="7"/>
        <v>4.5562733764025844E-2</v>
      </c>
      <c r="X49" s="36">
        <f t="shared" si="1"/>
        <v>5.5714285714285712</v>
      </c>
    </row>
    <row r="50" spans="1:24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8"/>
        <v>299</v>
      </c>
      <c r="Q50" s="29">
        <f t="shared" si="5"/>
        <v>103</v>
      </c>
      <c r="R50" s="72">
        <f t="shared" si="6"/>
        <v>6.2957540263543194E-2</v>
      </c>
      <c r="S50" s="62">
        <f t="shared" si="7"/>
        <v>4.6849224678323982E-2</v>
      </c>
      <c r="X50" s="36">
        <f t="shared" si="1"/>
        <v>6.2857142857142856</v>
      </c>
    </row>
    <row r="51" spans="1:24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8"/>
        <v>314</v>
      </c>
      <c r="Q51" s="29">
        <f t="shared" si="5"/>
        <v>32</v>
      </c>
      <c r="R51" s="72">
        <f t="shared" si="6"/>
        <v>6.1763319189061763E-2</v>
      </c>
      <c r="S51" s="62">
        <f t="shared" si="7"/>
        <v>4.8027989821882951E-2</v>
      </c>
      <c r="X51" s="36">
        <f t="shared" si="1"/>
        <v>6.5714285714285712</v>
      </c>
    </row>
    <row r="52" spans="1:24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8"/>
        <v>341</v>
      </c>
      <c r="Q52" s="29">
        <f t="shared" si="5"/>
        <v>47</v>
      </c>
      <c r="R52" s="72">
        <f t="shared" si="6"/>
        <v>6.1538461538461542E-2</v>
      </c>
      <c r="S52" s="62">
        <f t="shared" si="7"/>
        <v>4.8357664233576646E-2</v>
      </c>
      <c r="X52" s="36">
        <f t="shared" si="1"/>
        <v>6.7142857142857144</v>
      </c>
    </row>
    <row r="53" spans="1:24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8"/>
        <v>348</v>
      </c>
      <c r="Q53" s="29">
        <f t="shared" si="5"/>
        <v>57</v>
      </c>
      <c r="R53" s="72">
        <f t="shared" si="6"/>
        <v>6.1464690496948561E-2</v>
      </c>
      <c r="S53" s="62">
        <f t="shared" si="7"/>
        <v>4.8034934497816595E-2</v>
      </c>
      <c r="X53" s="36">
        <f t="shared" si="1"/>
        <v>6.1428571428571432</v>
      </c>
    </row>
    <row r="54" spans="1:24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8"/>
        <v>403</v>
      </c>
      <c r="Q54" s="29">
        <f t="shared" si="5"/>
        <v>54</v>
      </c>
      <c r="R54" s="72">
        <f t="shared" si="6"/>
        <v>5.9975010412328195E-2</v>
      </c>
      <c r="S54" s="62">
        <f t="shared" si="7"/>
        <v>4.8794011644025505E-2</v>
      </c>
      <c r="X54" s="36">
        <f t="shared" si="1"/>
        <v>6.7142857142857144</v>
      </c>
    </row>
    <row r="55" spans="1:24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8"/>
        <v>454</v>
      </c>
      <c r="Q55" s="29">
        <f t="shared" si="5"/>
        <v>77</v>
      </c>
      <c r="R55" s="72">
        <f t="shared" si="6"/>
        <v>5.5868167202572344E-2</v>
      </c>
      <c r="S55" s="62">
        <f t="shared" si="7"/>
        <v>4.8941798941798939E-2</v>
      </c>
      <c r="X55" s="36">
        <f t="shared" si="1"/>
        <v>7.5714285714285712</v>
      </c>
    </row>
    <row r="56" spans="1:24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8"/>
        <v>479</v>
      </c>
      <c r="Q56" s="29">
        <f t="shared" si="5"/>
        <v>33</v>
      </c>
      <c r="R56" s="72">
        <f t="shared" si="6"/>
        <v>5.8984374999999999E-2</v>
      </c>
      <c r="S56" s="62">
        <f t="shared" si="7"/>
        <v>4.9331963001027747E-2</v>
      </c>
      <c r="X56" s="36">
        <f t="shared" si="1"/>
        <v>8.2857142857142865</v>
      </c>
    </row>
    <row r="57" spans="1:24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8"/>
        <v>476</v>
      </c>
      <c r="Q57" s="29">
        <f t="shared" si="5"/>
        <v>22</v>
      </c>
      <c r="R57" s="72">
        <f t="shared" si="6"/>
        <v>5.8623298033282902E-2</v>
      </c>
      <c r="S57" s="62">
        <f t="shared" si="7"/>
        <v>4.921309018236323E-2</v>
      </c>
      <c r="X57" s="36">
        <f t="shared" si="1"/>
        <v>7.8571428571428568</v>
      </c>
    </row>
    <row r="58" spans="1:24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8"/>
        <v>468</v>
      </c>
      <c r="Q58" s="29">
        <f t="shared" si="5"/>
        <v>30</v>
      </c>
      <c r="R58" s="72">
        <f t="shared" si="6"/>
        <v>5.6451612903225805E-2</v>
      </c>
      <c r="S58" s="62">
        <f t="shared" si="7"/>
        <v>5.0157499394233099E-2</v>
      </c>
      <c r="X58" s="36">
        <f t="shared" si="1"/>
        <v>8</v>
      </c>
    </row>
    <row r="59" spans="1:24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8"/>
        <v>497</v>
      </c>
      <c r="Q59" s="29">
        <f t="shared" si="5"/>
        <v>64</v>
      </c>
      <c r="R59" s="72">
        <f t="shared" si="6"/>
        <v>5.5772646536412077E-2</v>
      </c>
      <c r="S59" s="62">
        <f t="shared" si="7"/>
        <v>4.9941656942823806E-2</v>
      </c>
      <c r="X59" s="36">
        <f t="shared" si="1"/>
        <v>7.8571428571428568</v>
      </c>
    </row>
    <row r="60" spans="1:24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8"/>
        <v>460</v>
      </c>
      <c r="Q60" s="29">
        <f t="shared" si="5"/>
        <v>36</v>
      </c>
      <c r="R60" s="72">
        <f t="shared" si="6"/>
        <v>5.3803975325565453E-2</v>
      </c>
      <c r="S60" s="62">
        <f t="shared" si="7"/>
        <v>4.9232158988256551E-2</v>
      </c>
      <c r="X60" s="36">
        <f t="shared" si="1"/>
        <v>7.5714285714285712</v>
      </c>
    </row>
    <row r="61" spans="1:24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8"/>
        <v>443</v>
      </c>
      <c r="Q61" s="29">
        <f t="shared" si="5"/>
        <v>28</v>
      </c>
      <c r="R61" s="72">
        <f t="shared" si="6"/>
        <v>5.4904586541680615E-2</v>
      </c>
      <c r="S61" s="62">
        <f t="shared" si="7"/>
        <v>4.9646954986760812E-2</v>
      </c>
      <c r="X61" s="36">
        <f t="shared" si="1"/>
        <v>7</v>
      </c>
    </row>
    <row r="62" spans="1:24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8"/>
        <v>485</v>
      </c>
      <c r="Q62" s="29">
        <f t="shared" si="5"/>
        <v>34</v>
      </c>
      <c r="R62" s="72">
        <f t="shared" si="6"/>
        <v>5.307443365695793E-2</v>
      </c>
      <c r="S62" s="62">
        <f t="shared" si="7"/>
        <v>5.0630207220679339E-2</v>
      </c>
      <c r="X62" s="36">
        <f t="shared" si="1"/>
        <v>7.4285714285714288</v>
      </c>
    </row>
    <row r="63" spans="1:24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8"/>
        <v>474</v>
      </c>
      <c r="Q63" s="29">
        <f t="shared" si="5"/>
        <v>88</v>
      </c>
      <c r="R63" s="72">
        <f t="shared" si="6"/>
        <v>4.7157622739018086E-2</v>
      </c>
      <c r="S63" s="62">
        <f t="shared" si="7"/>
        <v>5.1421404682274248E-2</v>
      </c>
      <c r="X63" s="36">
        <f t="shared" si="1"/>
        <v>7.7142857142857144</v>
      </c>
    </row>
    <row r="64" spans="1:24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8"/>
        <v>449</v>
      </c>
      <c r="Q64" s="29">
        <f t="shared" si="5"/>
        <v>30</v>
      </c>
      <c r="R64" s="72">
        <f t="shared" si="6"/>
        <v>4.6909667194928686E-2</v>
      </c>
      <c r="S64" s="62">
        <f t="shared" si="7"/>
        <v>5.3202373644362595E-2</v>
      </c>
      <c r="X64" s="36">
        <f t="shared" si="1"/>
        <v>9</v>
      </c>
    </row>
    <row r="65" spans="1:24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8"/>
        <v>441</v>
      </c>
      <c r="Q65" s="29">
        <f t="shared" si="5"/>
        <v>52</v>
      </c>
      <c r="R65" s="72">
        <f t="shared" si="6"/>
        <v>4.4245049504950493E-2</v>
      </c>
      <c r="S65" s="62">
        <f t="shared" si="7"/>
        <v>5.2589641434262951E-2</v>
      </c>
      <c r="X65" s="36">
        <f t="shared" si="1"/>
        <v>8.1428571428571423</v>
      </c>
    </row>
    <row r="66" spans="1:24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8"/>
        <v>479</v>
      </c>
      <c r="Q66" s="29">
        <f t="shared" si="5"/>
        <v>77</v>
      </c>
      <c r="R66" s="72">
        <f t="shared" si="6"/>
        <v>4.5290941811637675E-2</v>
      </c>
      <c r="S66" s="62">
        <f t="shared" si="7"/>
        <v>5.2419354838709679E-2</v>
      </c>
      <c r="X66" s="36">
        <f t="shared" si="1"/>
        <v>8.4285714285714288</v>
      </c>
    </row>
    <row r="67" spans="1:24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8"/>
        <v>473</v>
      </c>
      <c r="Q67" s="29">
        <f t="shared" si="5"/>
        <v>0</v>
      </c>
      <c r="R67" s="72">
        <f t="shared" si="6"/>
        <v>4.3291284403669722E-2</v>
      </c>
      <c r="S67" s="62">
        <f t="shared" si="7"/>
        <v>5.2504189164029047E-2</v>
      </c>
      <c r="X67" s="36">
        <f t="shared" si="1"/>
        <v>9.1428571428571423</v>
      </c>
    </row>
    <row r="68" spans="1:24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8"/>
        <v>567</v>
      </c>
      <c r="Q68" s="29">
        <f t="shared" si="5"/>
        <v>127</v>
      </c>
      <c r="R68" s="72">
        <f t="shared" si="6"/>
        <v>4.3732590529247911E-2</v>
      </c>
      <c r="S68" s="62">
        <f t="shared" si="7"/>
        <v>5.2218855818927108E-2</v>
      </c>
      <c r="X68" s="36">
        <f t="shared" si="1"/>
        <v>9.7142857142857135</v>
      </c>
    </row>
    <row r="69" spans="1:24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8"/>
        <v>613</v>
      </c>
      <c r="Q69" s="29">
        <f t="shared" si="5"/>
        <v>29</v>
      </c>
      <c r="R69" s="72">
        <f t="shared" si="6"/>
        <v>4.3022317827372952E-2</v>
      </c>
      <c r="S69" s="62">
        <f t="shared" si="7"/>
        <v>5.1939058171745149E-2</v>
      </c>
      <c r="X69" s="36">
        <f t="shared" si="1"/>
        <v>9</v>
      </c>
    </row>
    <row r="70" spans="1:24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8"/>
        <v>670</v>
      </c>
      <c r="Q70" s="29">
        <f t="shared" ref="Q70:Q106" si="9">F70-F69</f>
        <v>80</v>
      </c>
      <c r="R70" s="72">
        <f t="shared" si="6"/>
        <v>4.2137718396711203E-2</v>
      </c>
      <c r="S70" s="62">
        <f t="shared" si="7"/>
        <v>5.0546900894928734E-2</v>
      </c>
      <c r="X70" s="36">
        <f t="shared" si="1"/>
        <v>8.4285714285714288</v>
      </c>
    </row>
    <row r="71" spans="1:24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8"/>
        <v>716</v>
      </c>
      <c r="Q71" s="29">
        <f t="shared" si="9"/>
        <v>25</v>
      </c>
      <c r="R71" s="72">
        <f t="shared" si="6"/>
        <v>4.1443198439785472E-2</v>
      </c>
      <c r="S71" s="62">
        <f t="shared" si="7"/>
        <v>5.0015928639694167E-2</v>
      </c>
      <c r="X71" s="36">
        <f t="shared" si="1"/>
        <v>7.7142857142857144</v>
      </c>
    </row>
    <row r="72" spans="1:24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8"/>
        <v>735</v>
      </c>
      <c r="Q72" s="29">
        <f t="shared" si="9"/>
        <v>404</v>
      </c>
      <c r="R72" s="72">
        <f t="shared" si="6"/>
        <v>3.6953242835595777E-2</v>
      </c>
      <c r="S72" s="62">
        <f t="shared" si="7"/>
        <v>4.8605820508913607E-2</v>
      </c>
      <c r="X72" s="36">
        <f t="shared" ref="X72:X135" si="10">AVERAGE(D66:D72)</f>
        <v>7.8571428571428568</v>
      </c>
    </row>
    <row r="73" spans="1:24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8"/>
        <v>798</v>
      </c>
      <c r="Q73" s="29">
        <f t="shared" si="9"/>
        <v>119</v>
      </c>
      <c r="R73" s="72">
        <f t="shared" si="6"/>
        <v>3.5294117647058823E-2</v>
      </c>
      <c r="S73" s="62">
        <f t="shared" si="7"/>
        <v>4.7826718999854627E-2</v>
      </c>
      <c r="X73" s="36">
        <f t="shared" si="10"/>
        <v>8</v>
      </c>
    </row>
    <row r="74" spans="1:24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8"/>
        <v>805</v>
      </c>
      <c r="Q74" s="29">
        <f t="shared" si="9"/>
        <v>112</v>
      </c>
      <c r="R74" s="72">
        <f t="shared" si="6"/>
        <v>3.4780578898225958E-2</v>
      </c>
      <c r="S74" s="62">
        <f t="shared" si="7"/>
        <v>4.9481356882534341E-2</v>
      </c>
      <c r="X74" s="36">
        <f t="shared" si="10"/>
        <v>10.142857142857142</v>
      </c>
    </row>
    <row r="75" spans="1:24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8"/>
        <v>903</v>
      </c>
      <c r="Q75" s="29">
        <f t="shared" si="9"/>
        <v>37</v>
      </c>
      <c r="R75" s="72">
        <f t="shared" si="6"/>
        <v>3.2904772281542823E-2</v>
      </c>
      <c r="S75" s="62">
        <f t="shared" si="7"/>
        <v>4.7599946516914023E-2</v>
      </c>
      <c r="X75" s="36">
        <f t="shared" si="10"/>
        <v>9</v>
      </c>
    </row>
    <row r="76" spans="1:24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8"/>
        <v>964</v>
      </c>
      <c r="Q76" s="29">
        <f t="shared" si="9"/>
        <v>35</v>
      </c>
      <c r="R76" s="72">
        <f t="shared" si="6"/>
        <v>3.160270880361174E-2</v>
      </c>
      <c r="S76" s="62">
        <f t="shared" si="7"/>
        <v>4.6508648302370274E-2</v>
      </c>
      <c r="X76" s="36">
        <f t="shared" si="10"/>
        <v>9</v>
      </c>
    </row>
    <row r="77" spans="1:24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8"/>
        <v>1118</v>
      </c>
      <c r="Q77" s="29">
        <f t="shared" si="9"/>
        <v>56</v>
      </c>
      <c r="R77" s="72">
        <f t="shared" si="6"/>
        <v>3.125E-2</v>
      </c>
      <c r="S77" s="62">
        <f t="shared" si="7"/>
        <v>4.6129112045510762E-2</v>
      </c>
      <c r="X77" s="36">
        <f t="shared" si="10"/>
        <v>9.7142857142857135</v>
      </c>
    </row>
    <row r="78" spans="1:24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8"/>
        <v>1107</v>
      </c>
      <c r="Q78" s="29">
        <f t="shared" si="9"/>
        <v>247</v>
      </c>
      <c r="R78" s="72">
        <f t="shared" ref="R78:R106" si="11">G78/(C78-E78-F78)</f>
        <v>3.0486613249951142E-2</v>
      </c>
      <c r="S78" s="62">
        <f t="shared" ref="S78:S106" si="12">E78/C78</f>
        <v>4.5633735515470078E-2</v>
      </c>
      <c r="X78" s="36">
        <f t="shared" si="10"/>
        <v>9.7142857142857135</v>
      </c>
    </row>
    <row r="79" spans="1:24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8"/>
        <v>1232</v>
      </c>
      <c r="Q79" s="29">
        <f t="shared" si="9"/>
        <v>61</v>
      </c>
      <c r="R79" s="72">
        <f t="shared" si="11"/>
        <v>2.9363487142075505E-2</v>
      </c>
      <c r="S79" s="62">
        <f t="shared" si="12"/>
        <v>4.4613463503235327E-2</v>
      </c>
      <c r="X79" s="36">
        <f t="shared" si="10"/>
        <v>10.571428571428571</v>
      </c>
    </row>
    <row r="80" spans="1:24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8"/>
        <v>1351</v>
      </c>
      <c r="Q80" s="29">
        <f t="shared" si="9"/>
        <v>99</v>
      </c>
      <c r="R80" s="72">
        <f t="shared" si="11"/>
        <v>2.924076607387141E-2</v>
      </c>
      <c r="S80" s="62">
        <f t="shared" si="12"/>
        <v>4.341268986319078E-2</v>
      </c>
      <c r="X80" s="36">
        <f t="shared" si="10"/>
        <v>10.571428571428571</v>
      </c>
    </row>
    <row r="81" spans="1:24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106" si="13">C81-O81-N81-M81</f>
        <v>1496</v>
      </c>
      <c r="Q81" s="29">
        <f t="shared" si="9"/>
        <v>30</v>
      </c>
      <c r="R81" s="72">
        <f t="shared" si="11"/>
        <v>2.66542693320936E-2</v>
      </c>
      <c r="S81" s="62">
        <f t="shared" si="12"/>
        <v>4.1889034336924778E-2</v>
      </c>
      <c r="X81" s="36">
        <f t="shared" si="10"/>
        <v>9</v>
      </c>
    </row>
    <row r="82" spans="1:24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13"/>
        <v>1739</v>
      </c>
      <c r="Q82" s="29">
        <f t="shared" si="9"/>
        <v>468</v>
      </c>
      <c r="R82" s="72">
        <f t="shared" si="11"/>
        <v>2.5874962608435536E-2</v>
      </c>
      <c r="S82" s="62">
        <f t="shared" si="12"/>
        <v>4.0661094938491876E-2</v>
      </c>
      <c r="X82" s="36">
        <f t="shared" si="10"/>
        <v>11.142857142857142</v>
      </c>
    </row>
    <row r="83" spans="1:24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13"/>
        <v>1907</v>
      </c>
      <c r="Q83" s="29">
        <f t="shared" si="9"/>
        <v>202</v>
      </c>
      <c r="R83" s="72">
        <f t="shared" si="11"/>
        <v>2.5222965440356744E-2</v>
      </c>
      <c r="S83" s="62">
        <f t="shared" si="12"/>
        <v>3.9196688100061661E-2</v>
      </c>
      <c r="X83" s="36">
        <f t="shared" si="10"/>
        <v>11.857142857142858</v>
      </c>
    </row>
    <row r="84" spans="1:24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13"/>
        <v>2053</v>
      </c>
      <c r="Q84" s="29">
        <f t="shared" si="9"/>
        <v>267</v>
      </c>
      <c r="R84" s="72">
        <f t="shared" si="11"/>
        <v>2.3737704918032787E-2</v>
      </c>
      <c r="S84" s="62">
        <f t="shared" si="12"/>
        <v>3.742961245445512E-2</v>
      </c>
      <c r="X84" s="36">
        <f t="shared" si="10"/>
        <v>11.571428571428571</v>
      </c>
    </row>
    <row r="85" spans="1:24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13"/>
        <v>2052</v>
      </c>
      <c r="Q85" s="29">
        <f t="shared" si="9"/>
        <v>168</v>
      </c>
      <c r="R85" s="72">
        <f t="shared" si="11"/>
        <v>2.5394045534150613E-2</v>
      </c>
      <c r="S85" s="62">
        <f t="shared" si="12"/>
        <v>3.6981311371555275E-2</v>
      </c>
      <c r="X85" s="36">
        <f t="shared" si="10"/>
        <v>12.428571428571429</v>
      </c>
    </row>
    <row r="86" spans="1:24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13"/>
        <v>2102</v>
      </c>
      <c r="Q86" s="29">
        <f t="shared" si="9"/>
        <v>182</v>
      </c>
      <c r="R86" s="72">
        <f t="shared" si="11"/>
        <v>2.9800929789009417E-2</v>
      </c>
      <c r="S86" s="62">
        <f t="shared" si="12"/>
        <v>3.704263683096462E-2</v>
      </c>
      <c r="X86" s="36">
        <f t="shared" si="10"/>
        <v>14.142857142857142</v>
      </c>
    </row>
    <row r="87" spans="1:24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13"/>
        <v>2187</v>
      </c>
      <c r="Q87" s="29">
        <f t="shared" si="9"/>
        <v>268</v>
      </c>
      <c r="R87" s="72">
        <f t="shared" si="11"/>
        <v>2.8811252268602542E-2</v>
      </c>
      <c r="S87" s="62">
        <f t="shared" si="12"/>
        <v>3.5886025981482814E-2</v>
      </c>
      <c r="X87" s="36">
        <f t="shared" si="10"/>
        <v>14.142857142857142</v>
      </c>
    </row>
    <row r="88" spans="1:24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13"/>
        <v>2234</v>
      </c>
      <c r="Q88" s="29">
        <f t="shared" si="9"/>
        <v>171</v>
      </c>
      <c r="R88" s="72">
        <f t="shared" si="11"/>
        <v>2.7535615564533277E-2</v>
      </c>
      <c r="S88" s="62">
        <f t="shared" si="12"/>
        <v>3.4553122024214393E-2</v>
      </c>
      <c r="X88" s="36">
        <f t="shared" si="10"/>
        <v>13.428571428571429</v>
      </c>
    </row>
    <row r="89" spans="1:24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13"/>
        <v>2316</v>
      </c>
      <c r="Q89" s="29">
        <f t="shared" si="9"/>
        <v>312</v>
      </c>
      <c r="R89" s="72">
        <f t="shared" si="11"/>
        <v>2.4900500051025613E-2</v>
      </c>
      <c r="S89" s="62">
        <f t="shared" si="12"/>
        <v>3.3724625462092227E-2</v>
      </c>
      <c r="X89" s="36">
        <f t="shared" si="10"/>
        <v>12.571428571428571</v>
      </c>
    </row>
    <row r="90" spans="1:24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si="13"/>
        <v>2491</v>
      </c>
      <c r="Q90" s="29">
        <f t="shared" si="9"/>
        <v>236</v>
      </c>
      <c r="R90" s="72">
        <f t="shared" si="11"/>
        <v>2.4734299516908212E-2</v>
      </c>
      <c r="S90" s="62">
        <f t="shared" si="12"/>
        <v>3.2564450474898234E-2</v>
      </c>
      <c r="X90" s="36">
        <f t="shared" si="10"/>
        <v>12</v>
      </c>
    </row>
    <row r="91" spans="1:24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13"/>
        <v>2598</v>
      </c>
      <c r="Q91" s="29">
        <f t="shared" si="9"/>
        <v>185</v>
      </c>
      <c r="R91" s="72">
        <f t="shared" si="11"/>
        <v>2.5206190343805022E-2</v>
      </c>
      <c r="S91" s="62">
        <f t="shared" si="12"/>
        <v>3.1986232271081834E-2</v>
      </c>
      <c r="X91" s="36">
        <f t="shared" si="10"/>
        <v>12.428571428571429</v>
      </c>
    </row>
    <row r="92" spans="1:24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13"/>
        <v>2646</v>
      </c>
      <c r="Q92" s="29">
        <f t="shared" si="9"/>
        <v>188</v>
      </c>
      <c r="R92" s="72">
        <f t="shared" si="11"/>
        <v>2.430493273542601E-2</v>
      </c>
      <c r="S92" s="62">
        <f t="shared" si="12"/>
        <v>3.1926500143554408E-2</v>
      </c>
      <c r="X92" s="36">
        <f t="shared" si="10"/>
        <v>12.714285714285714</v>
      </c>
    </row>
    <row r="93" spans="1:24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13"/>
        <v>2895</v>
      </c>
      <c r="Q93" s="29">
        <f t="shared" si="9"/>
        <v>187</v>
      </c>
      <c r="R93" s="72">
        <f t="shared" si="11"/>
        <v>2.4295596423148304E-2</v>
      </c>
      <c r="S93" s="62">
        <f t="shared" si="12"/>
        <v>3.1060647415251923E-2</v>
      </c>
      <c r="X93" s="36">
        <f t="shared" si="10"/>
        <v>11.285714285714286</v>
      </c>
    </row>
    <row r="94" spans="1:24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13"/>
        <v>3133</v>
      </c>
      <c r="Q94" s="29">
        <f t="shared" si="9"/>
        <v>97</v>
      </c>
      <c r="R94" s="72">
        <f t="shared" si="11"/>
        <v>2.3085408131106207E-2</v>
      </c>
      <c r="S94" s="62">
        <f t="shared" si="12"/>
        <v>3.0257421631720988E-2</v>
      </c>
      <c r="W94" s="213">
        <f t="shared" ref="W94:W106" si="14">AVERAGE(B88:B94)</f>
        <v>762.14285714285711</v>
      </c>
      <c r="X94" s="36">
        <f t="shared" si="10"/>
        <v>11.857142857142858</v>
      </c>
    </row>
    <row r="95" spans="1:24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13"/>
        <v>3329</v>
      </c>
      <c r="Q95" s="29">
        <f t="shared" si="9"/>
        <v>95</v>
      </c>
      <c r="R95" s="72">
        <f t="shared" si="11"/>
        <v>1.8369009702984964E-2</v>
      </c>
      <c r="S95" s="62">
        <f t="shared" si="12"/>
        <v>3.0103480714957668E-2</v>
      </c>
      <c r="W95" s="213">
        <f t="shared" si="14"/>
        <v>785</v>
      </c>
      <c r="X95" s="36">
        <f t="shared" si="10"/>
        <v>14.285714285714286</v>
      </c>
    </row>
    <row r="96" spans="1:24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 t="shared" si="13"/>
        <v>3404</v>
      </c>
      <c r="Q96" s="29">
        <f t="shared" si="9"/>
        <v>92</v>
      </c>
      <c r="R96" s="72">
        <f t="shared" si="11"/>
        <v>1.750439367311072E-2</v>
      </c>
      <c r="S96" s="62">
        <f t="shared" si="12"/>
        <v>3.004230641251129E-2</v>
      </c>
      <c r="W96" s="213">
        <f t="shared" si="14"/>
        <v>802.57142857142856</v>
      </c>
      <c r="X96" s="36">
        <f t="shared" si="10"/>
        <v>16</v>
      </c>
    </row>
    <row r="97" spans="1:24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 t="shared" si="13"/>
        <v>3677</v>
      </c>
      <c r="Q97" s="29">
        <f t="shared" si="9"/>
        <v>729</v>
      </c>
      <c r="R97" s="72">
        <f t="shared" si="11"/>
        <v>1.7078061259766301E-2</v>
      </c>
      <c r="S97" s="62">
        <f t="shared" si="12"/>
        <v>2.9427792915531336E-2</v>
      </c>
      <c r="W97" s="213">
        <f t="shared" si="14"/>
        <v>829.42857142857144</v>
      </c>
      <c r="X97" s="36">
        <f t="shared" si="10"/>
        <v>17.142857142857142</v>
      </c>
    </row>
    <row r="98" spans="1:24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 t="shared" si="13"/>
        <v>3892</v>
      </c>
      <c r="Q98" s="29">
        <f t="shared" si="9"/>
        <v>396</v>
      </c>
      <c r="R98" s="72">
        <f t="shared" si="11"/>
        <v>1.5851602023608771E-2</v>
      </c>
      <c r="S98" s="62">
        <f t="shared" si="12"/>
        <v>2.9130472931473195E-2</v>
      </c>
      <c r="W98" s="213">
        <f t="shared" si="14"/>
        <v>849</v>
      </c>
      <c r="X98" s="36">
        <f t="shared" si="10"/>
        <v>17.714285714285715</v>
      </c>
    </row>
    <row r="99" spans="1:24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 t="shared" si="13"/>
        <v>3893</v>
      </c>
      <c r="Q99" s="29">
        <f t="shared" si="9"/>
        <v>263</v>
      </c>
      <c r="R99" s="72">
        <f t="shared" si="11"/>
        <v>1.7253727456214597E-2</v>
      </c>
      <c r="S99" s="62">
        <f t="shared" si="12"/>
        <v>2.9339542760372567E-2</v>
      </c>
      <c r="W99" s="213">
        <f t="shared" si="14"/>
        <v>886.42857142857144</v>
      </c>
      <c r="X99" s="36">
        <f t="shared" si="10"/>
        <v>19.428571428571427</v>
      </c>
    </row>
    <row r="100" spans="1:24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 t="shared" si="13"/>
        <v>4103</v>
      </c>
      <c r="Q100" s="29">
        <f t="shared" si="9"/>
        <v>423</v>
      </c>
      <c r="R100" s="72">
        <f t="shared" si="11"/>
        <v>1.6383230548807078E-2</v>
      </c>
      <c r="S100" s="62">
        <f t="shared" si="12"/>
        <v>2.8956827268688663E-2</v>
      </c>
      <c r="W100" s="213">
        <f t="shared" si="14"/>
        <v>920.28571428571433</v>
      </c>
      <c r="X100" s="36">
        <f t="shared" si="10"/>
        <v>21</v>
      </c>
    </row>
    <row r="101" spans="1:24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si="13"/>
        <v>4386</v>
      </c>
      <c r="Q101" s="29">
        <f t="shared" si="9"/>
        <v>341</v>
      </c>
      <c r="R101" s="72">
        <f t="shared" si="11"/>
        <v>1.9208037825059102E-2</v>
      </c>
      <c r="S101" s="62">
        <f t="shared" si="12"/>
        <v>2.8283372455458498E-2</v>
      </c>
      <c r="W101" s="213">
        <f t="shared" si="14"/>
        <v>959.85714285714289</v>
      </c>
      <c r="X101" s="36">
        <f t="shared" si="10"/>
        <v>21.571428571428573</v>
      </c>
    </row>
    <row r="102" spans="1:24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13"/>
        <v>4741</v>
      </c>
      <c r="Q102" s="29">
        <f t="shared" si="9"/>
        <v>411</v>
      </c>
      <c r="R102" s="72">
        <f t="shared" si="11"/>
        <v>1.6512734396865379E-2</v>
      </c>
      <c r="S102" s="62">
        <f t="shared" si="12"/>
        <v>2.7947247287473057E-2</v>
      </c>
      <c r="W102" s="213">
        <f t="shared" si="14"/>
        <v>1025.1428571428571</v>
      </c>
      <c r="X102" s="36">
        <f t="shared" si="10"/>
        <v>22.285714285714285</v>
      </c>
    </row>
    <row r="103" spans="1:24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13"/>
        <v>5069</v>
      </c>
      <c r="Q103" s="29">
        <f t="shared" si="9"/>
        <v>340</v>
      </c>
      <c r="R103" s="72">
        <f t="shared" si="11"/>
        <v>1.4817950889077053E-2</v>
      </c>
      <c r="S103" s="62">
        <f t="shared" si="12"/>
        <v>2.7291058267278543E-2</v>
      </c>
      <c r="T103" s="225"/>
      <c r="W103" s="213">
        <f t="shared" si="14"/>
        <v>1103.8571428571429</v>
      </c>
      <c r="X103" s="36">
        <f t="shared" si="10"/>
        <v>21.714285714285715</v>
      </c>
    </row>
    <row r="104" spans="1:24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13"/>
        <v>5627</v>
      </c>
      <c r="Q104" s="29">
        <f t="shared" si="9"/>
        <v>481</v>
      </c>
      <c r="R104" s="72">
        <f t="shared" si="11"/>
        <v>1.4711789515967062E-2</v>
      </c>
      <c r="S104" s="62">
        <f t="shared" si="12"/>
        <v>2.6902129064202012E-2</v>
      </c>
      <c r="T104" s="225"/>
      <c r="V104" s="225"/>
      <c r="W104" s="213">
        <f t="shared" si="14"/>
        <v>1182.1428571428571</v>
      </c>
      <c r="X104" s="36">
        <f t="shared" si="10"/>
        <v>23.714285714285715</v>
      </c>
    </row>
    <row r="105" spans="1:24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13"/>
        <v>6002</v>
      </c>
      <c r="Q105" s="29">
        <f t="shared" si="9"/>
        <v>327</v>
      </c>
      <c r="R105" s="72">
        <f t="shared" si="11"/>
        <v>1.5153694912003069E-2</v>
      </c>
      <c r="S105" s="62">
        <f t="shared" si="12"/>
        <v>2.6379960097539349E-2</v>
      </c>
      <c r="W105" s="213">
        <f t="shared" si="14"/>
        <v>1254.7142857142858</v>
      </c>
      <c r="X105" s="36">
        <f t="shared" si="10"/>
        <v>24.142857142857142</v>
      </c>
    </row>
    <row r="106" spans="1:24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13"/>
        <v>6094</v>
      </c>
      <c r="Q106" s="29">
        <f t="shared" si="9"/>
        <v>273</v>
      </c>
      <c r="R106" s="72">
        <f t="shared" si="11"/>
        <v>1.4884917535719208E-2</v>
      </c>
      <c r="S106" s="62">
        <f t="shared" si="12"/>
        <v>2.6048497788622844E-2</v>
      </c>
      <c r="W106" s="213">
        <f t="shared" si="14"/>
        <v>1309.2857142857142</v>
      </c>
      <c r="X106" s="36">
        <f t="shared" si="10"/>
        <v>23</v>
      </c>
    </row>
    <row r="107" spans="1:24" x14ac:dyDescent="0.25">
      <c r="A107" s="26">
        <f>A106+7</f>
        <v>44004</v>
      </c>
      <c r="B107" s="7">
        <f>C106*U106</f>
        <v>0</v>
      </c>
      <c r="C107" s="16">
        <f>C106+B107</f>
        <v>32785</v>
      </c>
      <c r="D107" s="4"/>
      <c r="E107" s="4"/>
      <c r="F107" s="29"/>
      <c r="G107" s="4"/>
      <c r="H107" s="4"/>
      <c r="I107" s="4"/>
      <c r="J107" s="7"/>
      <c r="K107" s="7"/>
      <c r="L107" s="4"/>
      <c r="M107" s="4"/>
      <c r="N107" s="4"/>
      <c r="O107" s="4"/>
      <c r="P107" s="4"/>
      <c r="Q107" s="4"/>
      <c r="R107" s="1"/>
      <c r="S107" s="4"/>
      <c r="T107" s="218">
        <v>2.7E-2</v>
      </c>
      <c r="U107" s="146">
        <f>(B107-C100)/C100</f>
        <v>-1</v>
      </c>
      <c r="V107" s="36">
        <f>C107*T107</f>
        <v>885.19499999999994</v>
      </c>
      <c r="W107" s="74"/>
      <c r="X107" s="36">
        <f t="shared" si="10"/>
        <v>22.833333333333332</v>
      </c>
    </row>
    <row r="108" spans="1:24" x14ac:dyDescent="0.25">
      <c r="A108" s="2">
        <v>43998</v>
      </c>
      <c r="B108" s="11">
        <v>1374</v>
      </c>
      <c r="C108" s="4">
        <v>34159</v>
      </c>
      <c r="D108" s="4">
        <v>24</v>
      </c>
      <c r="E108" s="12">
        <v>878</v>
      </c>
      <c r="F108" s="82">
        <v>10512</v>
      </c>
      <c r="G108" s="18">
        <v>345</v>
      </c>
      <c r="H108" s="12">
        <v>5556</v>
      </c>
      <c r="I108" s="12">
        <v>250615</v>
      </c>
      <c r="J108" s="7">
        <v>863</v>
      </c>
      <c r="K108" s="7">
        <v>171855</v>
      </c>
      <c r="L108" s="4">
        <v>172718</v>
      </c>
      <c r="M108" s="12">
        <v>1030</v>
      </c>
      <c r="N108" s="12">
        <v>13340</v>
      </c>
      <c r="O108" s="12">
        <v>13602</v>
      </c>
      <c r="P108" s="16">
        <f>C108-O108-N108-M108</f>
        <v>6187</v>
      </c>
      <c r="Q108" s="29">
        <f>F108-F107</f>
        <v>10512</v>
      </c>
      <c r="R108" s="72">
        <f>G108/(C108-E108-F108)</f>
        <v>1.5152180596424964E-2</v>
      </c>
      <c r="S108" s="62">
        <f>E108/C108</f>
        <v>2.5703328551772594E-2</v>
      </c>
      <c r="T108" s="225"/>
      <c r="V108" s="225"/>
      <c r="W108" s="213">
        <f>AVERAGE(B102:B108)</f>
        <v>1167.4285714285713</v>
      </c>
      <c r="X108" s="36">
        <f t="shared" si="10"/>
        <v>23.833333333333332</v>
      </c>
    </row>
    <row r="109" spans="1:24" x14ac:dyDescent="0.25">
      <c r="A109" s="2">
        <v>43999</v>
      </c>
      <c r="B109" s="16">
        <v>1393</v>
      </c>
      <c r="C109" s="16">
        <v>35552</v>
      </c>
      <c r="D109" s="4">
        <v>35</v>
      </c>
      <c r="E109" s="12">
        <v>913</v>
      </c>
      <c r="F109" s="82">
        <v>10721</v>
      </c>
      <c r="G109" s="18">
        <v>353</v>
      </c>
      <c r="H109" s="4">
        <v>6477</v>
      </c>
      <c r="I109" s="4">
        <v>257092</v>
      </c>
      <c r="J109" s="7">
        <v>882</v>
      </c>
      <c r="K109" s="7">
        <v>175554</v>
      </c>
      <c r="L109" s="4">
        <v>176436</v>
      </c>
      <c r="M109" s="12">
        <v>1036</v>
      </c>
      <c r="N109" s="12">
        <v>13805</v>
      </c>
      <c r="O109" s="12">
        <v>14433</v>
      </c>
      <c r="P109" s="16">
        <f>C109-O109-N109-M109</f>
        <v>6278</v>
      </c>
      <c r="Q109" s="29">
        <f>F109-F108</f>
        <v>209</v>
      </c>
      <c r="R109" s="72">
        <f>G109/(C109-E109-F109)</f>
        <v>1.4758759093569697E-2</v>
      </c>
      <c r="S109" s="62">
        <f>E109/C109</f>
        <v>2.5680693069306929E-2</v>
      </c>
      <c r="T109" s="225"/>
      <c r="V109" s="225"/>
      <c r="W109" s="213">
        <f>AVERAGE(B103:B109)</f>
        <v>1168.4285714285713</v>
      </c>
      <c r="X109" s="36">
        <f t="shared" si="10"/>
        <v>24.666666666666668</v>
      </c>
    </row>
    <row r="110" spans="1:24" x14ac:dyDescent="0.25">
      <c r="A110" s="2">
        <v>44000</v>
      </c>
      <c r="B110" s="11">
        <v>1958</v>
      </c>
      <c r="C110" s="16">
        <v>37510</v>
      </c>
      <c r="D110" s="4">
        <v>35</v>
      </c>
      <c r="E110" s="12">
        <v>948</v>
      </c>
      <c r="F110" s="76">
        <v>11851</v>
      </c>
      <c r="G110" s="4">
        <v>364</v>
      </c>
      <c r="H110" s="4">
        <v>7512</v>
      </c>
      <c r="I110" s="4">
        <v>264604</v>
      </c>
      <c r="J110" s="7">
        <v>906</v>
      </c>
      <c r="K110" s="7">
        <v>180447</v>
      </c>
      <c r="L110" s="4">
        <v>181353</v>
      </c>
      <c r="M110" s="12">
        <v>1049</v>
      </c>
      <c r="N110" s="12">
        <v>14420</v>
      </c>
      <c r="O110" s="12">
        <v>15347</v>
      </c>
      <c r="P110" s="16">
        <f>C110-O110-N110-M110</f>
        <v>6694</v>
      </c>
      <c r="Q110" s="29">
        <f>F110-F109</f>
        <v>1130</v>
      </c>
      <c r="R110" s="72">
        <f>G110/(C110-E110-F110)</f>
        <v>1.4730282060620777E-2</v>
      </c>
      <c r="S110" s="62">
        <f>E110/C110</f>
        <v>2.5273260463876301E-2</v>
      </c>
      <c r="W110" s="213">
        <f>AVERAGE(B104:B110)</f>
        <v>1249.4285714285713</v>
      </c>
      <c r="X110" s="36">
        <f t="shared" si="10"/>
        <v>27.166666666666668</v>
      </c>
    </row>
    <row r="111" spans="1:24" x14ac:dyDescent="0.25">
      <c r="A111" s="2">
        <v>44001</v>
      </c>
      <c r="B111" s="11">
        <v>2060</v>
      </c>
      <c r="C111" s="16">
        <v>39570</v>
      </c>
      <c r="D111" s="4">
        <v>31</v>
      </c>
      <c r="E111" s="12">
        <v>979</v>
      </c>
      <c r="F111" s="76">
        <v>12206</v>
      </c>
      <c r="G111" s="4">
        <v>364</v>
      </c>
      <c r="H111" s="4">
        <v>8625</v>
      </c>
      <c r="I111" s="4">
        <v>273229</v>
      </c>
      <c r="J111" s="7">
        <v>931</v>
      </c>
      <c r="K111" s="7">
        <v>185302</v>
      </c>
      <c r="L111" s="4">
        <v>186233</v>
      </c>
      <c r="M111" s="12">
        <v>1044</v>
      </c>
      <c r="N111" s="12">
        <v>15003</v>
      </c>
      <c r="O111" s="12">
        <v>16383</v>
      </c>
      <c r="P111" s="16">
        <f>C111-O111-N111-M111</f>
        <v>7140</v>
      </c>
      <c r="Q111" s="29">
        <f>F111-F110</f>
        <v>355</v>
      </c>
      <c r="R111" s="72">
        <f>G111/(C111-E111-F111)</f>
        <v>1.3795717263596741E-2</v>
      </c>
      <c r="S111" s="62">
        <f>E111/C111</f>
        <v>2.4740965377811473E-2</v>
      </c>
      <c r="W111" s="213">
        <f>AVERAGE(B105:B111)</f>
        <v>1325</v>
      </c>
      <c r="X111" s="36">
        <f t="shared" si="10"/>
        <v>27.333333333333332</v>
      </c>
    </row>
    <row r="112" spans="1:24" x14ac:dyDescent="0.25">
      <c r="A112" s="2">
        <v>44002</v>
      </c>
      <c r="B112" s="11">
        <v>1634</v>
      </c>
      <c r="C112" s="34">
        <v>41204</v>
      </c>
      <c r="D112" s="12">
        <v>12</v>
      </c>
      <c r="E112" s="12">
        <v>991</v>
      </c>
      <c r="F112" s="223">
        <v>12728</v>
      </c>
      <c r="G112" s="4">
        <v>381</v>
      </c>
      <c r="H112" s="4">
        <v>6443</v>
      </c>
      <c r="I112" s="4">
        <v>279672</v>
      </c>
      <c r="J112" s="7">
        <v>950</v>
      </c>
      <c r="K112" s="7">
        <v>188951</v>
      </c>
      <c r="L112" s="4">
        <v>189901</v>
      </c>
      <c r="M112" s="4">
        <v>1046</v>
      </c>
      <c r="N112" s="4">
        <v>15528</v>
      </c>
      <c r="O112" s="4">
        <v>17095</v>
      </c>
      <c r="P112" s="16">
        <f>C112-O112-N112-M112</f>
        <v>7535</v>
      </c>
      <c r="Q112" s="29">
        <f>F112-F111</f>
        <v>522</v>
      </c>
      <c r="R112" s="72">
        <f>G112/(C112-E112-F112)</f>
        <v>1.3862106603601964E-2</v>
      </c>
      <c r="S112" s="62">
        <f>E112/C112</f>
        <v>2.4051063003591885E-2</v>
      </c>
      <c r="W112" s="213">
        <f>AVERAGE(B106:B112)</f>
        <v>1375.2857142857142</v>
      </c>
      <c r="X112" s="36">
        <f t="shared" si="10"/>
        <v>26.333333333333332</v>
      </c>
    </row>
    <row r="113" spans="1:24" x14ac:dyDescent="0.25">
      <c r="A113" s="26">
        <f>A112+7</f>
        <v>44009</v>
      </c>
      <c r="B113" s="7">
        <f>C112*0.03</f>
        <v>1236.1199999999999</v>
      </c>
      <c r="C113" s="16">
        <f>C112+B113</f>
        <v>42440.12</v>
      </c>
      <c r="D113" s="4"/>
      <c r="E113" s="4"/>
      <c r="F113" s="235"/>
      <c r="G113" s="4"/>
      <c r="H113" s="4"/>
      <c r="I113" s="4"/>
      <c r="J113" s="7"/>
      <c r="K113" s="7"/>
      <c r="L113" s="4"/>
      <c r="M113" s="4"/>
      <c r="N113" s="4"/>
      <c r="O113" s="4"/>
      <c r="P113" s="4"/>
      <c r="Q113" s="4"/>
      <c r="R113" s="1"/>
      <c r="S113" s="4"/>
      <c r="T113" s="218">
        <v>2.7E-2</v>
      </c>
      <c r="U113" s="146">
        <f>(B113-C106)/C106</f>
        <v>-0.96229617202989171</v>
      </c>
      <c r="V113" s="36">
        <f>C113*T113</f>
        <v>1145.8832400000001</v>
      </c>
      <c r="W113" s="74"/>
      <c r="X113" s="36">
        <f t="shared" si="10"/>
        <v>27.4</v>
      </c>
    </row>
    <row r="114" spans="1:24" x14ac:dyDescent="0.25">
      <c r="A114" s="2">
        <v>44003</v>
      </c>
      <c r="B114" s="11">
        <v>1581</v>
      </c>
      <c r="C114" s="16">
        <v>42785</v>
      </c>
      <c r="D114" s="12">
        <v>19</v>
      </c>
      <c r="E114" s="4">
        <v>1011</v>
      </c>
      <c r="F114" s="194">
        <v>13153</v>
      </c>
      <c r="G114" s="4">
        <v>397</v>
      </c>
      <c r="H114" s="4">
        <v>5719</v>
      </c>
      <c r="I114" s="7">
        <v>285391</v>
      </c>
      <c r="J114" s="7">
        <v>773.26800000001094</v>
      </c>
      <c r="K114" s="7">
        <v>192543.73199999999</v>
      </c>
      <c r="L114" s="4">
        <v>193317</v>
      </c>
      <c r="M114" s="4">
        <v>1047</v>
      </c>
      <c r="N114" s="4">
        <v>16101</v>
      </c>
      <c r="O114" s="4">
        <v>17750</v>
      </c>
      <c r="P114" s="16">
        <f t="shared" ref="P114:P122" si="15">C114-O114-N114-M114</f>
        <v>7887</v>
      </c>
      <c r="Q114" s="29">
        <f t="shared" ref="Q114:Q122" si="16">F114-F113</f>
        <v>13153</v>
      </c>
      <c r="R114" s="72">
        <f t="shared" ref="R114:R122" si="17">G114/(C114-E114-F114)</f>
        <v>1.3870933929632089E-2</v>
      </c>
      <c r="S114" s="62">
        <f t="shared" ref="S114:S122" si="18">E114/C114</f>
        <v>2.3629776790931402E-2</v>
      </c>
      <c r="W114" s="213">
        <f t="shared" ref="W114:W122" si="19">AVERAGE(B108:B114)</f>
        <v>1605.1599999999999</v>
      </c>
      <c r="X114" s="36">
        <f t="shared" si="10"/>
        <v>26</v>
      </c>
    </row>
    <row r="115" spans="1:24" x14ac:dyDescent="0.25">
      <c r="A115" s="2">
        <v>44004</v>
      </c>
      <c r="B115" s="11">
        <v>2146</v>
      </c>
      <c r="C115" s="34">
        <v>44931</v>
      </c>
      <c r="D115" s="4">
        <v>32</v>
      </c>
      <c r="E115" s="4">
        <f>E114+D115</f>
        <v>1043</v>
      </c>
      <c r="F115" s="194">
        <v>13576</v>
      </c>
      <c r="G115" s="4">
        <v>414</v>
      </c>
      <c r="H115" s="4">
        <v>7120</v>
      </c>
      <c r="I115" s="7">
        <v>292511</v>
      </c>
      <c r="J115" s="21">
        <v>790</v>
      </c>
      <c r="K115" s="21">
        <v>196839</v>
      </c>
      <c r="L115" s="4">
        <v>197629</v>
      </c>
      <c r="M115" s="16">
        <v>1050</v>
      </c>
      <c r="N115" s="16">
        <v>16924</v>
      </c>
      <c r="O115" s="16">
        <v>18537</v>
      </c>
      <c r="P115" s="16">
        <f t="shared" si="15"/>
        <v>8420</v>
      </c>
      <c r="Q115" s="29">
        <f t="shared" si="16"/>
        <v>423</v>
      </c>
      <c r="R115" s="72">
        <f t="shared" si="17"/>
        <v>1.3657957244655582E-2</v>
      </c>
      <c r="S115" s="62">
        <f t="shared" si="18"/>
        <v>2.3213371614252964E-2</v>
      </c>
      <c r="W115" s="213">
        <f t="shared" si="19"/>
        <v>1715.4457142857141</v>
      </c>
      <c r="X115" s="36">
        <f t="shared" si="10"/>
        <v>27.333333333333332</v>
      </c>
    </row>
    <row r="116" spans="1:24" x14ac:dyDescent="0.25">
      <c r="A116" s="2">
        <v>44005</v>
      </c>
      <c r="B116" s="16">
        <v>2285</v>
      </c>
      <c r="C116" s="16">
        <f>C115+B116</f>
        <v>47216</v>
      </c>
      <c r="D116" s="4">
        <v>35</v>
      </c>
      <c r="E116" s="4">
        <f>E115+D116</f>
        <v>1078</v>
      </c>
      <c r="F116" s="194">
        <v>13816</v>
      </c>
      <c r="G116" s="4">
        <v>433</v>
      </c>
      <c r="H116" s="4">
        <v>7832</v>
      </c>
      <c r="I116" s="16">
        <v>300343</v>
      </c>
      <c r="J116" s="21">
        <v>812</v>
      </c>
      <c r="K116" s="67">
        <v>202380</v>
      </c>
      <c r="L116" s="16">
        <v>203192</v>
      </c>
      <c r="M116" s="12">
        <v>1052</v>
      </c>
      <c r="N116" s="16">
        <v>17655</v>
      </c>
      <c r="O116" s="16">
        <v>19603</v>
      </c>
      <c r="P116" s="16">
        <f t="shared" si="15"/>
        <v>8906</v>
      </c>
      <c r="Q116" s="29">
        <f t="shared" si="16"/>
        <v>240</v>
      </c>
      <c r="R116" s="72">
        <f t="shared" si="17"/>
        <v>1.3396448239589135E-2</v>
      </c>
      <c r="S116" s="62">
        <f t="shared" si="18"/>
        <v>2.2831243646221619E-2</v>
      </c>
      <c r="W116" s="213">
        <f t="shared" si="19"/>
        <v>1842.8742857142856</v>
      </c>
      <c r="X116" s="36">
        <f t="shared" si="10"/>
        <v>27.333333333333332</v>
      </c>
    </row>
    <row r="117" spans="1:24" x14ac:dyDescent="0.25">
      <c r="A117" s="2">
        <v>44006</v>
      </c>
      <c r="B117" s="11">
        <v>2635</v>
      </c>
      <c r="C117" s="16">
        <v>49851</v>
      </c>
      <c r="D117" s="4">
        <v>38</v>
      </c>
      <c r="E117" s="4">
        <v>1116</v>
      </c>
      <c r="F117" s="194">
        <v>14788</v>
      </c>
      <c r="G117" s="4">
        <v>457</v>
      </c>
      <c r="H117" s="4">
        <v>9258</v>
      </c>
      <c r="I117" s="4">
        <v>309601</v>
      </c>
      <c r="J117" s="21">
        <v>832.92800000001444</v>
      </c>
      <c r="K117" s="21">
        <v>207399.07199999999</v>
      </c>
      <c r="L117" s="1">
        <v>208232</v>
      </c>
      <c r="M117" s="11">
        <v>1060</v>
      </c>
      <c r="N117" s="11">
        <v>18460</v>
      </c>
      <c r="O117" s="11">
        <v>20816</v>
      </c>
      <c r="P117" s="16">
        <f t="shared" si="15"/>
        <v>9515</v>
      </c>
      <c r="Q117" s="29">
        <f t="shared" si="16"/>
        <v>972</v>
      </c>
      <c r="R117" s="72">
        <f t="shared" si="17"/>
        <v>1.3462161604854627E-2</v>
      </c>
      <c r="S117" s="62">
        <f t="shared" si="18"/>
        <v>2.2386712402960824E-2</v>
      </c>
      <c r="W117" s="213">
        <f t="shared" si="19"/>
        <v>1939.5885714285712</v>
      </c>
      <c r="X117" s="36">
        <f t="shared" si="10"/>
        <v>27.833333333333332</v>
      </c>
    </row>
    <row r="118" spans="1:24" x14ac:dyDescent="0.25">
      <c r="A118" s="2">
        <v>44007</v>
      </c>
      <c r="B118" s="16">
        <v>2606</v>
      </c>
      <c r="C118" s="34">
        <v>52457</v>
      </c>
      <c r="D118" s="4">
        <v>34</v>
      </c>
      <c r="E118" s="4">
        <v>1150</v>
      </c>
      <c r="F118" s="194">
        <v>18416</v>
      </c>
      <c r="G118" s="4">
        <v>472</v>
      </c>
      <c r="H118" s="4">
        <v>9120</v>
      </c>
      <c r="I118" s="4">
        <v>318721</v>
      </c>
      <c r="J118" s="7">
        <v>852</v>
      </c>
      <c r="K118" s="7">
        <v>212323</v>
      </c>
      <c r="L118" s="4">
        <v>213175</v>
      </c>
      <c r="M118" s="4">
        <v>1061</v>
      </c>
      <c r="N118" s="4">
        <v>19202</v>
      </c>
      <c r="O118" s="4">
        <v>22078</v>
      </c>
      <c r="P118" s="16">
        <f t="shared" si="15"/>
        <v>10116</v>
      </c>
      <c r="Q118" s="29">
        <f t="shared" si="16"/>
        <v>3628</v>
      </c>
      <c r="R118" s="72">
        <f t="shared" si="17"/>
        <v>1.4350430208871728E-2</v>
      </c>
      <c r="S118" s="62">
        <f t="shared" si="18"/>
        <v>2.1922717654459842E-2</v>
      </c>
      <c r="W118" s="213">
        <f t="shared" si="19"/>
        <v>2017.5885714285712</v>
      </c>
      <c r="X118" s="36">
        <f t="shared" si="10"/>
        <v>28.333333333333332</v>
      </c>
    </row>
    <row r="119" spans="1:24" x14ac:dyDescent="0.25">
      <c r="A119" s="2">
        <v>44008</v>
      </c>
      <c r="B119" s="11">
        <v>2886</v>
      </c>
      <c r="C119" s="4">
        <v>55343</v>
      </c>
      <c r="D119" s="12">
        <v>34</v>
      </c>
      <c r="E119" s="12">
        <v>1184</v>
      </c>
      <c r="F119" s="194">
        <v>19143</v>
      </c>
      <c r="G119" s="4">
        <v>507</v>
      </c>
      <c r="H119" s="4">
        <v>10315</v>
      </c>
      <c r="I119" s="4">
        <v>329036</v>
      </c>
      <c r="J119" s="7">
        <v>874</v>
      </c>
      <c r="K119" s="7">
        <v>217766</v>
      </c>
      <c r="L119" s="4">
        <v>218640</v>
      </c>
      <c r="M119" s="12">
        <v>1061</v>
      </c>
      <c r="N119" s="12">
        <v>20095</v>
      </c>
      <c r="O119" s="12">
        <v>23464</v>
      </c>
      <c r="P119" s="16">
        <f t="shared" si="15"/>
        <v>10723</v>
      </c>
      <c r="Q119" s="29">
        <f t="shared" si="16"/>
        <v>727</v>
      </c>
      <c r="R119" s="72">
        <f t="shared" si="17"/>
        <v>1.4479095270733379E-2</v>
      </c>
      <c r="S119" s="62">
        <f t="shared" si="18"/>
        <v>2.1393852881123176E-2</v>
      </c>
      <c r="W119" s="213">
        <f t="shared" si="19"/>
        <v>2196.4457142857141</v>
      </c>
      <c r="X119" s="36">
        <f t="shared" si="10"/>
        <v>32</v>
      </c>
    </row>
    <row r="120" spans="1:24" x14ac:dyDescent="0.25">
      <c r="A120" s="2">
        <v>44009</v>
      </c>
      <c r="B120" s="34">
        <v>2401</v>
      </c>
      <c r="C120" s="16">
        <v>57744</v>
      </c>
      <c r="D120" s="4">
        <v>23</v>
      </c>
      <c r="E120" s="12">
        <v>1207</v>
      </c>
      <c r="F120" s="194">
        <v>20134</v>
      </c>
      <c r="G120" s="4">
        <v>542</v>
      </c>
      <c r="H120" s="4">
        <v>7915</v>
      </c>
      <c r="I120" s="4">
        <v>336951</v>
      </c>
      <c r="J120" s="7">
        <v>892.88399999999092</v>
      </c>
      <c r="K120" s="7">
        <v>222328.11600000001</v>
      </c>
      <c r="L120" s="4">
        <v>223221</v>
      </c>
      <c r="M120" s="12">
        <v>1062</v>
      </c>
      <c r="N120" s="4">
        <v>20807</v>
      </c>
      <c r="O120" s="4">
        <v>24743</v>
      </c>
      <c r="P120" s="16">
        <f t="shared" si="15"/>
        <v>11132</v>
      </c>
      <c r="Q120" s="29">
        <f t="shared" si="16"/>
        <v>991</v>
      </c>
      <c r="R120" s="72">
        <f t="shared" si="17"/>
        <v>1.4888882784385903E-2</v>
      </c>
      <c r="S120" s="62">
        <f t="shared" si="18"/>
        <v>2.090260459961208E-2</v>
      </c>
      <c r="W120" s="213">
        <f t="shared" si="19"/>
        <v>2362.8571428571427</v>
      </c>
      <c r="X120" s="36">
        <f t="shared" si="10"/>
        <v>30.714285714285715</v>
      </c>
    </row>
    <row r="121" spans="1:24" x14ac:dyDescent="0.25">
      <c r="A121" s="2">
        <v>44010</v>
      </c>
      <c r="B121" s="11">
        <v>2189</v>
      </c>
      <c r="C121" s="16">
        <f>C120+B121</f>
        <v>59933</v>
      </c>
      <c r="D121" s="4">
        <v>26</v>
      </c>
      <c r="E121" s="4">
        <f>E120+D121</f>
        <v>1233</v>
      </c>
      <c r="F121" s="194">
        <v>21138</v>
      </c>
      <c r="G121" s="4">
        <v>535</v>
      </c>
      <c r="H121" s="4">
        <v>7458</v>
      </c>
      <c r="I121" s="4">
        <v>344409</v>
      </c>
      <c r="J121" s="7">
        <v>908</v>
      </c>
      <c r="K121" s="7">
        <v>226138</v>
      </c>
      <c r="L121" s="4">
        <v>227046</v>
      </c>
      <c r="M121" s="4">
        <v>1063</v>
      </c>
      <c r="N121" s="4">
        <v>21599</v>
      </c>
      <c r="O121" s="4">
        <v>25600</v>
      </c>
      <c r="P121" s="16">
        <f t="shared" si="15"/>
        <v>11671</v>
      </c>
      <c r="Q121" s="29">
        <f t="shared" si="16"/>
        <v>1004</v>
      </c>
      <c r="R121" s="72">
        <f t="shared" si="17"/>
        <v>1.4243118044832543E-2</v>
      </c>
      <c r="S121" s="62">
        <f t="shared" si="18"/>
        <v>2.057297315335458E-2</v>
      </c>
      <c r="W121" s="213">
        <f t="shared" si="19"/>
        <v>2449.7142857142858</v>
      </c>
      <c r="X121" s="36">
        <f t="shared" si="10"/>
        <v>31.714285714285715</v>
      </c>
    </row>
    <row r="122" spans="1:24" x14ac:dyDescent="0.25">
      <c r="A122" s="73">
        <v>44011</v>
      </c>
      <c r="B122" s="34">
        <v>2335</v>
      </c>
      <c r="C122" s="16">
        <f>C121+B122</f>
        <v>62268</v>
      </c>
      <c r="D122" s="4">
        <v>48</v>
      </c>
      <c r="E122" s="4">
        <f>E121+D122</f>
        <v>1281</v>
      </c>
      <c r="F122" s="194">
        <v>22028</v>
      </c>
      <c r="G122" s="4">
        <v>555</v>
      </c>
      <c r="H122" s="4">
        <v>7933</v>
      </c>
      <c r="I122" s="4">
        <v>350402</v>
      </c>
      <c r="J122" s="7">
        <v>928</v>
      </c>
      <c r="K122" s="7">
        <f>L122-J122</f>
        <v>231088</v>
      </c>
      <c r="L122" s="4">
        <v>232016</v>
      </c>
      <c r="M122" s="4">
        <v>1064</v>
      </c>
      <c r="N122" s="4">
        <v>22481</v>
      </c>
      <c r="O122" s="4">
        <v>27136</v>
      </c>
      <c r="P122" s="16">
        <f t="shared" si="15"/>
        <v>11587</v>
      </c>
      <c r="Q122" s="29">
        <f t="shared" si="16"/>
        <v>890</v>
      </c>
      <c r="R122" s="72">
        <f t="shared" si="17"/>
        <v>1.4245745527349264E-2</v>
      </c>
      <c r="S122" s="62">
        <f t="shared" si="18"/>
        <v>2.0572364617460013E-2</v>
      </c>
      <c r="W122" s="213">
        <f t="shared" si="19"/>
        <v>2476.7142857142858</v>
      </c>
      <c r="X122" s="36">
        <f t="shared" si="10"/>
        <v>34</v>
      </c>
    </row>
    <row r="123" spans="1:24" x14ac:dyDescent="0.25">
      <c r="A123" s="26">
        <f>A122+7</f>
        <v>44018</v>
      </c>
      <c r="B123" s="7">
        <f>C122*0.03</f>
        <v>1868.04</v>
      </c>
      <c r="C123" s="16">
        <f>C122+B123</f>
        <v>64136.04</v>
      </c>
      <c r="D123" s="4"/>
      <c r="E123" s="4"/>
      <c r="F123" s="235"/>
      <c r="G123" s="4"/>
      <c r="H123" s="4"/>
      <c r="I123" s="4"/>
      <c r="J123" s="7"/>
      <c r="K123" s="7"/>
      <c r="L123" s="4"/>
      <c r="M123" s="4"/>
      <c r="N123" s="4"/>
      <c r="O123" s="4"/>
      <c r="P123" s="4"/>
      <c r="Q123" s="4"/>
      <c r="R123" s="1"/>
      <c r="S123" s="4"/>
      <c r="T123" s="218">
        <v>2.7E-2</v>
      </c>
      <c r="U123" s="146">
        <f>(B123-C116)/C116</f>
        <v>-0.96043629278210774</v>
      </c>
      <c r="V123" s="36">
        <f>C123*T123</f>
        <v>1731.67308</v>
      </c>
      <c r="W123" s="74"/>
      <c r="X123" s="36">
        <f t="shared" si="10"/>
        <v>33.833333333333336</v>
      </c>
    </row>
    <row r="124" spans="1:24" ht="16.5" customHeight="1" x14ac:dyDescent="0.25">
      <c r="A124" s="2">
        <v>44012</v>
      </c>
      <c r="B124" s="16">
        <v>2262</v>
      </c>
      <c r="C124" s="16">
        <v>64530</v>
      </c>
      <c r="D124" s="4">
        <v>27</v>
      </c>
      <c r="E124" s="4">
        <v>1307</v>
      </c>
      <c r="F124" s="194">
        <v>23040</v>
      </c>
      <c r="G124" s="4">
        <v>576</v>
      </c>
      <c r="H124" s="4">
        <v>10506</v>
      </c>
      <c r="I124" s="4">
        <v>362908</v>
      </c>
      <c r="J124" s="7">
        <v>946</v>
      </c>
      <c r="K124" s="7">
        <f>L124-J124</f>
        <v>235617</v>
      </c>
      <c r="L124" s="4">
        <v>236563</v>
      </c>
      <c r="M124" s="16">
        <v>1065</v>
      </c>
      <c r="N124" s="4">
        <v>23565</v>
      </c>
      <c r="O124" s="16">
        <v>28732</v>
      </c>
      <c r="P124" s="16">
        <f>C124-O124-N124-M124</f>
        <v>11168</v>
      </c>
      <c r="Q124" s="29">
        <f t="shared" ref="Q124:Q155" si="20">F124-F123</f>
        <v>23040</v>
      </c>
      <c r="R124" s="72">
        <f t="shared" ref="R124:R155" si="21">G124/(C124-E124-F124)</f>
        <v>1.4334420028370206E-2</v>
      </c>
      <c r="S124" s="62">
        <f t="shared" ref="S124:S155" si="22">E124/C124</f>
        <v>2.0254145358747869E-2</v>
      </c>
      <c r="W124" s="213">
        <f t="shared" ref="W124:W155" si="23">AVERAGE(B118:B124)</f>
        <v>2363.8628571428571</v>
      </c>
      <c r="X124" s="36">
        <f t="shared" si="10"/>
        <v>32</v>
      </c>
    </row>
    <row r="125" spans="1:24" x14ac:dyDescent="0.25">
      <c r="A125" s="2">
        <v>44013</v>
      </c>
      <c r="B125" s="34">
        <v>2667</v>
      </c>
      <c r="C125" s="16">
        <f>C124+B125</f>
        <v>67197</v>
      </c>
      <c r="D125" s="4">
        <v>44</v>
      </c>
      <c r="E125" s="4">
        <f>E124+D125</f>
        <v>1351</v>
      </c>
      <c r="F125" s="194">
        <v>24186</v>
      </c>
      <c r="G125" s="4">
        <v>594</v>
      </c>
      <c r="H125" s="4">
        <v>9200</v>
      </c>
      <c r="I125" s="4">
        <v>372108</v>
      </c>
      <c r="J125" s="7">
        <v>966</v>
      </c>
      <c r="K125" s="7">
        <v>240610</v>
      </c>
      <c r="L125" s="4">
        <v>246576</v>
      </c>
      <c r="M125" s="12">
        <v>1066</v>
      </c>
      <c r="N125" s="12">
        <v>24124</v>
      </c>
      <c r="O125" s="12">
        <v>30493</v>
      </c>
      <c r="P125" s="16">
        <f>C125-O125-N125-M125</f>
        <v>11514</v>
      </c>
      <c r="Q125" s="29">
        <f t="shared" si="20"/>
        <v>1146</v>
      </c>
      <c r="R125" s="72">
        <f t="shared" si="21"/>
        <v>1.4258281325012001E-2</v>
      </c>
      <c r="S125" s="62">
        <f t="shared" si="22"/>
        <v>2.0105064214176228E-2</v>
      </c>
      <c r="W125" s="213">
        <f t="shared" si="23"/>
        <v>2372.5771428571429</v>
      </c>
      <c r="X125" s="36">
        <f t="shared" si="10"/>
        <v>33.666666666666664</v>
      </c>
    </row>
    <row r="126" spans="1:24" x14ac:dyDescent="0.25">
      <c r="A126" s="2">
        <v>44014</v>
      </c>
      <c r="B126" s="34">
        <v>2744</v>
      </c>
      <c r="C126" s="16">
        <f>C125+B126</f>
        <v>69941</v>
      </c>
      <c r="D126" s="4">
        <v>34</v>
      </c>
      <c r="E126" s="4">
        <f>D126+E125</f>
        <v>1385</v>
      </c>
      <c r="F126" s="194">
        <v>25224</v>
      </c>
      <c r="G126" s="4">
        <v>620</v>
      </c>
      <c r="H126" s="4">
        <v>9323</v>
      </c>
      <c r="I126" s="4">
        <v>381431</v>
      </c>
      <c r="J126" s="7">
        <f>L126-K126</f>
        <v>737.55600000001141</v>
      </c>
      <c r="K126" s="7">
        <f>L126*0.997</f>
        <v>245114.44399999999</v>
      </c>
      <c r="L126" s="4">
        <v>245852</v>
      </c>
      <c r="M126" s="4">
        <v>1067</v>
      </c>
      <c r="N126" s="4">
        <v>24969</v>
      </c>
      <c r="O126" s="4">
        <v>32144</v>
      </c>
      <c r="P126" s="16">
        <f>C126-O126-N126-M126</f>
        <v>11761</v>
      </c>
      <c r="Q126" s="29">
        <f t="shared" si="20"/>
        <v>1038</v>
      </c>
      <c r="R126" s="72">
        <f t="shared" si="21"/>
        <v>1.4308132557924859E-2</v>
      </c>
      <c r="S126" s="62">
        <f t="shared" si="22"/>
        <v>1.9802404884116612E-2</v>
      </c>
      <c r="W126" s="213">
        <f t="shared" si="23"/>
        <v>2352.2914285714287</v>
      </c>
      <c r="X126" s="36">
        <f t="shared" si="10"/>
        <v>33.666666666666664</v>
      </c>
    </row>
    <row r="127" spans="1:24" x14ac:dyDescent="0.25">
      <c r="A127" s="2">
        <v>44015</v>
      </c>
      <c r="B127" s="35">
        <v>2845</v>
      </c>
      <c r="C127" s="32">
        <f>C126+B127</f>
        <v>72786</v>
      </c>
      <c r="D127" s="1">
        <v>52</v>
      </c>
      <c r="E127" s="1">
        <f>E126+D127</f>
        <v>1437</v>
      </c>
      <c r="F127" s="194">
        <v>25930</v>
      </c>
      <c r="G127" s="1">
        <v>637</v>
      </c>
      <c r="H127" s="4">
        <v>8951</v>
      </c>
      <c r="I127" s="19">
        <v>390382</v>
      </c>
      <c r="J127" s="7">
        <v>751</v>
      </c>
      <c r="K127" s="7">
        <v>249794</v>
      </c>
      <c r="L127" s="4">
        <f>K127+J127</f>
        <v>250545</v>
      </c>
      <c r="M127" s="12">
        <v>1068</v>
      </c>
      <c r="N127" s="12">
        <v>25848</v>
      </c>
      <c r="O127" s="12">
        <v>33867</v>
      </c>
      <c r="P127" s="16">
        <f>C127-O127-N127-M127</f>
        <v>12003</v>
      </c>
      <c r="Q127" s="29">
        <f t="shared" si="20"/>
        <v>706</v>
      </c>
      <c r="R127" s="72">
        <f t="shared" si="21"/>
        <v>1.4024967524604241E-2</v>
      </c>
      <c r="S127" s="62">
        <f t="shared" si="22"/>
        <v>1.9742807682796144E-2</v>
      </c>
      <c r="W127" s="213">
        <f t="shared" si="23"/>
        <v>2415.7200000000003</v>
      </c>
      <c r="X127" s="36">
        <f t="shared" si="10"/>
        <v>38.5</v>
      </c>
    </row>
    <row r="128" spans="1:24" x14ac:dyDescent="0.25">
      <c r="A128" s="2">
        <v>44016</v>
      </c>
      <c r="B128" s="35">
        <v>2590</v>
      </c>
      <c r="C128" s="32">
        <f>C127+B128</f>
        <v>75376</v>
      </c>
      <c r="D128" s="1">
        <v>44</v>
      </c>
      <c r="E128" s="1">
        <f>E127+D128</f>
        <v>1481</v>
      </c>
      <c r="F128" s="194">
        <v>27597</v>
      </c>
      <c r="G128" s="1">
        <v>658</v>
      </c>
      <c r="H128" s="4">
        <v>9072</v>
      </c>
      <c r="I128" s="19">
        <v>399454</v>
      </c>
      <c r="J128" s="7">
        <v>765</v>
      </c>
      <c r="K128" s="7">
        <v>254498</v>
      </c>
      <c r="L128" s="4">
        <v>255263</v>
      </c>
      <c r="M128" s="4">
        <v>1069</v>
      </c>
      <c r="N128" s="4">
        <v>26548</v>
      </c>
      <c r="O128" s="4">
        <v>35186</v>
      </c>
      <c r="P128" s="16">
        <f>C128-O128-N128-M128</f>
        <v>12573</v>
      </c>
      <c r="Q128" s="29">
        <f t="shared" si="20"/>
        <v>1667</v>
      </c>
      <c r="R128" s="72">
        <f t="shared" si="21"/>
        <v>1.4212276988206833E-2</v>
      </c>
      <c r="S128" s="62">
        <f t="shared" si="22"/>
        <v>1.9648163871789429E-2</v>
      </c>
      <c r="W128" s="213">
        <f t="shared" si="23"/>
        <v>2473.0057142857145</v>
      </c>
      <c r="X128" s="36">
        <f t="shared" si="10"/>
        <v>41.5</v>
      </c>
    </row>
    <row r="129" spans="1:24" x14ac:dyDescent="0.25">
      <c r="A129" s="2">
        <v>44017</v>
      </c>
      <c r="B129" s="34">
        <v>2439</v>
      </c>
      <c r="C129" s="4">
        <v>77815</v>
      </c>
      <c r="D129" s="4">
        <v>26</v>
      </c>
      <c r="E129" s="4">
        <f>E128+D129</f>
        <v>1507</v>
      </c>
      <c r="F129" s="194">
        <v>28531</v>
      </c>
      <c r="G129" s="1">
        <v>676</v>
      </c>
      <c r="H129" s="4">
        <v>6756</v>
      </c>
      <c r="I129" s="19">
        <v>406210</v>
      </c>
      <c r="J129" s="7">
        <v>776</v>
      </c>
      <c r="K129" s="7">
        <v>258025</v>
      </c>
      <c r="L129" s="4">
        <v>258801</v>
      </c>
      <c r="M129" s="12">
        <v>1072</v>
      </c>
      <c r="N129" s="12">
        <v>27239</v>
      </c>
      <c r="O129" s="12">
        <v>36235</v>
      </c>
      <c r="P129" s="4">
        <f>77815-O129-N129-M129</f>
        <v>13269</v>
      </c>
      <c r="Q129" s="29">
        <f t="shared" si="20"/>
        <v>934</v>
      </c>
      <c r="R129" s="72">
        <f t="shared" si="21"/>
        <v>1.4149067542960001E-2</v>
      </c>
      <c r="S129" s="62">
        <f t="shared" si="22"/>
        <v>1.9366446057957978E-2</v>
      </c>
      <c r="U129" s="146">
        <f t="shared" ref="U129:U160" si="24">(C129-C122)/C122</f>
        <v>0.24967880773430975</v>
      </c>
      <c r="W129" s="213">
        <f t="shared" si="23"/>
        <v>2487.8628571428571</v>
      </c>
      <c r="X129" s="36">
        <f t="shared" si="10"/>
        <v>37.833333333333336</v>
      </c>
    </row>
    <row r="130" spans="1:24" x14ac:dyDescent="0.25">
      <c r="A130" s="73">
        <v>44018</v>
      </c>
      <c r="B130" s="4">
        <v>2632</v>
      </c>
      <c r="C130" s="4">
        <v>80447</v>
      </c>
      <c r="D130" s="4">
        <v>75</v>
      </c>
      <c r="E130" s="4">
        <v>1582</v>
      </c>
      <c r="F130" s="194">
        <v>30095</v>
      </c>
      <c r="G130" s="1">
        <v>688</v>
      </c>
      <c r="H130" s="4">
        <v>8487</v>
      </c>
      <c r="I130" s="19">
        <v>414697</v>
      </c>
      <c r="J130" s="7">
        <v>789</v>
      </c>
      <c r="K130" s="7">
        <f>L130-J130</f>
        <v>262367</v>
      </c>
      <c r="L130" s="4">
        <v>263156</v>
      </c>
      <c r="M130" s="4">
        <v>1073</v>
      </c>
      <c r="N130" s="4">
        <v>27991</v>
      </c>
      <c r="O130" s="4">
        <v>38006</v>
      </c>
      <c r="P130" s="4">
        <f>80447-O130-N130-M130</f>
        <v>13377</v>
      </c>
      <c r="Q130" s="29">
        <f t="shared" si="20"/>
        <v>1564</v>
      </c>
      <c r="R130" s="72">
        <f t="shared" si="21"/>
        <v>1.41070330120976E-2</v>
      </c>
      <c r="S130" s="62">
        <f t="shared" si="22"/>
        <v>1.966512113565453E-2</v>
      </c>
      <c r="U130" s="146">
        <f t="shared" si="24"/>
        <v>0.25431816495062681</v>
      </c>
      <c r="W130" s="213">
        <f t="shared" si="23"/>
        <v>2597</v>
      </c>
      <c r="X130" s="36">
        <f t="shared" si="10"/>
        <v>43.142857142857146</v>
      </c>
    </row>
    <row r="131" spans="1:24" x14ac:dyDescent="0.25">
      <c r="A131" s="2">
        <v>44019</v>
      </c>
      <c r="B131" s="4">
        <v>2979</v>
      </c>
      <c r="C131" s="4">
        <v>83426</v>
      </c>
      <c r="D131" s="4">
        <v>62</v>
      </c>
      <c r="E131" s="12">
        <v>1644</v>
      </c>
      <c r="F131" s="194">
        <v>36502</v>
      </c>
      <c r="G131" s="4">
        <v>646</v>
      </c>
      <c r="H131" s="4">
        <v>9805</v>
      </c>
      <c r="I131" s="19">
        <v>423782</v>
      </c>
      <c r="J131" s="7">
        <v>803</v>
      </c>
      <c r="K131" s="7">
        <v>266938</v>
      </c>
      <c r="L131" s="4">
        <v>267741</v>
      </c>
      <c r="M131" s="12">
        <v>1074</v>
      </c>
      <c r="N131" s="12">
        <v>28792</v>
      </c>
      <c r="O131" s="12">
        <v>39718</v>
      </c>
      <c r="P131" s="4">
        <f>83426-O131-N131-M131</f>
        <v>13842</v>
      </c>
      <c r="Q131" s="29">
        <f t="shared" si="20"/>
        <v>6407</v>
      </c>
      <c r="R131" s="72">
        <f t="shared" si="21"/>
        <v>1.4266784452296819E-2</v>
      </c>
      <c r="S131" s="62">
        <f t="shared" si="22"/>
        <v>1.9706086831443436E-2</v>
      </c>
      <c r="U131" s="146">
        <f t="shared" si="24"/>
        <v>0.29282504261583758</v>
      </c>
      <c r="W131" s="213">
        <f t="shared" si="23"/>
        <v>2699.4285714285716</v>
      </c>
      <c r="X131" s="36">
        <f t="shared" si="10"/>
        <v>48.142857142857146</v>
      </c>
    </row>
    <row r="132" spans="1:24" x14ac:dyDescent="0.25">
      <c r="A132" s="2">
        <v>44020</v>
      </c>
      <c r="B132" s="4">
        <v>3604</v>
      </c>
      <c r="C132" s="12">
        <v>87030</v>
      </c>
      <c r="D132" s="4">
        <v>51</v>
      </c>
      <c r="E132" s="33">
        <v>1695</v>
      </c>
      <c r="F132" s="194">
        <v>38313</v>
      </c>
      <c r="G132" s="4">
        <v>671</v>
      </c>
      <c r="H132" s="4">
        <v>10910</v>
      </c>
      <c r="I132" s="4">
        <v>434692</v>
      </c>
      <c r="J132" s="7">
        <v>819</v>
      </c>
      <c r="K132" s="7">
        <v>272349</v>
      </c>
      <c r="L132" s="4">
        <v>273168</v>
      </c>
      <c r="M132" s="12">
        <v>1074</v>
      </c>
      <c r="N132" s="12">
        <v>29747</v>
      </c>
      <c r="O132" s="12">
        <v>41495</v>
      </c>
      <c r="P132" s="4">
        <f>87030-O132-N132-M132</f>
        <v>14714</v>
      </c>
      <c r="Q132" s="29">
        <f t="shared" si="20"/>
        <v>1811</v>
      </c>
      <c r="R132" s="72">
        <f t="shared" si="21"/>
        <v>1.4269916209433882E-2</v>
      </c>
      <c r="S132" s="62">
        <f t="shared" si="22"/>
        <v>1.9476042743881421E-2</v>
      </c>
      <c r="U132" s="146">
        <f t="shared" si="24"/>
        <v>0.29514710478146344</v>
      </c>
      <c r="W132" s="213">
        <f t="shared" si="23"/>
        <v>2833.2857142857142</v>
      </c>
      <c r="X132" s="36">
        <f t="shared" si="10"/>
        <v>49.142857142857146</v>
      </c>
    </row>
    <row r="133" spans="1:24" x14ac:dyDescent="0.25">
      <c r="A133" s="2">
        <v>44021</v>
      </c>
      <c r="B133" s="12">
        <v>3663</v>
      </c>
      <c r="C133" s="12">
        <v>90693</v>
      </c>
      <c r="D133" s="4">
        <v>26</v>
      </c>
      <c r="E133" s="12">
        <v>1721</v>
      </c>
      <c r="F133" s="194">
        <v>38984</v>
      </c>
      <c r="G133" s="4">
        <v>662</v>
      </c>
      <c r="H133" s="4">
        <v>11041</v>
      </c>
      <c r="I133" s="4">
        <v>445733</v>
      </c>
      <c r="J133" s="7">
        <v>836</v>
      </c>
      <c r="K133" s="7">
        <v>277811</v>
      </c>
      <c r="L133" s="4">
        <v>278647</v>
      </c>
      <c r="M133" s="12">
        <v>1076</v>
      </c>
      <c r="N133" s="12">
        <v>30597</v>
      </c>
      <c r="O133" s="12">
        <v>43374</v>
      </c>
      <c r="P133" s="4">
        <f>90693-O133-N133-M133</f>
        <v>15646</v>
      </c>
      <c r="Q133" s="29">
        <f t="shared" si="20"/>
        <v>671</v>
      </c>
      <c r="R133" s="72">
        <f t="shared" si="21"/>
        <v>1.3243178362807074E-2</v>
      </c>
      <c r="S133" s="62">
        <f t="shared" si="22"/>
        <v>1.8976106204447972E-2</v>
      </c>
      <c r="U133" s="146">
        <f t="shared" si="24"/>
        <v>0.29670722466078553</v>
      </c>
      <c r="W133" s="213">
        <f t="shared" si="23"/>
        <v>2964.5714285714284</v>
      </c>
      <c r="X133" s="36">
        <f t="shared" si="10"/>
        <v>48</v>
      </c>
    </row>
    <row r="134" spans="1:24" x14ac:dyDescent="0.25">
      <c r="A134" s="2">
        <v>44022</v>
      </c>
      <c r="B134" s="12">
        <v>3367</v>
      </c>
      <c r="C134" s="4">
        <v>94060</v>
      </c>
      <c r="D134" s="4">
        <v>54</v>
      </c>
      <c r="E134" s="12">
        <v>1775</v>
      </c>
      <c r="F134" s="194">
        <v>41408</v>
      </c>
      <c r="G134" s="4">
        <v>686</v>
      </c>
      <c r="H134" s="4">
        <v>10309</v>
      </c>
      <c r="I134" s="4">
        <v>456042</v>
      </c>
      <c r="J134" s="7">
        <v>851</v>
      </c>
      <c r="K134" s="7">
        <v>283021</v>
      </c>
      <c r="L134" s="4">
        <f>K134+J134</f>
        <v>283872</v>
      </c>
      <c r="M134" s="4">
        <v>1078</v>
      </c>
      <c r="N134" s="4">
        <v>31739</v>
      </c>
      <c r="O134" s="4">
        <v>45328</v>
      </c>
      <c r="P134" s="4">
        <v>15915</v>
      </c>
      <c r="Q134" s="29">
        <f t="shared" si="20"/>
        <v>2424</v>
      </c>
      <c r="R134" s="72">
        <f t="shared" si="21"/>
        <v>1.3483499420170214E-2</v>
      </c>
      <c r="S134" s="62">
        <f t="shared" si="22"/>
        <v>1.8870933446736127E-2</v>
      </c>
      <c r="U134" s="146">
        <f t="shared" si="24"/>
        <v>0.29228148270271753</v>
      </c>
      <c r="W134" s="213">
        <f t="shared" si="23"/>
        <v>3039.1428571428573</v>
      </c>
      <c r="X134" s="36">
        <f t="shared" si="10"/>
        <v>48.285714285714285</v>
      </c>
    </row>
    <row r="135" spans="1:24" x14ac:dyDescent="0.25">
      <c r="A135" s="2">
        <v>44023</v>
      </c>
      <c r="B135" s="12">
        <v>3449</v>
      </c>
      <c r="C135" s="12">
        <v>97509</v>
      </c>
      <c r="D135" s="4">
        <v>36</v>
      </c>
      <c r="E135" s="12">
        <v>1811</v>
      </c>
      <c r="F135" s="194">
        <v>42694</v>
      </c>
      <c r="G135" s="4">
        <v>701</v>
      </c>
      <c r="H135" s="4">
        <v>10266</v>
      </c>
      <c r="I135" s="4">
        <v>466308</v>
      </c>
      <c r="J135" s="7">
        <v>867</v>
      </c>
      <c r="K135" s="7">
        <v>288165</v>
      </c>
      <c r="L135" s="4">
        <f>K135+J135</f>
        <v>289032</v>
      </c>
      <c r="M135" s="12">
        <v>1080</v>
      </c>
      <c r="N135" s="12">
        <v>32616</v>
      </c>
      <c r="O135" s="12">
        <v>46824</v>
      </c>
      <c r="P135" s="12">
        <v>16989</v>
      </c>
      <c r="Q135" s="29">
        <f t="shared" si="20"/>
        <v>1286</v>
      </c>
      <c r="R135" s="72">
        <f t="shared" si="21"/>
        <v>1.3225416949664176E-2</v>
      </c>
      <c r="S135" s="62">
        <f t="shared" si="22"/>
        <v>1.8572644576398074E-2</v>
      </c>
      <c r="U135" s="146">
        <f t="shared" si="24"/>
        <v>0.29363457864572279</v>
      </c>
      <c r="W135" s="213">
        <f t="shared" si="23"/>
        <v>3161.8571428571427</v>
      </c>
      <c r="X135" s="36">
        <f t="shared" si="10"/>
        <v>47.142857142857146</v>
      </c>
    </row>
    <row r="136" spans="1:24" x14ac:dyDescent="0.25">
      <c r="A136" s="2">
        <v>44024</v>
      </c>
      <c r="B136" s="12">
        <v>2657</v>
      </c>
      <c r="C136" s="12">
        <v>100166</v>
      </c>
      <c r="D136" s="12">
        <v>34</v>
      </c>
      <c r="E136" s="12">
        <v>1845</v>
      </c>
      <c r="F136" s="194">
        <v>44173</v>
      </c>
      <c r="G136" s="4">
        <v>735</v>
      </c>
      <c r="H136" s="4">
        <v>8114</v>
      </c>
      <c r="I136" s="4">
        <v>474422</v>
      </c>
      <c r="J136" s="7">
        <v>879</v>
      </c>
      <c r="K136" s="7">
        <v>292418</v>
      </c>
      <c r="L136" s="4">
        <f>K136+J136</f>
        <v>293297</v>
      </c>
      <c r="M136" s="12">
        <v>1081</v>
      </c>
      <c r="N136" s="12">
        <v>33376</v>
      </c>
      <c r="O136" s="12">
        <v>48213</v>
      </c>
      <c r="P136" s="4">
        <f>100166-O136-N136-M136</f>
        <v>17496</v>
      </c>
      <c r="Q136" s="29">
        <f t="shared" si="20"/>
        <v>1479</v>
      </c>
      <c r="R136" s="72">
        <f t="shared" si="21"/>
        <v>1.3573908546945408E-2</v>
      </c>
      <c r="S136" s="62">
        <f t="shared" si="22"/>
        <v>1.8419423756564104E-2</v>
      </c>
      <c r="U136" s="146">
        <f t="shared" si="24"/>
        <v>0.28723253871361565</v>
      </c>
      <c r="W136" s="213">
        <f t="shared" si="23"/>
        <v>3193</v>
      </c>
      <c r="X136" s="36">
        <f t="shared" ref="X136:X199" si="25">AVERAGE(D130:D136)</f>
        <v>48.285714285714285</v>
      </c>
    </row>
    <row r="137" spans="1:24" s="36" customFormat="1" x14ac:dyDescent="0.25">
      <c r="A137" s="73">
        <v>44025</v>
      </c>
      <c r="B137" s="4">
        <v>3099</v>
      </c>
      <c r="C137" s="4">
        <v>103265</v>
      </c>
      <c r="D137" s="4">
        <v>58</v>
      </c>
      <c r="E137" s="4">
        <v>1903</v>
      </c>
      <c r="F137" s="194">
        <v>45467</v>
      </c>
      <c r="G137" s="4">
        <v>752</v>
      </c>
      <c r="H137" s="4">
        <v>9377</v>
      </c>
      <c r="I137" s="4">
        <v>483799</v>
      </c>
      <c r="J137" s="7">
        <v>894</v>
      </c>
      <c r="K137" s="7">
        <f>L137-J137</f>
        <v>297192</v>
      </c>
      <c r="L137" s="4">
        <v>298086</v>
      </c>
      <c r="M137" s="4">
        <v>1082</v>
      </c>
      <c r="N137" s="4">
        <v>34293</v>
      </c>
      <c r="O137" s="4">
        <v>50637</v>
      </c>
      <c r="P137" s="4">
        <f>103265-O137-N137-M137</f>
        <v>17253</v>
      </c>
      <c r="Q137" s="29">
        <f t="shared" si="20"/>
        <v>1294</v>
      </c>
      <c r="R137" s="72">
        <f t="shared" si="21"/>
        <v>1.3453797298506128E-2</v>
      </c>
      <c r="S137" s="62">
        <f t="shared" si="22"/>
        <v>1.8428315498958989E-2</v>
      </c>
      <c r="T137" s="95"/>
      <c r="U137" s="146">
        <f t="shared" si="24"/>
        <v>0.28364016060263281</v>
      </c>
      <c r="V137" s="95"/>
      <c r="W137" s="213">
        <f t="shared" si="23"/>
        <v>3259.7142857142858</v>
      </c>
      <c r="X137" s="36">
        <f t="shared" si="25"/>
        <v>45.857142857142854</v>
      </c>
    </row>
    <row r="138" spans="1:24" x14ac:dyDescent="0.25">
      <c r="A138" s="2">
        <v>44026</v>
      </c>
      <c r="B138" s="4">
        <v>3645</v>
      </c>
      <c r="C138" s="12">
        <v>106910</v>
      </c>
      <c r="D138" s="4">
        <v>65</v>
      </c>
      <c r="E138" s="4">
        <v>1968</v>
      </c>
      <c r="F138" s="194">
        <v>47298</v>
      </c>
      <c r="G138" s="4">
        <v>772</v>
      </c>
      <c r="H138" s="4">
        <v>11266</v>
      </c>
      <c r="I138" s="4">
        <v>495065</v>
      </c>
      <c r="J138" s="7">
        <v>912</v>
      </c>
      <c r="K138" s="7">
        <f>L138-J138</f>
        <v>303075</v>
      </c>
      <c r="L138" s="4">
        <v>303987</v>
      </c>
      <c r="M138" s="4">
        <v>1083</v>
      </c>
      <c r="N138" s="4">
        <v>35260</v>
      </c>
      <c r="O138" s="4">
        <v>53247</v>
      </c>
      <c r="P138" s="4">
        <f>106910-O138-N138-M138</f>
        <v>17320</v>
      </c>
      <c r="Q138" s="29">
        <f t="shared" si="20"/>
        <v>1831</v>
      </c>
      <c r="R138" s="72">
        <f t="shared" si="21"/>
        <v>1.3392547359655818E-2</v>
      </c>
      <c r="S138" s="62">
        <f t="shared" si="22"/>
        <v>1.840800673463661E-2</v>
      </c>
      <c r="U138" s="146">
        <f t="shared" si="24"/>
        <v>0.28149497758492559</v>
      </c>
      <c r="W138" s="213">
        <f t="shared" si="23"/>
        <v>3354.8571428571427</v>
      </c>
      <c r="X138" s="36">
        <f t="shared" si="25"/>
        <v>46.285714285714285</v>
      </c>
    </row>
    <row r="139" spans="1:24" x14ac:dyDescent="0.25">
      <c r="A139" s="2">
        <v>44027</v>
      </c>
      <c r="B139" s="12">
        <v>4250</v>
      </c>
      <c r="C139" s="4">
        <f>C138+B139</f>
        <v>111160</v>
      </c>
      <c r="D139" s="4">
        <v>82</v>
      </c>
      <c r="E139" s="4">
        <v>2050</v>
      </c>
      <c r="F139" s="194">
        <v>49120</v>
      </c>
      <c r="G139" s="4">
        <v>783</v>
      </c>
      <c r="H139" s="19">
        <v>13163</v>
      </c>
      <c r="I139" s="4">
        <v>508228</v>
      </c>
      <c r="J139" s="7">
        <v>932</v>
      </c>
      <c r="K139" s="7">
        <f>L139-J139</f>
        <v>308815</v>
      </c>
      <c r="L139" s="4">
        <v>309747</v>
      </c>
      <c r="M139" s="4">
        <v>1085</v>
      </c>
      <c r="N139" s="4">
        <v>36398</v>
      </c>
      <c r="O139" s="4">
        <v>55836</v>
      </c>
      <c r="P139" s="4">
        <v>17841</v>
      </c>
      <c r="Q139" s="29">
        <f t="shared" si="20"/>
        <v>1822</v>
      </c>
      <c r="R139" s="72">
        <f t="shared" si="21"/>
        <v>1.3052175362560427E-2</v>
      </c>
      <c r="S139" s="62">
        <f t="shared" si="22"/>
        <v>1.8441885570349047E-2</v>
      </c>
      <c r="U139" s="146">
        <f t="shared" si="24"/>
        <v>0.27726071469608182</v>
      </c>
      <c r="W139" s="213">
        <f t="shared" si="23"/>
        <v>3447.1428571428573</v>
      </c>
      <c r="X139" s="36">
        <f t="shared" si="25"/>
        <v>50.714285714285715</v>
      </c>
    </row>
    <row r="140" spans="1:24" x14ac:dyDescent="0.25">
      <c r="A140" s="2">
        <v>44028</v>
      </c>
      <c r="B140" s="7">
        <v>3624</v>
      </c>
      <c r="C140" s="37">
        <v>114783</v>
      </c>
      <c r="D140" s="7">
        <v>62</v>
      </c>
      <c r="E140" s="7">
        <v>2112</v>
      </c>
      <c r="F140" s="194">
        <v>49780</v>
      </c>
      <c r="G140" s="7">
        <v>793</v>
      </c>
      <c r="H140" s="40">
        <v>11053</v>
      </c>
      <c r="I140" s="7">
        <v>519281</v>
      </c>
      <c r="J140" s="7">
        <f>L140-K140</f>
        <v>949.03800000000047</v>
      </c>
      <c r="K140" s="7">
        <f>L140*0.997</f>
        <v>315396.962</v>
      </c>
      <c r="L140" s="7">
        <v>316346</v>
      </c>
      <c r="M140" s="7">
        <v>1086</v>
      </c>
      <c r="N140" s="7">
        <v>37225</v>
      </c>
      <c r="O140" s="7">
        <v>57961</v>
      </c>
      <c r="P140" s="7">
        <f>114783-O140-N140-M140</f>
        <v>18511</v>
      </c>
      <c r="Q140" s="29">
        <f t="shared" si="20"/>
        <v>660</v>
      </c>
      <c r="R140" s="72">
        <f t="shared" si="21"/>
        <v>1.2609117361784675E-2</v>
      </c>
      <c r="S140" s="62">
        <f t="shared" si="22"/>
        <v>1.8399937272941116E-2</v>
      </c>
      <c r="T140" s="36"/>
      <c r="U140" s="146">
        <f t="shared" si="24"/>
        <v>0.26562138202507363</v>
      </c>
      <c r="V140" s="36"/>
      <c r="W140" s="213">
        <f t="shared" si="23"/>
        <v>3441.5714285714284</v>
      </c>
      <c r="X140" s="36">
        <f t="shared" si="25"/>
        <v>55.857142857142854</v>
      </c>
    </row>
    <row r="141" spans="1:24" x14ac:dyDescent="0.25">
      <c r="A141" s="2">
        <v>44029</v>
      </c>
      <c r="B141" s="38">
        <v>4518</v>
      </c>
      <c r="C141" s="7">
        <f>C140+B141</f>
        <v>119301</v>
      </c>
      <c r="D141" s="7">
        <v>66</v>
      </c>
      <c r="E141" s="7">
        <v>2178</v>
      </c>
      <c r="F141" s="194">
        <v>49780</v>
      </c>
      <c r="G141" s="7">
        <v>823</v>
      </c>
      <c r="H141" s="7">
        <v>12472</v>
      </c>
      <c r="I141" s="7">
        <v>531753</v>
      </c>
      <c r="J141" s="7">
        <v>967</v>
      </c>
      <c r="K141" s="7">
        <v>321616</v>
      </c>
      <c r="L141" s="7">
        <v>322583</v>
      </c>
      <c r="M141" s="7">
        <v>1093</v>
      </c>
      <c r="N141" s="7">
        <v>38304</v>
      </c>
      <c r="O141" s="7">
        <v>60041</v>
      </c>
      <c r="P141" s="4">
        <f>119301-O141-N141-M141</f>
        <v>19863</v>
      </c>
      <c r="Q141" s="29">
        <f t="shared" si="20"/>
        <v>0</v>
      </c>
      <c r="R141" s="72">
        <f t="shared" si="21"/>
        <v>1.2221017774675913E-2</v>
      </c>
      <c r="S141" s="62">
        <f t="shared" si="22"/>
        <v>1.825634319913496E-2</v>
      </c>
      <c r="U141" s="146">
        <f t="shared" si="24"/>
        <v>0.2683499893684882</v>
      </c>
      <c r="W141" s="213">
        <f t="shared" si="23"/>
        <v>3606</v>
      </c>
      <c r="X141" s="36">
        <f t="shared" si="25"/>
        <v>57.571428571428569</v>
      </c>
    </row>
    <row r="142" spans="1:24" x14ac:dyDescent="0.25">
      <c r="A142" s="2">
        <v>44030</v>
      </c>
      <c r="B142" s="7">
        <f>3223+82</f>
        <v>3305</v>
      </c>
      <c r="C142" s="7">
        <f>C141+B142</f>
        <v>122606</v>
      </c>
      <c r="D142" s="7">
        <v>42</v>
      </c>
      <c r="E142" s="7">
        <v>2220</v>
      </c>
      <c r="F142" s="194">
        <v>52607</v>
      </c>
      <c r="G142" s="7">
        <v>824</v>
      </c>
      <c r="H142" s="7">
        <v>9485</v>
      </c>
      <c r="I142" s="7">
        <v>541238</v>
      </c>
      <c r="J142" s="7">
        <v>980</v>
      </c>
      <c r="K142" s="7">
        <f>L142-J142</f>
        <v>325386</v>
      </c>
      <c r="L142" s="7">
        <v>326366</v>
      </c>
      <c r="M142" s="7">
        <v>1093</v>
      </c>
      <c r="N142" s="7">
        <v>39113</v>
      </c>
      <c r="O142" s="7">
        <v>62057</v>
      </c>
      <c r="P142" s="7">
        <v>20261</v>
      </c>
      <c r="Q142" s="29">
        <f t="shared" si="20"/>
        <v>2827</v>
      </c>
      <c r="R142" s="72">
        <f t="shared" si="21"/>
        <v>1.2157157821744199E-2</v>
      </c>
      <c r="S142" s="62">
        <f t="shared" si="22"/>
        <v>1.8106781071073195E-2</v>
      </c>
      <c r="U142" s="146">
        <f t="shared" si="24"/>
        <v>0.25738136992482746</v>
      </c>
      <c r="W142" s="213">
        <f t="shared" si="23"/>
        <v>3585.4285714285716</v>
      </c>
      <c r="X142" s="36">
        <f t="shared" si="25"/>
        <v>58.428571428571431</v>
      </c>
    </row>
    <row r="143" spans="1:24" x14ac:dyDescent="0.25">
      <c r="A143" s="2">
        <v>44031</v>
      </c>
      <c r="B143" s="4">
        <v>4231</v>
      </c>
      <c r="C143" s="7">
        <f>C142+B143</f>
        <v>126837</v>
      </c>
      <c r="D143" s="4">
        <v>40</v>
      </c>
      <c r="E143" s="7">
        <v>2260</v>
      </c>
      <c r="F143" s="194">
        <v>55913</v>
      </c>
      <c r="G143" s="4">
        <v>842</v>
      </c>
      <c r="H143" s="4">
        <v>11068</v>
      </c>
      <c r="I143" s="4">
        <v>552306</v>
      </c>
      <c r="J143" s="7">
        <v>997</v>
      </c>
      <c r="K143" s="7">
        <v>331436</v>
      </c>
      <c r="L143" s="4">
        <v>332433</v>
      </c>
      <c r="M143" s="4">
        <v>1095</v>
      </c>
      <c r="N143" s="4">
        <v>40138</v>
      </c>
      <c r="O143" s="4">
        <v>63648</v>
      </c>
      <c r="P143" s="4">
        <f>126755-O143-N143-M143</f>
        <v>21874</v>
      </c>
      <c r="Q143" s="29">
        <f t="shared" si="20"/>
        <v>3306</v>
      </c>
      <c r="R143" s="72">
        <f t="shared" si="21"/>
        <v>1.2262612140277292E-2</v>
      </c>
      <c r="S143" s="62">
        <f t="shared" si="22"/>
        <v>1.7818144547726608E-2</v>
      </c>
      <c r="U143" s="146">
        <f t="shared" si="24"/>
        <v>0.26626799512808735</v>
      </c>
      <c r="W143" s="213">
        <f t="shared" si="23"/>
        <v>3810.2857142857142</v>
      </c>
      <c r="X143" s="36">
        <f t="shared" si="25"/>
        <v>59.285714285714285</v>
      </c>
    </row>
    <row r="144" spans="1:24" x14ac:dyDescent="0.25">
      <c r="A144" s="73">
        <v>44032</v>
      </c>
      <c r="B144" s="153">
        <v>3937</v>
      </c>
      <c r="C144" s="7">
        <v>130774</v>
      </c>
      <c r="D144" s="4">
        <v>113</v>
      </c>
      <c r="E144" s="7">
        <f t="shared" ref="E144:E151" si="26">E143+D144</f>
        <v>2373</v>
      </c>
      <c r="F144" s="194">
        <v>58598</v>
      </c>
      <c r="G144" s="4">
        <v>853</v>
      </c>
      <c r="H144" s="4">
        <v>11207</v>
      </c>
      <c r="I144" s="4">
        <v>563513</v>
      </c>
      <c r="J144" s="7">
        <v>1014</v>
      </c>
      <c r="K144" s="7">
        <v>337237</v>
      </c>
      <c r="L144" s="4">
        <v>338251</v>
      </c>
      <c r="M144" s="4">
        <v>1095</v>
      </c>
      <c r="N144" s="4">
        <v>41086</v>
      </c>
      <c r="O144" s="4">
        <v>66293</v>
      </c>
      <c r="P144" s="4">
        <f>130744-O144-M144-N144</f>
        <v>22270</v>
      </c>
      <c r="Q144" s="29">
        <f t="shared" si="20"/>
        <v>2685</v>
      </c>
      <c r="R144" s="72">
        <f t="shared" si="21"/>
        <v>1.2220105153073649E-2</v>
      </c>
      <c r="S144" s="62">
        <f t="shared" si="22"/>
        <v>1.8145808799914356E-2</v>
      </c>
      <c r="U144" s="146">
        <f t="shared" si="24"/>
        <v>0.26639229167675399</v>
      </c>
      <c r="W144" s="213">
        <f t="shared" si="23"/>
        <v>3930</v>
      </c>
      <c r="X144" s="36">
        <f t="shared" si="25"/>
        <v>67.142857142857139</v>
      </c>
    </row>
    <row r="145" spans="1:24" x14ac:dyDescent="0.25">
      <c r="A145" s="2">
        <v>44033</v>
      </c>
      <c r="B145" s="16">
        <v>5344</v>
      </c>
      <c r="C145" s="7">
        <f t="shared" ref="C145:C162" si="27">C144+B145</f>
        <v>136118</v>
      </c>
      <c r="D145" s="4">
        <v>117</v>
      </c>
      <c r="E145" s="7">
        <f t="shared" si="26"/>
        <v>2490</v>
      </c>
      <c r="F145" s="194">
        <v>60531</v>
      </c>
      <c r="G145" s="4">
        <v>890</v>
      </c>
      <c r="H145" s="237">
        <v>14689</v>
      </c>
      <c r="I145" s="4">
        <v>578202</v>
      </c>
      <c r="J145" s="7">
        <v>1037</v>
      </c>
      <c r="K145" s="7">
        <v>344681</v>
      </c>
      <c r="L145" s="4">
        <v>345718</v>
      </c>
      <c r="M145" s="4">
        <v>1096</v>
      </c>
      <c r="N145" s="4">
        <v>42253</v>
      </c>
      <c r="O145" s="4">
        <v>69442</v>
      </c>
      <c r="P145" s="4">
        <v>23327</v>
      </c>
      <c r="Q145" s="29">
        <f t="shared" si="20"/>
        <v>1933</v>
      </c>
      <c r="R145" s="72">
        <f t="shared" si="21"/>
        <v>1.2175602281899393E-2</v>
      </c>
      <c r="S145" s="62">
        <f t="shared" si="22"/>
        <v>1.8292951703668875E-2</v>
      </c>
      <c r="U145" s="146">
        <f t="shared" si="24"/>
        <v>0.27320175848844824</v>
      </c>
      <c r="W145" s="213">
        <f t="shared" si="23"/>
        <v>4172.7142857142853</v>
      </c>
      <c r="X145" s="36">
        <f t="shared" si="25"/>
        <v>74.571428571428569</v>
      </c>
    </row>
    <row r="146" spans="1:24" x14ac:dyDescent="0.25">
      <c r="A146" s="2">
        <v>44034</v>
      </c>
      <c r="B146" s="16">
        <v>5782</v>
      </c>
      <c r="C146" s="7">
        <f t="shared" si="27"/>
        <v>141900</v>
      </c>
      <c r="D146" s="4">
        <v>98</v>
      </c>
      <c r="E146" s="7">
        <f t="shared" si="26"/>
        <v>2588</v>
      </c>
      <c r="F146" s="194">
        <v>62815</v>
      </c>
      <c r="G146" s="4">
        <v>902</v>
      </c>
      <c r="H146" s="41">
        <v>14842</v>
      </c>
      <c r="I146" s="4">
        <f>I145+H146</f>
        <v>593044</v>
      </c>
      <c r="J146" s="7">
        <v>1058</v>
      </c>
      <c r="K146" s="7">
        <v>351858</v>
      </c>
      <c r="L146" s="4">
        <v>352916</v>
      </c>
      <c r="M146" s="4">
        <v>1096</v>
      </c>
      <c r="N146" s="4">
        <v>43748</v>
      </c>
      <c r="O146" s="4">
        <v>72527</v>
      </c>
      <c r="P146" s="4">
        <f>141900-O146-N146-M146</f>
        <v>24529</v>
      </c>
      <c r="Q146" s="29">
        <f t="shared" si="20"/>
        <v>2284</v>
      </c>
      <c r="R146" s="72">
        <f t="shared" si="21"/>
        <v>1.1791312077597814E-2</v>
      </c>
      <c r="S146" s="62">
        <f t="shared" si="22"/>
        <v>1.8238195912614517E-2</v>
      </c>
      <c r="U146" s="146">
        <f t="shared" si="24"/>
        <v>0.27653832313781934</v>
      </c>
      <c r="W146" s="213">
        <f t="shared" si="23"/>
        <v>4391.5714285714284</v>
      </c>
      <c r="X146" s="36">
        <f t="shared" si="25"/>
        <v>76.857142857142861</v>
      </c>
    </row>
    <row r="147" spans="1:24" x14ac:dyDescent="0.25">
      <c r="A147" s="2">
        <v>44035</v>
      </c>
      <c r="B147" s="4">
        <v>6127</v>
      </c>
      <c r="C147" s="7">
        <f t="shared" si="27"/>
        <v>148027</v>
      </c>
      <c r="D147" s="4">
        <f>29+85</f>
        <v>114</v>
      </c>
      <c r="E147" s="7">
        <f t="shared" si="26"/>
        <v>2702</v>
      </c>
      <c r="F147" s="194">
        <v>65447</v>
      </c>
      <c r="G147" s="4">
        <v>913</v>
      </c>
      <c r="H147" s="12">
        <v>16218</v>
      </c>
      <c r="I147" s="19">
        <v>609262</v>
      </c>
      <c r="J147" s="7">
        <v>1082</v>
      </c>
      <c r="K147" s="7">
        <v>359756</v>
      </c>
      <c r="L147" s="4">
        <v>360838</v>
      </c>
      <c r="M147" s="4">
        <v>1101</v>
      </c>
      <c r="N147" s="4">
        <v>45026</v>
      </c>
      <c r="O147" s="4">
        <v>76114</v>
      </c>
      <c r="P147" s="4">
        <f>148027-O147-N147-M147</f>
        <v>25786</v>
      </c>
      <c r="Q147" s="29">
        <f t="shared" si="20"/>
        <v>2632</v>
      </c>
      <c r="R147" s="72">
        <f t="shared" si="21"/>
        <v>1.1429930644232455E-2</v>
      </c>
      <c r="S147" s="62">
        <f t="shared" si="22"/>
        <v>1.8253426739716402E-2</v>
      </c>
      <c r="U147" s="146">
        <f t="shared" si="24"/>
        <v>0.2896247702185864</v>
      </c>
      <c r="W147" s="213">
        <f t="shared" si="23"/>
        <v>4749.1428571428569</v>
      </c>
      <c r="X147" s="36">
        <f t="shared" si="25"/>
        <v>84.285714285714292</v>
      </c>
    </row>
    <row r="148" spans="1:24" x14ac:dyDescent="0.25">
      <c r="A148" s="2">
        <v>44036</v>
      </c>
      <c r="B148" s="4">
        <v>5493</v>
      </c>
      <c r="C148" s="7">
        <f t="shared" si="27"/>
        <v>153520</v>
      </c>
      <c r="D148" s="4">
        <f>20+85</f>
        <v>105</v>
      </c>
      <c r="E148" s="7">
        <f t="shared" si="26"/>
        <v>2807</v>
      </c>
      <c r="F148" s="194">
        <v>68022</v>
      </c>
      <c r="G148" s="4">
        <v>955</v>
      </c>
      <c r="H148" s="4">
        <v>14631</v>
      </c>
      <c r="I148" s="19">
        <f>I147+H148</f>
        <v>623893</v>
      </c>
      <c r="J148" s="7">
        <v>736</v>
      </c>
      <c r="K148" s="7">
        <v>367243</v>
      </c>
      <c r="L148" s="4">
        <v>367979</v>
      </c>
      <c r="M148" s="4">
        <v>1105</v>
      </c>
      <c r="N148" s="4">
        <v>46528</v>
      </c>
      <c r="O148" s="4">
        <v>79424</v>
      </c>
      <c r="P148" s="4">
        <f>153520-O148-N148-M148</f>
        <v>26463</v>
      </c>
      <c r="Q148" s="29">
        <f t="shared" si="20"/>
        <v>2575</v>
      </c>
      <c r="R148" s="72">
        <f t="shared" si="21"/>
        <v>1.1549019844964991E-2</v>
      </c>
      <c r="S148" s="62">
        <f t="shared" si="22"/>
        <v>1.8284262636789995E-2</v>
      </c>
      <c r="U148" s="146">
        <f t="shared" si="24"/>
        <v>0.28682911291606944</v>
      </c>
      <c r="W148" s="213">
        <f t="shared" si="23"/>
        <v>4888.4285714285716</v>
      </c>
      <c r="X148" s="36">
        <f t="shared" si="25"/>
        <v>89.857142857142861</v>
      </c>
    </row>
    <row r="149" spans="1:24" x14ac:dyDescent="0.25">
      <c r="A149" s="2">
        <v>44037</v>
      </c>
      <c r="B149" s="4">
        <v>4814</v>
      </c>
      <c r="C149" s="7">
        <f t="shared" si="27"/>
        <v>158334</v>
      </c>
      <c r="D149" s="4">
        <v>86</v>
      </c>
      <c r="E149" s="7">
        <f t="shared" si="26"/>
        <v>2893</v>
      </c>
      <c r="F149" s="194">
        <v>70518</v>
      </c>
      <c r="G149" s="4">
        <v>980</v>
      </c>
      <c r="H149" s="4">
        <v>12951</v>
      </c>
      <c r="I149" s="19">
        <v>636844</v>
      </c>
      <c r="J149" s="7">
        <f>L149-K149</f>
        <v>748.94599999999627</v>
      </c>
      <c r="K149" s="7">
        <f>L149*0.998</f>
        <v>373724.054</v>
      </c>
      <c r="L149" s="4">
        <v>374473</v>
      </c>
      <c r="M149" s="4">
        <v>1107</v>
      </c>
      <c r="N149" s="4">
        <v>47659</v>
      </c>
      <c r="O149" s="4">
        <v>81828</v>
      </c>
      <c r="P149" s="4">
        <f>158334-O149-N149-M149</f>
        <v>27740</v>
      </c>
      <c r="Q149" s="29">
        <f t="shared" si="20"/>
        <v>2496</v>
      </c>
      <c r="R149" s="72">
        <f t="shared" si="21"/>
        <v>1.1539865525240512E-2</v>
      </c>
      <c r="S149" s="62">
        <f t="shared" si="22"/>
        <v>1.8271502014728359E-2</v>
      </c>
      <c r="U149" s="146">
        <f t="shared" si="24"/>
        <v>0.29140498833662298</v>
      </c>
      <c r="W149" s="213">
        <f t="shared" si="23"/>
        <v>5104</v>
      </c>
      <c r="X149" s="36">
        <f t="shared" si="25"/>
        <v>96.142857142857139</v>
      </c>
    </row>
    <row r="150" spans="1:24" x14ac:dyDescent="0.25">
      <c r="A150" s="2">
        <v>44038</v>
      </c>
      <c r="B150" s="4">
        <v>4192</v>
      </c>
      <c r="C150" s="7">
        <f t="shared" si="27"/>
        <v>162526</v>
      </c>
      <c r="D150" s="4">
        <v>45</v>
      </c>
      <c r="E150" s="7">
        <f t="shared" si="26"/>
        <v>2938</v>
      </c>
      <c r="F150" s="194">
        <v>72575</v>
      </c>
      <c r="G150" s="4">
        <v>993</v>
      </c>
      <c r="H150" s="4">
        <v>10870</v>
      </c>
      <c r="I150" s="19">
        <v>647714</v>
      </c>
      <c r="J150" s="7">
        <f>L150-K150</f>
        <v>759.3979999999865</v>
      </c>
      <c r="K150" s="7">
        <f>0.998*L150</f>
        <v>378939.60200000001</v>
      </c>
      <c r="L150" s="4">
        <v>379699</v>
      </c>
      <c r="M150" s="4">
        <v>1109</v>
      </c>
      <c r="N150" s="4">
        <v>46698</v>
      </c>
      <c r="O150" s="4">
        <v>84358</v>
      </c>
      <c r="P150" s="4">
        <f>162526-O150-N150-M150</f>
        <v>30361</v>
      </c>
      <c r="Q150" s="29">
        <f t="shared" si="20"/>
        <v>2057</v>
      </c>
      <c r="R150" s="72">
        <f t="shared" si="21"/>
        <v>1.1412087848942112E-2</v>
      </c>
      <c r="S150" s="62">
        <f t="shared" si="22"/>
        <v>1.8077107662773956E-2</v>
      </c>
      <c r="U150" s="146">
        <f t="shared" si="24"/>
        <v>0.28137688529372346</v>
      </c>
      <c r="W150" s="213">
        <f t="shared" si="23"/>
        <v>5098.4285714285716</v>
      </c>
      <c r="X150" s="36">
        <f t="shared" si="25"/>
        <v>96.857142857142861</v>
      </c>
    </row>
    <row r="151" spans="1:24" x14ac:dyDescent="0.25">
      <c r="A151" s="73">
        <v>44039</v>
      </c>
      <c r="B151" s="4">
        <v>4890</v>
      </c>
      <c r="C151" s="7">
        <f t="shared" si="27"/>
        <v>167416</v>
      </c>
      <c r="D151" s="7">
        <f>17+104</f>
        <v>121</v>
      </c>
      <c r="E151" s="7">
        <f t="shared" si="26"/>
        <v>3059</v>
      </c>
      <c r="F151" s="194">
        <v>75083</v>
      </c>
      <c r="G151" s="4">
        <v>1002</v>
      </c>
      <c r="H151" s="4">
        <v>12398</v>
      </c>
      <c r="I151" s="4">
        <f>I150+H151</f>
        <v>660112</v>
      </c>
      <c r="J151" s="7">
        <v>771</v>
      </c>
      <c r="K151" s="7">
        <f>L151-J151</f>
        <v>384872</v>
      </c>
      <c r="L151" s="4">
        <v>385643</v>
      </c>
      <c r="M151" s="4">
        <v>1112</v>
      </c>
      <c r="N151" s="4">
        <v>49648</v>
      </c>
      <c r="O151" s="4">
        <v>88238</v>
      </c>
      <c r="P151" s="4">
        <f>167416-O151-N151-M151</f>
        <v>28418</v>
      </c>
      <c r="Q151" s="29">
        <f t="shared" si="20"/>
        <v>2508</v>
      </c>
      <c r="R151" s="72">
        <f t="shared" si="21"/>
        <v>1.1223872572081458E-2</v>
      </c>
      <c r="S151" s="62">
        <f t="shared" si="22"/>
        <v>1.8271849763463469E-2</v>
      </c>
      <c r="U151" s="146">
        <f t="shared" si="24"/>
        <v>0.28019331059690766</v>
      </c>
      <c r="W151" s="213">
        <f t="shared" si="23"/>
        <v>5234.5714285714284</v>
      </c>
      <c r="X151" s="36">
        <f t="shared" si="25"/>
        <v>98</v>
      </c>
    </row>
    <row r="152" spans="1:24" x14ac:dyDescent="0.25">
      <c r="A152" s="2">
        <v>44040</v>
      </c>
      <c r="B152" s="4">
        <v>5939</v>
      </c>
      <c r="C152" s="7">
        <f t="shared" si="27"/>
        <v>173355</v>
      </c>
      <c r="D152" s="7">
        <f>23+97</f>
        <v>120</v>
      </c>
      <c r="E152" s="7">
        <v>3178</v>
      </c>
      <c r="F152" s="194">
        <v>77855</v>
      </c>
      <c r="G152" s="4">
        <v>1024</v>
      </c>
      <c r="H152" s="4">
        <v>14899</v>
      </c>
      <c r="I152" s="4">
        <v>675011</v>
      </c>
      <c r="J152" s="7">
        <f t="shared" ref="J152:J183" si="28">L152-K152</f>
        <v>785.48800000001211</v>
      </c>
      <c r="K152" s="7">
        <f t="shared" ref="K152:K181" si="29">0.998*L152</f>
        <v>391958.51199999999</v>
      </c>
      <c r="L152" s="4">
        <v>392744</v>
      </c>
      <c r="M152" s="4">
        <v>1119</v>
      </c>
      <c r="N152" s="4">
        <v>51090</v>
      </c>
      <c r="O152" s="4">
        <v>92345</v>
      </c>
      <c r="P152" s="4">
        <f>173355-O152-N152-M152</f>
        <v>28801</v>
      </c>
      <c r="Q152" s="29">
        <f t="shared" si="20"/>
        <v>2772</v>
      </c>
      <c r="R152" s="72">
        <f t="shared" si="21"/>
        <v>1.1091614133142696E-2</v>
      </c>
      <c r="S152" s="62">
        <f t="shared" si="22"/>
        <v>1.8332323844134867E-2</v>
      </c>
      <c r="U152" s="146">
        <f t="shared" si="24"/>
        <v>0.27356411348976623</v>
      </c>
      <c r="W152" s="213">
        <f t="shared" si="23"/>
        <v>5319.5714285714284</v>
      </c>
      <c r="X152" s="36">
        <f t="shared" si="25"/>
        <v>98.428571428571431</v>
      </c>
    </row>
    <row r="153" spans="1:24" x14ac:dyDescent="0.25">
      <c r="A153" s="2">
        <v>44041</v>
      </c>
      <c r="B153" s="7">
        <v>5641</v>
      </c>
      <c r="C153" s="7">
        <f t="shared" si="27"/>
        <v>178996</v>
      </c>
      <c r="D153" s="4">
        <v>110</v>
      </c>
      <c r="E153" s="7">
        <f>E152+D153</f>
        <v>3288</v>
      </c>
      <c r="F153" s="194">
        <v>80596</v>
      </c>
      <c r="G153" s="4">
        <v>1057</v>
      </c>
      <c r="H153" s="4">
        <v>15812</v>
      </c>
      <c r="I153" s="4">
        <v>690823</v>
      </c>
      <c r="J153" s="7">
        <f t="shared" si="28"/>
        <v>801.66200000001118</v>
      </c>
      <c r="K153" s="7">
        <f t="shared" si="29"/>
        <v>400029.33799999999</v>
      </c>
      <c r="L153" s="4">
        <v>400831</v>
      </c>
      <c r="M153" s="4">
        <v>1115</v>
      </c>
      <c r="N153" s="4">
        <v>52375</v>
      </c>
      <c r="O153" s="4">
        <v>96710</v>
      </c>
      <c r="P153" s="4">
        <f>178996-O153-N153-M153</f>
        <v>28796</v>
      </c>
      <c r="Q153" s="29">
        <f t="shared" si="20"/>
        <v>2741</v>
      </c>
      <c r="R153" s="72">
        <f t="shared" si="21"/>
        <v>1.1113213895197241E-2</v>
      </c>
      <c r="S153" s="62">
        <f t="shared" si="22"/>
        <v>1.8369125567051777E-2</v>
      </c>
      <c r="U153" s="146">
        <f t="shared" si="24"/>
        <v>0.26142353770260746</v>
      </c>
      <c r="W153" s="213">
        <f t="shared" si="23"/>
        <v>5299.4285714285716</v>
      </c>
      <c r="X153" s="36">
        <f t="shared" si="25"/>
        <v>100.14285714285714</v>
      </c>
    </row>
    <row r="154" spans="1:24" x14ac:dyDescent="0.25">
      <c r="A154" s="73">
        <v>44042</v>
      </c>
      <c r="B154" s="4">
        <v>6377</v>
      </c>
      <c r="C154" s="7">
        <f t="shared" si="27"/>
        <v>185373</v>
      </c>
      <c r="D154" s="4">
        <f>23+131</f>
        <v>154</v>
      </c>
      <c r="E154" s="7">
        <f>E153+D154</f>
        <v>3442</v>
      </c>
      <c r="F154" s="194">
        <v>83780</v>
      </c>
      <c r="G154" s="4">
        <v>1076</v>
      </c>
      <c r="H154" s="4">
        <v>16685</v>
      </c>
      <c r="I154" s="4">
        <v>707508</v>
      </c>
      <c r="J154" s="7">
        <f t="shared" si="28"/>
        <v>818.0800000000163</v>
      </c>
      <c r="K154" s="7">
        <f t="shared" si="29"/>
        <v>408221.92</v>
      </c>
      <c r="L154" s="4">
        <v>409040</v>
      </c>
      <c r="M154" s="4">
        <v>1117</v>
      </c>
      <c r="N154" s="4">
        <v>53660</v>
      </c>
      <c r="O154" s="4">
        <v>100811</v>
      </c>
      <c r="P154" s="4">
        <f>185373-O154-N154-M154</f>
        <v>29785</v>
      </c>
      <c r="Q154" s="29">
        <f t="shared" si="20"/>
        <v>3184</v>
      </c>
      <c r="R154" s="72">
        <f t="shared" si="21"/>
        <v>1.0962700329084777E-2</v>
      </c>
      <c r="S154" s="62">
        <f t="shared" si="22"/>
        <v>1.8567968366482713E-2</v>
      </c>
      <c r="U154" s="146">
        <f t="shared" si="24"/>
        <v>0.25229181162895958</v>
      </c>
      <c r="W154" s="219">
        <f t="shared" si="23"/>
        <v>5335.1428571428569</v>
      </c>
      <c r="X154" s="36">
        <f t="shared" si="25"/>
        <v>105.85714285714286</v>
      </c>
    </row>
    <row r="155" spans="1:24" x14ac:dyDescent="0.25">
      <c r="A155" s="73">
        <v>44043</v>
      </c>
      <c r="B155" s="4">
        <v>5929</v>
      </c>
      <c r="C155" s="7">
        <f t="shared" si="27"/>
        <v>191302</v>
      </c>
      <c r="D155" s="4">
        <f>25+77</f>
        <v>102</v>
      </c>
      <c r="E155" s="7">
        <f>E154+D155</f>
        <v>3544</v>
      </c>
      <c r="F155" s="194">
        <v>86499</v>
      </c>
      <c r="G155" s="4">
        <v>1104</v>
      </c>
      <c r="H155" s="4">
        <v>15442</v>
      </c>
      <c r="I155" s="4">
        <f>I154+H155</f>
        <v>722950</v>
      </c>
      <c r="J155" s="7">
        <f t="shared" si="28"/>
        <v>833.97600000002421</v>
      </c>
      <c r="K155" s="7">
        <f t="shared" si="29"/>
        <v>416154.02399999998</v>
      </c>
      <c r="L155" s="4">
        <v>416988</v>
      </c>
      <c r="M155" s="4">
        <v>1122</v>
      </c>
      <c r="N155" s="4">
        <v>54915</v>
      </c>
      <c r="O155" s="4">
        <v>104695</v>
      </c>
      <c r="P155" s="4">
        <f>191302-O155-N155-M155</f>
        <v>30570</v>
      </c>
      <c r="Q155" s="29">
        <f t="shared" si="20"/>
        <v>2719</v>
      </c>
      <c r="R155" s="72">
        <f t="shared" si="21"/>
        <v>1.0902734571741771E-2</v>
      </c>
      <c r="S155" s="62">
        <f t="shared" si="22"/>
        <v>1.852568190609612E-2</v>
      </c>
      <c r="U155" s="146">
        <f t="shared" si="24"/>
        <v>0.24610474205315269</v>
      </c>
      <c r="W155" s="219">
        <f t="shared" si="23"/>
        <v>5397.4285714285716</v>
      </c>
      <c r="X155" s="36">
        <f t="shared" si="25"/>
        <v>105.42857142857143</v>
      </c>
    </row>
    <row r="156" spans="1:24" x14ac:dyDescent="0.25">
      <c r="A156" s="2">
        <v>44044</v>
      </c>
      <c r="B156" s="7">
        <v>5241</v>
      </c>
      <c r="C156" s="7">
        <f t="shared" si="27"/>
        <v>196543</v>
      </c>
      <c r="D156" s="4">
        <f>15+38</f>
        <v>53</v>
      </c>
      <c r="E156" s="7">
        <v>3596</v>
      </c>
      <c r="F156" s="194">
        <v>89026</v>
      </c>
      <c r="G156" s="4">
        <v>1128</v>
      </c>
      <c r="H156" s="4">
        <v>13057</v>
      </c>
      <c r="I156" s="4">
        <v>736007</v>
      </c>
      <c r="J156" s="7">
        <f t="shared" si="28"/>
        <v>846.24599999998463</v>
      </c>
      <c r="K156" s="7">
        <f t="shared" si="29"/>
        <v>422276.75400000002</v>
      </c>
      <c r="L156" s="4">
        <v>423123</v>
      </c>
      <c r="M156" s="4">
        <v>1123</v>
      </c>
      <c r="N156" s="4">
        <v>55946</v>
      </c>
      <c r="O156" s="4">
        <v>107909</v>
      </c>
      <c r="P156" s="4">
        <f>196543-O156-N156-M156</f>
        <v>31565</v>
      </c>
      <c r="Q156" s="29">
        <f t="shared" ref="Q156:Q187" si="30">F156-F155</f>
        <v>2527</v>
      </c>
      <c r="R156" s="72">
        <f t="shared" ref="R156:R187" si="31">G156/(C156-E156-F156)</f>
        <v>1.0854399014636118E-2</v>
      </c>
      <c r="S156" s="62">
        <f t="shared" ref="S156:S187" si="32">E156/C156</f>
        <v>1.8296250693232523E-2</v>
      </c>
      <c r="U156" s="146">
        <f t="shared" si="24"/>
        <v>0.2413189839200677</v>
      </c>
      <c r="W156" s="213">
        <f t="shared" ref="W156:W187" si="33">AVERAGE(B150:B156)</f>
        <v>5458.4285714285716</v>
      </c>
      <c r="X156" s="36">
        <f t="shared" si="25"/>
        <v>100.71428571428571</v>
      </c>
    </row>
    <row r="157" spans="1:24" x14ac:dyDescent="0.25">
      <c r="A157" s="2">
        <v>44045</v>
      </c>
      <c r="B157" s="4">
        <v>5376</v>
      </c>
      <c r="C157" s="7">
        <f t="shared" si="27"/>
        <v>201919</v>
      </c>
      <c r="D157" s="4">
        <f>15+36</f>
        <v>51</v>
      </c>
      <c r="E157" s="7">
        <f t="shared" ref="E157:E178" si="34">E156+D157</f>
        <v>3647</v>
      </c>
      <c r="F157" s="194">
        <v>91302</v>
      </c>
      <c r="G157" s="4">
        <v>1112</v>
      </c>
      <c r="H157" s="4">
        <v>11900</v>
      </c>
      <c r="I157" s="4">
        <v>747907</v>
      </c>
      <c r="J157" s="7">
        <f t="shared" si="28"/>
        <v>856.68800000002375</v>
      </c>
      <c r="K157" s="7">
        <f t="shared" si="29"/>
        <v>427487.31199999998</v>
      </c>
      <c r="L157" s="4">
        <v>428344</v>
      </c>
      <c r="M157" s="4">
        <v>1123</v>
      </c>
      <c r="N157" s="4">
        <v>56975</v>
      </c>
      <c r="O157" s="4">
        <v>110459</v>
      </c>
      <c r="P157" s="4">
        <f>201919-O157-N157-M157</f>
        <v>33362</v>
      </c>
      <c r="Q157" s="29">
        <f t="shared" si="30"/>
        <v>2276</v>
      </c>
      <c r="R157" s="72">
        <f t="shared" si="31"/>
        <v>1.0395437973263533E-2</v>
      </c>
      <c r="S157" s="62">
        <f t="shared" si="32"/>
        <v>1.8061698007616915E-2</v>
      </c>
      <c r="U157" s="146">
        <f t="shared" si="24"/>
        <v>0.2423796807895352</v>
      </c>
      <c r="W157" s="213">
        <f t="shared" si="33"/>
        <v>5627.5714285714284</v>
      </c>
      <c r="X157" s="36">
        <f t="shared" si="25"/>
        <v>101.57142857142857</v>
      </c>
    </row>
    <row r="158" spans="1:24" x14ac:dyDescent="0.25">
      <c r="A158" s="73">
        <v>44046</v>
      </c>
      <c r="B158" s="12">
        <v>4824</v>
      </c>
      <c r="C158" s="7">
        <f t="shared" si="27"/>
        <v>206743</v>
      </c>
      <c r="D158" s="4">
        <v>164</v>
      </c>
      <c r="E158" s="7">
        <f t="shared" si="34"/>
        <v>3811</v>
      </c>
      <c r="F158" s="194">
        <v>94129</v>
      </c>
      <c r="G158" s="4">
        <v>1150</v>
      </c>
      <c r="H158" s="4">
        <v>12839</v>
      </c>
      <c r="I158" s="4">
        <v>760746</v>
      </c>
      <c r="J158" s="7">
        <f t="shared" si="28"/>
        <v>869.87800000002608</v>
      </c>
      <c r="K158" s="7">
        <f t="shared" si="29"/>
        <v>434069.12199999997</v>
      </c>
      <c r="L158" s="4">
        <v>434939</v>
      </c>
      <c r="M158" s="4">
        <v>1123</v>
      </c>
      <c r="N158" s="4">
        <v>58084</v>
      </c>
      <c r="O158" s="4">
        <v>114826</v>
      </c>
      <c r="P158" s="4">
        <f>206743-M158-N158-O158</f>
        <v>32710</v>
      </c>
      <c r="Q158" s="29">
        <f t="shared" si="30"/>
        <v>2827</v>
      </c>
      <c r="R158" s="72">
        <f t="shared" si="31"/>
        <v>1.0569561501061552E-2</v>
      </c>
      <c r="S158" s="62">
        <f t="shared" si="32"/>
        <v>1.8433514073027867E-2</v>
      </c>
      <c r="U158" s="146">
        <f t="shared" si="24"/>
        <v>0.23490586323887799</v>
      </c>
      <c r="W158" s="213">
        <f t="shared" si="33"/>
        <v>5618.1428571428569</v>
      </c>
      <c r="X158" s="36">
        <f t="shared" si="25"/>
        <v>107.71428571428571</v>
      </c>
    </row>
    <row r="159" spans="1:24" x14ac:dyDescent="0.25">
      <c r="A159" s="2">
        <v>44047</v>
      </c>
      <c r="B159" s="12">
        <v>6792</v>
      </c>
      <c r="C159" s="7">
        <f t="shared" si="27"/>
        <v>213535</v>
      </c>
      <c r="D159" s="60">
        <f>116+52</f>
        <v>168</v>
      </c>
      <c r="E159" s="7">
        <f t="shared" si="34"/>
        <v>3979</v>
      </c>
      <c r="F159" s="194">
        <v>96948</v>
      </c>
      <c r="G159" s="4">
        <v>1207</v>
      </c>
      <c r="H159" s="4">
        <v>16532</v>
      </c>
      <c r="I159" s="4">
        <f>I158+H159</f>
        <v>777278</v>
      </c>
      <c r="J159" s="7">
        <f t="shared" si="28"/>
        <v>885.76199999998789</v>
      </c>
      <c r="K159" s="7">
        <f t="shared" si="29"/>
        <v>441995.23800000001</v>
      </c>
      <c r="L159" s="4">
        <v>442881</v>
      </c>
      <c r="M159" s="4">
        <v>1123</v>
      </c>
      <c r="N159" s="4">
        <v>59408</v>
      </c>
      <c r="O159" s="4">
        <v>119544</v>
      </c>
      <c r="P159" s="4">
        <f>213535-O159-N159-M159</f>
        <v>33460</v>
      </c>
      <c r="Q159" s="29">
        <f t="shared" si="30"/>
        <v>2819</v>
      </c>
      <c r="R159" s="72">
        <f t="shared" si="31"/>
        <v>1.0718599033816426E-2</v>
      </c>
      <c r="S159" s="62">
        <f t="shared" si="32"/>
        <v>1.8633947596412764E-2</v>
      </c>
      <c r="U159" s="146">
        <f t="shared" si="24"/>
        <v>0.23177871996769633</v>
      </c>
      <c r="W159" s="213">
        <f t="shared" si="33"/>
        <v>5740</v>
      </c>
      <c r="X159" s="36">
        <f t="shared" si="25"/>
        <v>114.57142857142857</v>
      </c>
    </row>
    <row r="160" spans="1:24" x14ac:dyDescent="0.25">
      <c r="A160" s="2">
        <v>44048</v>
      </c>
      <c r="B160" s="12">
        <v>7147</v>
      </c>
      <c r="C160" s="7">
        <f t="shared" si="27"/>
        <v>220682</v>
      </c>
      <c r="D160" s="4">
        <f>30+97</f>
        <v>127</v>
      </c>
      <c r="E160" s="7">
        <f t="shared" si="34"/>
        <v>4106</v>
      </c>
      <c r="F160" s="194">
        <v>99852</v>
      </c>
      <c r="G160" s="4">
        <v>1219</v>
      </c>
      <c r="H160" s="4">
        <v>17266</v>
      </c>
      <c r="I160" s="4">
        <f>I159+H160</f>
        <v>794544</v>
      </c>
      <c r="J160" s="7">
        <f t="shared" si="28"/>
        <v>902.90999999997439</v>
      </c>
      <c r="K160" s="7">
        <f t="shared" si="29"/>
        <v>450552.09</v>
      </c>
      <c r="L160" s="4">
        <v>451455</v>
      </c>
      <c r="M160" s="4">
        <v>1124</v>
      </c>
      <c r="N160" s="4">
        <v>60922</v>
      </c>
      <c r="O160" s="4">
        <v>124163</v>
      </c>
      <c r="P160" s="4">
        <f>220682-O160-N160-M160</f>
        <v>34473</v>
      </c>
      <c r="Q160" s="29">
        <f t="shared" si="30"/>
        <v>2904</v>
      </c>
      <c r="R160" s="72">
        <f t="shared" si="31"/>
        <v>1.0443439224152702E-2</v>
      </c>
      <c r="S160" s="62">
        <f t="shared" si="32"/>
        <v>1.8605957894164454E-2</v>
      </c>
      <c r="U160" s="146">
        <f t="shared" si="24"/>
        <v>0.23288788576281033</v>
      </c>
      <c r="W160" s="213">
        <f t="shared" si="33"/>
        <v>5955.1428571428569</v>
      </c>
      <c r="X160" s="36">
        <f t="shared" si="25"/>
        <v>117</v>
      </c>
    </row>
    <row r="161" spans="1:24" x14ac:dyDescent="0.25">
      <c r="A161" s="2">
        <v>44049</v>
      </c>
      <c r="B161" s="12">
        <v>7513</v>
      </c>
      <c r="C161" s="7">
        <f t="shared" si="27"/>
        <v>228195</v>
      </c>
      <c r="D161" s="4">
        <v>145</v>
      </c>
      <c r="E161" s="7">
        <f t="shared" si="34"/>
        <v>4251</v>
      </c>
      <c r="F161" s="194">
        <v>103297</v>
      </c>
      <c r="G161" s="4">
        <v>1245</v>
      </c>
      <c r="H161" s="4">
        <v>18020</v>
      </c>
      <c r="I161" s="4">
        <v>812564</v>
      </c>
      <c r="J161" s="7">
        <f t="shared" si="28"/>
        <v>919.37199999997392</v>
      </c>
      <c r="K161" s="7">
        <f t="shared" si="29"/>
        <v>458766.62800000003</v>
      </c>
      <c r="L161" s="4">
        <v>459686</v>
      </c>
      <c r="M161" s="4">
        <v>1127</v>
      </c>
      <c r="N161" s="4">
        <v>62150</v>
      </c>
      <c r="O161" s="4">
        <v>128781</v>
      </c>
      <c r="P161" s="4">
        <f>228195-O161-N161-M161</f>
        <v>36137</v>
      </c>
      <c r="Q161" s="29">
        <f t="shared" si="30"/>
        <v>3445</v>
      </c>
      <c r="R161" s="72">
        <f t="shared" si="31"/>
        <v>1.0319361442887101E-2</v>
      </c>
      <c r="S161" s="62">
        <f t="shared" si="32"/>
        <v>1.8628804312101493E-2</v>
      </c>
      <c r="U161" s="146">
        <f t="shared" ref="U161:U192" si="35">(C161-C154)/C154</f>
        <v>0.2310045152206632</v>
      </c>
      <c r="W161" s="213">
        <f t="shared" si="33"/>
        <v>6117.4285714285716</v>
      </c>
      <c r="X161" s="36">
        <f t="shared" si="25"/>
        <v>115.71428571428571</v>
      </c>
    </row>
    <row r="162" spans="1:24" x14ac:dyDescent="0.25">
      <c r="A162" s="2">
        <v>44050</v>
      </c>
      <c r="B162" s="38">
        <v>7482</v>
      </c>
      <c r="C162" s="7">
        <f t="shared" si="27"/>
        <v>235677</v>
      </c>
      <c r="D162" s="4">
        <v>160</v>
      </c>
      <c r="E162" s="7">
        <f t="shared" si="34"/>
        <v>4411</v>
      </c>
      <c r="F162" s="194">
        <v>108242</v>
      </c>
      <c r="G162" s="4">
        <v>1293</v>
      </c>
      <c r="H162" s="4">
        <v>17493</v>
      </c>
      <c r="I162" s="4">
        <f>I161+H162</f>
        <v>830057</v>
      </c>
      <c r="J162" s="7">
        <f t="shared" si="28"/>
        <v>940.32600000000093</v>
      </c>
      <c r="K162" s="7">
        <f t="shared" si="29"/>
        <v>469222.674</v>
      </c>
      <c r="L162" s="4">
        <v>470163</v>
      </c>
      <c r="M162" s="4">
        <v>1130</v>
      </c>
      <c r="N162" s="4">
        <v>63695</v>
      </c>
      <c r="O162" s="4">
        <v>133585</v>
      </c>
      <c r="P162" s="4">
        <f>235677-O162-N162-M162</f>
        <v>37267</v>
      </c>
      <c r="Q162" s="29">
        <f t="shared" si="30"/>
        <v>4945</v>
      </c>
      <c r="R162" s="72">
        <f t="shared" si="31"/>
        <v>1.0510144362075693E-2</v>
      </c>
      <c r="S162" s="62">
        <f t="shared" si="32"/>
        <v>1.8716293910733758E-2</v>
      </c>
      <c r="U162" s="146">
        <f t="shared" si="35"/>
        <v>0.23196307409227296</v>
      </c>
      <c r="W162" s="213">
        <f t="shared" si="33"/>
        <v>6339.2857142857147</v>
      </c>
      <c r="X162" s="36">
        <f t="shared" si="25"/>
        <v>124</v>
      </c>
    </row>
    <row r="163" spans="1:24" x14ac:dyDescent="0.25">
      <c r="A163" s="2">
        <v>44051</v>
      </c>
      <c r="B163" s="38">
        <v>6134</v>
      </c>
      <c r="C163" s="7">
        <f>B163+C162</f>
        <v>241811</v>
      </c>
      <c r="D163" s="4">
        <v>112</v>
      </c>
      <c r="E163" s="7">
        <f t="shared" si="34"/>
        <v>4523</v>
      </c>
      <c r="F163" s="194">
        <v>170109</v>
      </c>
      <c r="G163" s="4">
        <v>1502</v>
      </c>
      <c r="H163" s="4">
        <v>15163</v>
      </c>
      <c r="I163" s="4">
        <v>845220</v>
      </c>
      <c r="J163" s="7">
        <f t="shared" si="28"/>
        <v>955.79399999999441</v>
      </c>
      <c r="K163" s="7">
        <f t="shared" si="29"/>
        <v>476941.20600000001</v>
      </c>
      <c r="L163" s="4">
        <v>477897</v>
      </c>
      <c r="M163" s="4">
        <v>1130</v>
      </c>
      <c r="N163" s="4">
        <v>64762</v>
      </c>
      <c r="O163" s="4">
        <v>136987</v>
      </c>
      <c r="P163" s="4">
        <f>241811-O163-N163-M163</f>
        <v>38932</v>
      </c>
      <c r="Q163" s="29">
        <f t="shared" si="30"/>
        <v>61867</v>
      </c>
      <c r="R163" s="72">
        <f t="shared" si="31"/>
        <v>2.2358177406630049E-2</v>
      </c>
      <c r="S163" s="62">
        <f t="shared" si="32"/>
        <v>1.870469085360054E-2</v>
      </c>
      <c r="U163" s="146">
        <f t="shared" si="35"/>
        <v>0.23032110021725527</v>
      </c>
      <c r="W163" s="213">
        <f t="shared" si="33"/>
        <v>6466.8571428571431</v>
      </c>
      <c r="X163" s="36">
        <f t="shared" si="25"/>
        <v>132.42857142857142</v>
      </c>
    </row>
    <row r="164" spans="1:24" x14ac:dyDescent="0.25">
      <c r="A164" s="2">
        <v>44052</v>
      </c>
      <c r="B164" s="12">
        <v>4688</v>
      </c>
      <c r="C164" s="7">
        <f t="shared" ref="C164:C195" si="36">C163+B164</f>
        <v>246499</v>
      </c>
      <c r="D164" s="4">
        <v>83</v>
      </c>
      <c r="E164" s="7">
        <f t="shared" si="34"/>
        <v>4606</v>
      </c>
      <c r="F164" s="194">
        <v>174974</v>
      </c>
      <c r="G164" s="4">
        <v>1565</v>
      </c>
      <c r="H164" s="4">
        <v>10835</v>
      </c>
      <c r="I164" s="4">
        <v>856055</v>
      </c>
      <c r="J164" s="7">
        <f t="shared" si="28"/>
        <v>966.1020000000135</v>
      </c>
      <c r="K164" s="7">
        <f t="shared" si="29"/>
        <v>482084.89799999999</v>
      </c>
      <c r="L164" s="4">
        <v>483051</v>
      </c>
      <c r="M164" s="4">
        <v>1131</v>
      </c>
      <c r="N164" s="4">
        <v>65737</v>
      </c>
      <c r="O164" s="4">
        <v>139746</v>
      </c>
      <c r="P164" s="4">
        <f>246499-O164-N164-M164</f>
        <v>39885</v>
      </c>
      <c r="Q164" s="29">
        <f t="shared" si="30"/>
        <v>4865</v>
      </c>
      <c r="R164" s="72">
        <f t="shared" si="31"/>
        <v>2.3386482165005454E-2</v>
      </c>
      <c r="S164" s="62">
        <f t="shared" si="32"/>
        <v>1.8685674181233999E-2</v>
      </c>
      <c r="U164" s="146">
        <f t="shared" si="35"/>
        <v>0.22078160054279192</v>
      </c>
      <c r="W164" s="213">
        <f t="shared" si="33"/>
        <v>6368.5714285714284</v>
      </c>
      <c r="X164" s="36">
        <f t="shared" si="25"/>
        <v>137</v>
      </c>
    </row>
    <row r="165" spans="1:24" x14ac:dyDescent="0.25">
      <c r="A165" s="73">
        <v>44053</v>
      </c>
      <c r="B165" s="12">
        <v>7369</v>
      </c>
      <c r="C165" s="7">
        <f t="shared" si="36"/>
        <v>253868</v>
      </c>
      <c r="D165" s="4">
        <f>27+131</f>
        <v>158</v>
      </c>
      <c r="E165" s="7">
        <f t="shared" si="34"/>
        <v>4764</v>
      </c>
      <c r="F165" s="194">
        <v>181398</v>
      </c>
      <c r="G165" s="4">
        <v>1569</v>
      </c>
      <c r="H165" s="4">
        <v>16588</v>
      </c>
      <c r="I165" s="4">
        <v>872643</v>
      </c>
      <c r="J165" s="7">
        <f t="shared" si="28"/>
        <v>983.05200000002515</v>
      </c>
      <c r="K165" s="7">
        <f t="shared" si="29"/>
        <v>490542.94799999997</v>
      </c>
      <c r="L165" s="4">
        <v>491526</v>
      </c>
      <c r="M165" s="4">
        <v>1136</v>
      </c>
      <c r="N165" s="4">
        <v>67245</v>
      </c>
      <c r="O165" s="4">
        <v>144896</v>
      </c>
      <c r="P165" s="4">
        <f>253686-O165-N165-M165</f>
        <v>40409</v>
      </c>
      <c r="Q165" s="29">
        <f t="shared" si="30"/>
        <v>6424</v>
      </c>
      <c r="R165" s="72">
        <f t="shared" si="31"/>
        <v>2.3173721679024015E-2</v>
      </c>
      <c r="S165" s="62">
        <f t="shared" si="32"/>
        <v>1.8765657743394205E-2</v>
      </c>
      <c r="U165" s="146">
        <f t="shared" si="35"/>
        <v>0.22794000280541543</v>
      </c>
      <c r="W165" s="213">
        <f t="shared" si="33"/>
        <v>6732.1428571428569</v>
      </c>
      <c r="X165" s="36">
        <f t="shared" si="25"/>
        <v>136.14285714285714</v>
      </c>
    </row>
    <row r="166" spans="1:24" x14ac:dyDescent="0.25">
      <c r="A166" s="2">
        <v>44054</v>
      </c>
      <c r="B166" s="12">
        <v>7043</v>
      </c>
      <c r="C166" s="7">
        <f t="shared" si="36"/>
        <v>260911</v>
      </c>
      <c r="D166" s="4">
        <f>21+220</f>
        <v>241</v>
      </c>
      <c r="E166" s="7">
        <f t="shared" si="34"/>
        <v>5005</v>
      </c>
      <c r="F166" s="194">
        <v>187283</v>
      </c>
      <c r="G166" s="4">
        <v>1585</v>
      </c>
      <c r="H166" s="4">
        <v>19174</v>
      </c>
      <c r="I166" s="4">
        <f>I165+H166</f>
        <v>891817</v>
      </c>
      <c r="J166" s="7">
        <f t="shared" si="28"/>
        <v>1003.3040000000037</v>
      </c>
      <c r="K166" s="7">
        <f t="shared" si="29"/>
        <v>500648.696</v>
      </c>
      <c r="L166" s="4">
        <v>501652</v>
      </c>
      <c r="M166" s="4">
        <v>1137</v>
      </c>
      <c r="N166" s="4">
        <v>68717</v>
      </c>
      <c r="O166" s="4">
        <v>151086</v>
      </c>
      <c r="P166" s="4">
        <f>260911-O166-N166-M166</f>
        <v>39971</v>
      </c>
      <c r="Q166" s="29">
        <f t="shared" si="30"/>
        <v>5885</v>
      </c>
      <c r="R166" s="72">
        <f t="shared" si="31"/>
        <v>2.3097212304912348E-2</v>
      </c>
      <c r="S166" s="62">
        <f t="shared" si="32"/>
        <v>1.9182786467416092E-2</v>
      </c>
      <c r="U166" s="146">
        <f t="shared" si="35"/>
        <v>0.22186526798885428</v>
      </c>
      <c r="W166" s="213">
        <f t="shared" si="33"/>
        <v>6768</v>
      </c>
      <c r="X166" s="36">
        <f t="shared" si="25"/>
        <v>146.57142857142858</v>
      </c>
    </row>
    <row r="167" spans="1:24" x14ac:dyDescent="0.25">
      <c r="A167" s="65">
        <v>44055</v>
      </c>
      <c r="B167" s="12">
        <v>7663</v>
      </c>
      <c r="C167" s="7">
        <f t="shared" si="36"/>
        <v>268574</v>
      </c>
      <c r="D167" s="7">
        <f>84+125</f>
        <v>209</v>
      </c>
      <c r="E167" s="7">
        <f t="shared" si="34"/>
        <v>5214</v>
      </c>
      <c r="F167" s="194">
        <v>192434</v>
      </c>
      <c r="G167" s="4">
        <v>1662</v>
      </c>
      <c r="H167" s="4">
        <v>19779</v>
      </c>
      <c r="I167" s="4">
        <v>911596</v>
      </c>
      <c r="J167" s="7">
        <f t="shared" si="28"/>
        <v>1024.2339999999967</v>
      </c>
      <c r="K167" s="7">
        <f t="shared" si="29"/>
        <v>511092.766</v>
      </c>
      <c r="L167" s="4">
        <v>512117</v>
      </c>
      <c r="M167" s="4">
        <v>1142</v>
      </c>
      <c r="N167" s="4">
        <v>70280</v>
      </c>
      <c r="O167" s="4">
        <v>156764</v>
      </c>
      <c r="P167" s="4">
        <f>268574-O167-N167-M167</f>
        <v>40388</v>
      </c>
      <c r="Q167" s="29">
        <f t="shared" si="30"/>
        <v>5151</v>
      </c>
      <c r="R167" s="72">
        <f t="shared" si="31"/>
        <v>2.3432873699348617E-2</v>
      </c>
      <c r="S167" s="62">
        <f t="shared" si="32"/>
        <v>1.9413643911919992E-2</v>
      </c>
      <c r="U167" s="146">
        <f t="shared" si="35"/>
        <v>0.21701815281717585</v>
      </c>
      <c r="W167" s="213">
        <f t="shared" si="33"/>
        <v>6841.7142857142853</v>
      </c>
      <c r="X167" s="36">
        <f t="shared" si="25"/>
        <v>158.28571428571428</v>
      </c>
    </row>
    <row r="168" spans="1:24" x14ac:dyDescent="0.25">
      <c r="A168" s="65">
        <v>44056</v>
      </c>
      <c r="B168" s="12">
        <v>7498</v>
      </c>
      <c r="C168" s="7">
        <f t="shared" si="36"/>
        <v>276072</v>
      </c>
      <c r="D168" s="7">
        <f>33+116</f>
        <v>149</v>
      </c>
      <c r="E168" s="7">
        <f t="shared" si="34"/>
        <v>5363</v>
      </c>
      <c r="F168" s="194">
        <v>199005</v>
      </c>
      <c r="G168" s="4">
        <v>1682</v>
      </c>
      <c r="H168" s="4">
        <v>18501</v>
      </c>
      <c r="I168" s="4">
        <v>930097</v>
      </c>
      <c r="J168" s="7">
        <f t="shared" si="28"/>
        <v>1045.8319999999949</v>
      </c>
      <c r="K168" s="7">
        <f t="shared" si="29"/>
        <v>521870.16800000001</v>
      </c>
      <c r="L168" s="4">
        <v>522916</v>
      </c>
      <c r="M168" s="4">
        <v>1143</v>
      </c>
      <c r="N168" s="4">
        <v>71620</v>
      </c>
      <c r="O168" s="4">
        <v>162959</v>
      </c>
      <c r="P168" s="4">
        <f>276072-O168-N168-M168</f>
        <v>40350</v>
      </c>
      <c r="Q168" s="29">
        <f t="shared" si="30"/>
        <v>6571</v>
      </c>
      <c r="R168" s="72">
        <f t="shared" si="31"/>
        <v>2.3457547696083901E-2</v>
      </c>
      <c r="S168" s="62">
        <f t="shared" si="32"/>
        <v>1.9426091744182677E-2</v>
      </c>
      <c r="U168" s="146">
        <f t="shared" si="35"/>
        <v>0.20980740156445146</v>
      </c>
      <c r="W168" s="213">
        <f t="shared" si="33"/>
        <v>6839.5714285714284</v>
      </c>
      <c r="X168" s="36">
        <f t="shared" si="25"/>
        <v>158.85714285714286</v>
      </c>
    </row>
    <row r="169" spans="1:24" x14ac:dyDescent="0.25">
      <c r="A169" s="2">
        <v>44057</v>
      </c>
      <c r="B169" s="34">
        <v>6365</v>
      </c>
      <c r="C169" s="7">
        <f t="shared" si="36"/>
        <v>282437</v>
      </c>
      <c r="D169" s="4">
        <f>66+99</f>
        <v>165</v>
      </c>
      <c r="E169" s="7">
        <f t="shared" si="34"/>
        <v>5528</v>
      </c>
      <c r="F169" s="194">
        <v>205697</v>
      </c>
      <c r="G169" s="47">
        <v>1718</v>
      </c>
      <c r="H169" s="47">
        <v>19073</v>
      </c>
      <c r="I169" s="47">
        <v>949170</v>
      </c>
      <c r="J169" s="7">
        <f t="shared" si="28"/>
        <v>1066.9579999999842</v>
      </c>
      <c r="K169" s="7">
        <f t="shared" si="29"/>
        <v>532412.04200000002</v>
      </c>
      <c r="L169" s="4">
        <v>533479</v>
      </c>
      <c r="M169" s="4">
        <v>1148</v>
      </c>
      <c r="N169" s="4">
        <v>72902</v>
      </c>
      <c r="O169" s="4">
        <v>168252</v>
      </c>
      <c r="P169" s="4">
        <f>282437-O169-N169-M169</f>
        <v>40135</v>
      </c>
      <c r="Q169" s="29">
        <f t="shared" si="30"/>
        <v>6692</v>
      </c>
      <c r="R169" s="72">
        <f t="shared" si="31"/>
        <v>2.4125147447059483E-2</v>
      </c>
      <c r="S169" s="62">
        <f t="shared" si="32"/>
        <v>1.9572506435063395E-2</v>
      </c>
      <c r="U169" s="146">
        <f t="shared" si="35"/>
        <v>0.19840714197821596</v>
      </c>
      <c r="W169" s="213">
        <f t="shared" si="33"/>
        <v>6680</v>
      </c>
      <c r="X169" s="36">
        <f t="shared" si="25"/>
        <v>159.57142857142858</v>
      </c>
    </row>
    <row r="170" spans="1:24" x14ac:dyDescent="0.25">
      <c r="A170" s="2">
        <v>44058</v>
      </c>
      <c r="B170" s="4">
        <v>6663</v>
      </c>
      <c r="C170" s="7">
        <f t="shared" si="36"/>
        <v>289100</v>
      </c>
      <c r="D170" s="4">
        <f>38+72-1</f>
        <v>109</v>
      </c>
      <c r="E170" s="7">
        <f t="shared" si="34"/>
        <v>5637</v>
      </c>
      <c r="F170" s="194">
        <v>211702</v>
      </c>
      <c r="G170" s="4">
        <v>1716</v>
      </c>
      <c r="H170" s="4">
        <v>17756</v>
      </c>
      <c r="I170" s="4">
        <f>I169+H170</f>
        <v>966926</v>
      </c>
      <c r="J170" s="7">
        <f t="shared" si="28"/>
        <v>1086.1879999999655</v>
      </c>
      <c r="K170" s="7">
        <f t="shared" si="29"/>
        <v>542007.81200000003</v>
      </c>
      <c r="L170" s="4">
        <v>543094</v>
      </c>
      <c r="M170" s="4">
        <v>1151</v>
      </c>
      <c r="N170" s="4">
        <v>74109</v>
      </c>
      <c r="O170" s="4">
        <v>171954</v>
      </c>
      <c r="P170" s="4">
        <f>289100-O170-N170-M170</f>
        <v>41886</v>
      </c>
      <c r="Q170" s="29">
        <f t="shared" si="30"/>
        <v>6005</v>
      </c>
      <c r="R170" s="72">
        <f t="shared" si="31"/>
        <v>2.3912710246512731E-2</v>
      </c>
      <c r="S170" s="62">
        <f t="shared" si="32"/>
        <v>1.9498443445174679E-2</v>
      </c>
      <c r="U170" s="146">
        <f t="shared" si="35"/>
        <v>0.19556182307670039</v>
      </c>
      <c r="W170" s="213">
        <f t="shared" si="33"/>
        <v>6755.5714285714284</v>
      </c>
      <c r="X170" s="36">
        <f t="shared" si="25"/>
        <v>159.14285714285714</v>
      </c>
    </row>
    <row r="171" spans="1:24" x14ac:dyDescent="0.25">
      <c r="A171" s="2">
        <v>44059</v>
      </c>
      <c r="B171" s="4">
        <v>5469</v>
      </c>
      <c r="C171" s="7">
        <f t="shared" si="36"/>
        <v>294569</v>
      </c>
      <c r="D171" s="4">
        <f>20+46</f>
        <v>66</v>
      </c>
      <c r="E171" s="7">
        <f t="shared" si="34"/>
        <v>5703</v>
      </c>
      <c r="F171" s="194">
        <v>217850</v>
      </c>
      <c r="G171" s="4">
        <v>1708</v>
      </c>
      <c r="H171" s="4">
        <v>14533</v>
      </c>
      <c r="I171" s="4">
        <v>981459</v>
      </c>
      <c r="J171" s="7">
        <f t="shared" si="28"/>
        <v>1101.25</v>
      </c>
      <c r="K171" s="7">
        <f t="shared" si="29"/>
        <v>549523.75</v>
      </c>
      <c r="L171" s="4">
        <v>550625</v>
      </c>
      <c r="M171" s="4">
        <v>1154</v>
      </c>
      <c r="N171" s="4">
        <v>75051</v>
      </c>
      <c r="O171" s="4">
        <v>175520</v>
      </c>
      <c r="P171" s="4">
        <f>294569-O171-N171-M171</f>
        <v>42844</v>
      </c>
      <c r="Q171" s="29">
        <f t="shared" si="30"/>
        <v>6148</v>
      </c>
      <c r="R171" s="72">
        <f t="shared" si="31"/>
        <v>2.4050918102962712E-2</v>
      </c>
      <c r="S171" s="62">
        <f t="shared" si="32"/>
        <v>1.9360489392977537E-2</v>
      </c>
      <c r="U171" s="146">
        <f t="shared" si="35"/>
        <v>0.19501093310723369</v>
      </c>
      <c r="W171" s="213">
        <f t="shared" si="33"/>
        <v>6867.1428571428569</v>
      </c>
      <c r="X171" s="36">
        <f t="shared" si="25"/>
        <v>156.71428571428572</v>
      </c>
    </row>
    <row r="172" spans="1:24" x14ac:dyDescent="0.25">
      <c r="A172" s="73">
        <v>44060</v>
      </c>
      <c r="B172" s="4">
        <v>4557</v>
      </c>
      <c r="C172" s="7">
        <f t="shared" si="36"/>
        <v>299126</v>
      </c>
      <c r="D172" s="4">
        <f>47+64</f>
        <v>111</v>
      </c>
      <c r="E172" s="7">
        <f t="shared" si="34"/>
        <v>5814</v>
      </c>
      <c r="F172" s="194">
        <v>223531</v>
      </c>
      <c r="G172" s="4">
        <v>1749</v>
      </c>
      <c r="H172" s="4">
        <v>13483</v>
      </c>
      <c r="I172" s="4">
        <f t="shared" ref="I172:I179" si="37">I171+H172</f>
        <v>994942</v>
      </c>
      <c r="J172" s="7">
        <f t="shared" si="28"/>
        <v>1116.6300000000047</v>
      </c>
      <c r="K172" s="7">
        <f t="shared" si="29"/>
        <v>557198.37</v>
      </c>
      <c r="L172" s="4">
        <v>558315</v>
      </c>
      <c r="M172" s="4">
        <v>1157</v>
      </c>
      <c r="N172" s="4">
        <v>76226</v>
      </c>
      <c r="O172" s="4">
        <v>180483</v>
      </c>
      <c r="P172" s="4">
        <f>299126-O172-N172-M172</f>
        <v>41260</v>
      </c>
      <c r="Q172" s="29">
        <f t="shared" si="30"/>
        <v>5681</v>
      </c>
      <c r="R172" s="72">
        <f t="shared" si="31"/>
        <v>2.5064129204224645E-2</v>
      </c>
      <c r="S172" s="62">
        <f t="shared" si="32"/>
        <v>1.9436625368573778E-2</v>
      </c>
      <c r="U172" s="146">
        <f t="shared" si="35"/>
        <v>0.17827374856224495</v>
      </c>
      <c r="W172" s="213">
        <f t="shared" si="33"/>
        <v>6465.4285714285716</v>
      </c>
      <c r="X172" s="36">
        <f t="shared" si="25"/>
        <v>150</v>
      </c>
    </row>
    <row r="173" spans="1:24" x14ac:dyDescent="0.25">
      <c r="A173" s="2">
        <v>44061</v>
      </c>
      <c r="B173" s="4">
        <v>6840</v>
      </c>
      <c r="C173" s="7">
        <f t="shared" si="36"/>
        <v>305966</v>
      </c>
      <c r="D173" s="4">
        <f>63+170</f>
        <v>233</v>
      </c>
      <c r="E173" s="7">
        <f t="shared" si="34"/>
        <v>6047</v>
      </c>
      <c r="F173" s="194">
        <v>228725</v>
      </c>
      <c r="G173" s="47">
        <v>1799</v>
      </c>
      <c r="H173" s="47">
        <v>18037</v>
      </c>
      <c r="I173" s="47">
        <f t="shared" si="37"/>
        <v>1012979</v>
      </c>
      <c r="J173" s="7">
        <f t="shared" si="28"/>
        <v>1136.4399999999441</v>
      </c>
      <c r="K173" s="7">
        <f t="shared" si="29"/>
        <v>567083.56000000006</v>
      </c>
      <c r="L173" s="4">
        <v>568220</v>
      </c>
      <c r="M173" s="4">
        <v>1161</v>
      </c>
      <c r="N173" s="4">
        <v>77895</v>
      </c>
      <c r="O173" s="4">
        <v>185880</v>
      </c>
      <c r="P173" s="4">
        <f>305966-O173-N173-M173</f>
        <v>41030</v>
      </c>
      <c r="Q173" s="29">
        <f t="shared" si="30"/>
        <v>5194</v>
      </c>
      <c r="R173" s="72">
        <f t="shared" si="31"/>
        <v>2.5268983341292805E-2</v>
      </c>
      <c r="S173" s="62">
        <f t="shared" si="32"/>
        <v>1.9763633867815378E-2</v>
      </c>
      <c r="U173" s="146">
        <f t="shared" si="35"/>
        <v>0.17268340545243396</v>
      </c>
      <c r="W173" s="213">
        <f t="shared" si="33"/>
        <v>6436.4285714285716</v>
      </c>
      <c r="X173" s="36">
        <f t="shared" si="25"/>
        <v>148.85714285714286</v>
      </c>
    </row>
    <row r="174" spans="1:24" x14ac:dyDescent="0.25">
      <c r="A174" s="2">
        <v>44062</v>
      </c>
      <c r="B174" s="4">
        <v>6693</v>
      </c>
      <c r="C174" s="7">
        <f t="shared" si="36"/>
        <v>312659</v>
      </c>
      <c r="D174" s="4">
        <f>217+66</f>
        <v>283</v>
      </c>
      <c r="E174" s="7">
        <f t="shared" si="34"/>
        <v>6330</v>
      </c>
      <c r="F174" s="194">
        <v>233651</v>
      </c>
      <c r="G174" s="47">
        <v>1795</v>
      </c>
      <c r="H174" s="47">
        <v>18013</v>
      </c>
      <c r="I174" s="47">
        <f t="shared" si="37"/>
        <v>1030992</v>
      </c>
      <c r="J174" s="7">
        <f t="shared" si="28"/>
        <v>1156.0860000000102</v>
      </c>
      <c r="K174" s="7">
        <f t="shared" si="29"/>
        <v>576886.91399999999</v>
      </c>
      <c r="L174" s="4">
        <v>578043</v>
      </c>
      <c r="M174" s="4">
        <v>1163</v>
      </c>
      <c r="N174" s="4">
        <v>79219</v>
      </c>
      <c r="O174" s="4">
        <v>191037</v>
      </c>
      <c r="P174" s="7">
        <f t="shared" ref="P174:P205" si="38">C174-O174-N174-M174</f>
        <v>41240</v>
      </c>
      <c r="Q174" s="29">
        <f t="shared" si="30"/>
        <v>4926</v>
      </c>
      <c r="R174" s="72">
        <f t="shared" si="31"/>
        <v>2.4697982883403507E-2</v>
      </c>
      <c r="S174" s="62">
        <f t="shared" si="32"/>
        <v>2.0245698988354724E-2</v>
      </c>
      <c r="U174" s="146">
        <f t="shared" si="35"/>
        <v>0.16414470499750533</v>
      </c>
      <c r="W174" s="213">
        <f t="shared" si="33"/>
        <v>6297.8571428571431</v>
      </c>
      <c r="X174" s="36">
        <f t="shared" si="25"/>
        <v>159.42857142857142</v>
      </c>
    </row>
    <row r="175" spans="1:24" x14ac:dyDescent="0.25">
      <c r="A175" s="2">
        <v>44063</v>
      </c>
      <c r="B175" s="80">
        <v>8225</v>
      </c>
      <c r="C175" s="7">
        <f t="shared" si="36"/>
        <v>320884</v>
      </c>
      <c r="D175" s="4">
        <f>111+75</f>
        <v>186</v>
      </c>
      <c r="E175" s="7">
        <f t="shared" si="34"/>
        <v>6516</v>
      </c>
      <c r="F175" s="194">
        <v>239806</v>
      </c>
      <c r="G175" s="4">
        <v>1832</v>
      </c>
      <c r="H175" s="4">
        <v>21695</v>
      </c>
      <c r="I175" s="4">
        <f t="shared" si="37"/>
        <v>1052687</v>
      </c>
      <c r="J175" s="7">
        <f t="shared" si="28"/>
        <v>1178.905999999959</v>
      </c>
      <c r="K175" s="7">
        <f t="shared" si="29"/>
        <v>588274.09400000004</v>
      </c>
      <c r="L175" s="4">
        <v>589453</v>
      </c>
      <c r="M175" s="4">
        <v>1172</v>
      </c>
      <c r="N175" s="4">
        <v>80662</v>
      </c>
      <c r="O175" s="4">
        <v>196370</v>
      </c>
      <c r="P175" s="7">
        <f t="shared" si="38"/>
        <v>42680</v>
      </c>
      <c r="Q175" s="29">
        <f t="shared" si="30"/>
        <v>6155</v>
      </c>
      <c r="R175" s="72">
        <f t="shared" si="31"/>
        <v>2.4570156379925431E-2</v>
      </c>
      <c r="S175" s="62">
        <f t="shared" si="32"/>
        <v>2.0306403560165043E-2</v>
      </c>
      <c r="U175" s="146">
        <f t="shared" si="35"/>
        <v>0.16231997449940594</v>
      </c>
      <c r="W175" s="213">
        <f t="shared" si="33"/>
        <v>6401.7142857142853</v>
      </c>
      <c r="X175" s="36">
        <f t="shared" si="25"/>
        <v>164.71428571428572</v>
      </c>
    </row>
    <row r="176" spans="1:24" x14ac:dyDescent="0.25">
      <c r="A176" s="2">
        <v>44064</v>
      </c>
      <c r="B176" s="7">
        <v>8159</v>
      </c>
      <c r="C176" s="7">
        <f t="shared" si="36"/>
        <v>329043</v>
      </c>
      <c r="D176" s="4">
        <f>50+164</f>
        <v>214</v>
      </c>
      <c r="E176" s="7">
        <f t="shared" si="34"/>
        <v>6730</v>
      </c>
      <c r="F176" s="194">
        <v>245781</v>
      </c>
      <c r="G176" s="4">
        <v>1853</v>
      </c>
      <c r="H176" s="4">
        <v>21032</v>
      </c>
      <c r="I176" s="4">
        <f t="shared" si="37"/>
        <v>1073719</v>
      </c>
      <c r="J176" s="7">
        <f t="shared" si="28"/>
        <v>1201.0119999999879</v>
      </c>
      <c r="K176" s="7">
        <f t="shared" si="29"/>
        <v>599304.98800000001</v>
      </c>
      <c r="L176" s="4">
        <v>600506</v>
      </c>
      <c r="M176" s="4">
        <v>1175</v>
      </c>
      <c r="N176" s="4">
        <v>82187</v>
      </c>
      <c r="O176" s="4">
        <v>201933</v>
      </c>
      <c r="P176" s="7">
        <f t="shared" si="38"/>
        <v>43748</v>
      </c>
      <c r="Q176" s="29">
        <f t="shared" si="30"/>
        <v>5975</v>
      </c>
      <c r="R176" s="72">
        <f t="shared" si="31"/>
        <v>2.4212094287356923E-2</v>
      </c>
      <c r="S176" s="62">
        <f t="shared" si="32"/>
        <v>2.0453253830046529E-2</v>
      </c>
      <c r="U176" s="146">
        <f t="shared" si="35"/>
        <v>0.1650137906860645</v>
      </c>
      <c r="W176" s="213">
        <f t="shared" si="33"/>
        <v>6658</v>
      </c>
      <c r="X176" s="36">
        <f t="shared" si="25"/>
        <v>171.71428571428572</v>
      </c>
    </row>
    <row r="177" spans="1:24" s="68" customFormat="1" x14ac:dyDescent="0.25">
      <c r="A177" s="2">
        <v>44065</v>
      </c>
      <c r="B177" s="4">
        <v>7759</v>
      </c>
      <c r="C177" s="7">
        <f t="shared" si="36"/>
        <v>336802</v>
      </c>
      <c r="D177" s="4">
        <v>118</v>
      </c>
      <c r="E177" s="7">
        <f t="shared" si="34"/>
        <v>6848</v>
      </c>
      <c r="F177" s="194">
        <v>251400</v>
      </c>
      <c r="G177" s="4">
        <v>1907</v>
      </c>
      <c r="H177" s="4">
        <v>18837</v>
      </c>
      <c r="I177" s="4">
        <f t="shared" si="37"/>
        <v>1092556</v>
      </c>
      <c r="J177" s="7">
        <f t="shared" si="28"/>
        <v>1220.3220000000438</v>
      </c>
      <c r="K177" s="7">
        <f t="shared" si="29"/>
        <v>608940.67799999996</v>
      </c>
      <c r="L177" s="4">
        <v>610161</v>
      </c>
      <c r="M177" s="4">
        <v>1178</v>
      </c>
      <c r="N177" s="4">
        <v>83443</v>
      </c>
      <c r="O177" s="4">
        <v>205996</v>
      </c>
      <c r="P177" s="7">
        <f t="shared" si="38"/>
        <v>46185</v>
      </c>
      <c r="Q177" s="29">
        <f t="shared" si="30"/>
        <v>5619</v>
      </c>
      <c r="R177" s="72">
        <f t="shared" si="31"/>
        <v>2.4276294014308628E-2</v>
      </c>
      <c r="S177" s="62">
        <f t="shared" si="32"/>
        <v>2.0332420828854936E-2</v>
      </c>
      <c r="T177" s="143"/>
      <c r="U177" s="146">
        <f t="shared" si="35"/>
        <v>0.16500172950536146</v>
      </c>
      <c r="W177" s="213">
        <f t="shared" si="33"/>
        <v>6814.5714285714284</v>
      </c>
      <c r="X177" s="36">
        <f t="shared" si="25"/>
        <v>173</v>
      </c>
    </row>
    <row r="178" spans="1:24" x14ac:dyDescent="0.25">
      <c r="A178" s="2">
        <v>44066</v>
      </c>
      <c r="B178" s="4">
        <v>5352</v>
      </c>
      <c r="C178" s="7">
        <f t="shared" si="36"/>
        <v>342154</v>
      </c>
      <c r="D178" s="4">
        <f>99+37</f>
        <v>136</v>
      </c>
      <c r="E178" s="7">
        <f t="shared" si="34"/>
        <v>6984</v>
      </c>
      <c r="F178" s="194">
        <v>256789</v>
      </c>
      <c r="G178" s="4">
        <v>1922</v>
      </c>
      <c r="H178" s="4">
        <v>13322</v>
      </c>
      <c r="I178" s="4">
        <f t="shared" si="37"/>
        <v>1105878</v>
      </c>
      <c r="J178" s="7">
        <f t="shared" si="28"/>
        <v>1234.4039999999804</v>
      </c>
      <c r="K178" s="7">
        <f t="shared" si="29"/>
        <v>615967.59600000002</v>
      </c>
      <c r="L178" s="4">
        <v>617202</v>
      </c>
      <c r="M178" s="4">
        <v>1179</v>
      </c>
      <c r="N178" s="4">
        <v>84223</v>
      </c>
      <c r="O178" s="4">
        <v>209236</v>
      </c>
      <c r="P178" s="7">
        <f t="shared" si="38"/>
        <v>47516</v>
      </c>
      <c r="Q178" s="29">
        <f t="shared" si="30"/>
        <v>5389</v>
      </c>
      <c r="R178" s="72">
        <f t="shared" si="31"/>
        <v>2.4521248772023833E-2</v>
      </c>
      <c r="S178" s="62">
        <f t="shared" si="32"/>
        <v>2.041186132560192E-2</v>
      </c>
      <c r="U178" s="146">
        <f t="shared" si="35"/>
        <v>0.16154109902942942</v>
      </c>
      <c r="W178" s="213">
        <f t="shared" si="33"/>
        <v>6797.8571428571431</v>
      </c>
      <c r="X178" s="36">
        <f t="shared" si="25"/>
        <v>183</v>
      </c>
    </row>
    <row r="179" spans="1:24" x14ac:dyDescent="0.25">
      <c r="A179" s="73">
        <v>44067</v>
      </c>
      <c r="B179" s="4">
        <v>8713</v>
      </c>
      <c r="C179" s="7">
        <f t="shared" si="36"/>
        <v>350867</v>
      </c>
      <c r="D179" s="4">
        <f>95+286</f>
        <v>381</v>
      </c>
      <c r="E179" s="7">
        <f>D179+E178</f>
        <v>7365</v>
      </c>
      <c r="F179" s="194">
        <v>263202</v>
      </c>
      <c r="G179" s="4">
        <v>1960</v>
      </c>
      <c r="H179" s="4">
        <v>21220</v>
      </c>
      <c r="I179" s="4">
        <f t="shared" si="37"/>
        <v>1127098</v>
      </c>
      <c r="J179" s="7">
        <f t="shared" si="28"/>
        <v>1256.7859999999637</v>
      </c>
      <c r="K179" s="7">
        <f t="shared" si="29"/>
        <v>627136.21400000004</v>
      </c>
      <c r="L179" s="4">
        <v>628393</v>
      </c>
      <c r="M179" s="4">
        <v>1180</v>
      </c>
      <c r="N179" s="4">
        <v>85600</v>
      </c>
      <c r="O179" s="4">
        <v>213348</v>
      </c>
      <c r="P179" s="7">
        <f t="shared" si="38"/>
        <v>50739</v>
      </c>
      <c r="Q179" s="29">
        <f t="shared" si="30"/>
        <v>6413</v>
      </c>
      <c r="R179" s="72">
        <f t="shared" si="31"/>
        <v>2.4408468244084682E-2</v>
      </c>
      <c r="S179" s="62">
        <f t="shared" si="32"/>
        <v>2.0990859784476738E-2</v>
      </c>
      <c r="U179" s="146">
        <f t="shared" si="35"/>
        <v>0.17297393071815889</v>
      </c>
      <c r="W179" s="213">
        <f t="shared" si="33"/>
        <v>7391.5714285714284</v>
      </c>
      <c r="X179" s="36">
        <f t="shared" si="25"/>
        <v>221.57142857142858</v>
      </c>
    </row>
    <row r="180" spans="1:24" x14ac:dyDescent="0.25">
      <c r="A180" s="2">
        <v>44068</v>
      </c>
      <c r="B180" s="47">
        <v>8771</v>
      </c>
      <c r="C180" s="66">
        <f t="shared" si="36"/>
        <v>359638</v>
      </c>
      <c r="D180" s="47">
        <f>36+162</f>
        <v>198</v>
      </c>
      <c r="E180" s="66">
        <f t="shared" ref="E180:E211" si="39">E179+D180</f>
        <v>7563</v>
      </c>
      <c r="F180" s="194">
        <v>268801</v>
      </c>
      <c r="G180" s="47">
        <v>1990</v>
      </c>
      <c r="H180" s="47">
        <v>21476</v>
      </c>
      <c r="I180" s="47">
        <f>H180+I179</f>
        <v>1148574</v>
      </c>
      <c r="J180" s="7">
        <f t="shared" si="28"/>
        <v>1278.204000000027</v>
      </c>
      <c r="K180" s="7">
        <f t="shared" si="29"/>
        <v>637823.79599999997</v>
      </c>
      <c r="L180" s="4">
        <v>639102</v>
      </c>
      <c r="M180" s="4">
        <v>1183</v>
      </c>
      <c r="N180" s="4">
        <v>87216</v>
      </c>
      <c r="O180" s="4">
        <v>219449</v>
      </c>
      <c r="P180" s="4">
        <f t="shared" si="38"/>
        <v>51790</v>
      </c>
      <c r="Q180" s="29">
        <f t="shared" si="30"/>
        <v>5599</v>
      </c>
      <c r="R180" s="72">
        <f t="shared" si="31"/>
        <v>2.3897014674448207E-2</v>
      </c>
      <c r="S180" s="62">
        <f t="shared" si="32"/>
        <v>2.1029479643419217E-2</v>
      </c>
      <c r="T180" s="225"/>
      <c r="U180" s="146">
        <f t="shared" si="35"/>
        <v>0.1754181837197597</v>
      </c>
      <c r="V180" s="225"/>
      <c r="W180" s="213">
        <f t="shared" si="33"/>
        <v>7667.4285714285716</v>
      </c>
      <c r="X180" s="36">
        <f t="shared" si="25"/>
        <v>216.57142857142858</v>
      </c>
    </row>
    <row r="181" spans="1:24" x14ac:dyDescent="0.25">
      <c r="A181" s="71">
        <v>44069</v>
      </c>
      <c r="B181" s="47">
        <v>10550</v>
      </c>
      <c r="C181" s="66">
        <f t="shared" si="36"/>
        <v>370188</v>
      </c>
      <c r="D181" s="47">
        <f>98+178</f>
        <v>276</v>
      </c>
      <c r="E181" s="66">
        <f t="shared" si="39"/>
        <v>7839</v>
      </c>
      <c r="F181" s="194">
        <v>274458</v>
      </c>
      <c r="G181" s="47">
        <v>2022</v>
      </c>
      <c r="H181" s="47">
        <v>24237</v>
      </c>
      <c r="I181" s="47">
        <f>H181+I180</f>
        <v>1172811</v>
      </c>
      <c r="J181" s="7">
        <f t="shared" si="28"/>
        <v>1301.7900000000373</v>
      </c>
      <c r="K181" s="7">
        <f t="shared" si="29"/>
        <v>649593.21</v>
      </c>
      <c r="L181" s="4">
        <v>650895</v>
      </c>
      <c r="M181" s="4">
        <v>1187</v>
      </c>
      <c r="N181" s="4">
        <v>88811</v>
      </c>
      <c r="O181" s="4">
        <v>226073</v>
      </c>
      <c r="P181" s="4">
        <f t="shared" si="38"/>
        <v>54117</v>
      </c>
      <c r="Q181" s="29">
        <f t="shared" si="30"/>
        <v>5657</v>
      </c>
      <c r="R181" s="72">
        <f t="shared" si="31"/>
        <v>2.300576850872103E-2</v>
      </c>
      <c r="S181" s="62">
        <f t="shared" si="32"/>
        <v>2.1175726927939318E-2</v>
      </c>
      <c r="T181" s="19"/>
      <c r="U181" s="146">
        <f t="shared" si="35"/>
        <v>0.183999181216597</v>
      </c>
      <c r="W181" s="213">
        <f t="shared" si="33"/>
        <v>8218.4285714285706</v>
      </c>
      <c r="X181" s="36">
        <f t="shared" si="25"/>
        <v>215.57142857142858</v>
      </c>
    </row>
    <row r="182" spans="1:24" x14ac:dyDescent="0.25">
      <c r="A182" s="2">
        <v>44070</v>
      </c>
      <c r="B182" s="4">
        <v>10104</v>
      </c>
      <c r="C182" s="7">
        <f t="shared" si="36"/>
        <v>380292</v>
      </c>
      <c r="D182" s="4">
        <f>105+106</f>
        <v>211</v>
      </c>
      <c r="E182" s="7">
        <f t="shared" si="39"/>
        <v>8050</v>
      </c>
      <c r="F182" s="194">
        <v>274458</v>
      </c>
      <c r="G182" s="4">
        <v>2075</v>
      </c>
      <c r="H182" s="4">
        <v>24067</v>
      </c>
      <c r="I182" s="4">
        <f t="shared" ref="I182:I205" si="40">I181+H182</f>
        <v>1196878</v>
      </c>
      <c r="J182" s="7">
        <f t="shared" si="28"/>
        <v>1061.1663999999873</v>
      </c>
      <c r="K182" s="7">
        <f t="shared" ref="K182:K205" si="41">0.9984*L182</f>
        <v>662167.83360000001</v>
      </c>
      <c r="L182" s="4">
        <v>663229</v>
      </c>
      <c r="M182" s="4">
        <v>1187</v>
      </c>
      <c r="N182" s="4">
        <v>90269</v>
      </c>
      <c r="O182" s="4">
        <v>232379</v>
      </c>
      <c r="P182" s="4">
        <f t="shared" si="38"/>
        <v>56457</v>
      </c>
      <c r="Q182" s="29">
        <f t="shared" si="30"/>
        <v>0</v>
      </c>
      <c r="R182" s="72">
        <f t="shared" si="31"/>
        <v>2.1220240530148083E-2</v>
      </c>
      <c r="S182" s="62">
        <f t="shared" si="32"/>
        <v>2.1167944632019604E-2</v>
      </c>
      <c r="U182" s="146">
        <f t="shared" si="35"/>
        <v>0.18513855474252378</v>
      </c>
      <c r="W182" s="213">
        <f t="shared" si="33"/>
        <v>8486.8571428571431</v>
      </c>
      <c r="X182" s="36">
        <f t="shared" si="25"/>
        <v>219.14285714285714</v>
      </c>
    </row>
    <row r="183" spans="1:24" x14ac:dyDescent="0.25">
      <c r="A183" s="2">
        <v>44071</v>
      </c>
      <c r="B183" s="148">
        <v>11717</v>
      </c>
      <c r="C183" s="66">
        <f t="shared" si="36"/>
        <v>392009</v>
      </c>
      <c r="D183" s="47">
        <f>80+142</f>
        <v>222</v>
      </c>
      <c r="E183" s="66">
        <f t="shared" si="39"/>
        <v>8272</v>
      </c>
      <c r="F183" s="194">
        <v>287220</v>
      </c>
      <c r="G183" s="47">
        <v>2114</v>
      </c>
      <c r="H183" s="47">
        <v>25481</v>
      </c>
      <c r="I183" s="47">
        <f t="shared" si="40"/>
        <v>1222359</v>
      </c>
      <c r="J183" s="7">
        <f t="shared" si="28"/>
        <v>1081.8352000000887</v>
      </c>
      <c r="K183" s="7">
        <f t="shared" si="41"/>
        <v>675065.16479999991</v>
      </c>
      <c r="L183" s="4">
        <v>676147</v>
      </c>
      <c r="M183" s="4">
        <v>1190</v>
      </c>
      <c r="N183" s="4">
        <v>92043</v>
      </c>
      <c r="O183" s="4">
        <v>239019</v>
      </c>
      <c r="P183" s="4">
        <f t="shared" si="38"/>
        <v>59757</v>
      </c>
      <c r="Q183" s="29">
        <f t="shared" si="30"/>
        <v>12762</v>
      </c>
      <c r="R183" s="72">
        <f t="shared" si="31"/>
        <v>2.1902877213340655E-2</v>
      </c>
      <c r="S183" s="62">
        <f t="shared" si="32"/>
        <v>2.1101556341818681E-2</v>
      </c>
      <c r="U183" s="146">
        <f t="shared" si="35"/>
        <v>0.19136100752789148</v>
      </c>
      <c r="W183" s="213">
        <f t="shared" si="33"/>
        <v>8995.1428571428569</v>
      </c>
      <c r="X183" s="36">
        <f t="shared" si="25"/>
        <v>220.28571428571428</v>
      </c>
    </row>
    <row r="184" spans="1:24" x14ac:dyDescent="0.25">
      <c r="A184" s="2">
        <v>44072</v>
      </c>
      <c r="B184" s="4">
        <v>9230</v>
      </c>
      <c r="C184" s="7">
        <f t="shared" si="36"/>
        <v>401239</v>
      </c>
      <c r="D184" s="4">
        <f>34+47</f>
        <v>81</v>
      </c>
      <c r="E184" s="7">
        <f t="shared" si="39"/>
        <v>8353</v>
      </c>
      <c r="F184" s="194">
        <v>294007</v>
      </c>
      <c r="G184" s="4">
        <v>2192</v>
      </c>
      <c r="H184" s="4">
        <v>19910</v>
      </c>
      <c r="I184" s="4">
        <f t="shared" si="40"/>
        <v>1242269</v>
      </c>
      <c r="J184" s="7">
        <f t="shared" ref="J184:J205" si="42">L184-K184</f>
        <v>1097.3584000000264</v>
      </c>
      <c r="K184" s="7">
        <f t="shared" si="41"/>
        <v>684751.64159999997</v>
      </c>
      <c r="L184" s="7">
        <v>685849</v>
      </c>
      <c r="M184" s="4">
        <v>1191</v>
      </c>
      <c r="N184" s="4">
        <v>93278</v>
      </c>
      <c r="O184" s="4">
        <v>244308</v>
      </c>
      <c r="P184" s="4">
        <f t="shared" si="38"/>
        <v>62462</v>
      </c>
      <c r="Q184" s="29">
        <f t="shared" si="30"/>
        <v>6787</v>
      </c>
      <c r="R184" s="72">
        <f t="shared" si="31"/>
        <v>2.2168508985730032E-2</v>
      </c>
      <c r="S184" s="62">
        <f t="shared" si="32"/>
        <v>2.0818016194836492E-2</v>
      </c>
      <c r="T184" s="225"/>
      <c r="U184" s="146">
        <f t="shared" si="35"/>
        <v>0.19132012280212113</v>
      </c>
      <c r="W184" s="213">
        <f t="shared" si="33"/>
        <v>9205.2857142857138</v>
      </c>
      <c r="X184" s="36">
        <f t="shared" si="25"/>
        <v>215</v>
      </c>
    </row>
    <row r="185" spans="1:24" x14ac:dyDescent="0.25">
      <c r="A185" s="2">
        <v>44073</v>
      </c>
      <c r="B185" s="4">
        <v>7187</v>
      </c>
      <c r="C185" s="7">
        <f t="shared" si="36"/>
        <v>408426</v>
      </c>
      <c r="D185" s="4">
        <f>48+55</f>
        <v>103</v>
      </c>
      <c r="E185" s="7">
        <f t="shared" si="39"/>
        <v>8456</v>
      </c>
      <c r="F185" s="194">
        <v>300195</v>
      </c>
      <c r="G185" s="4">
        <v>2232</v>
      </c>
      <c r="H185" s="4">
        <v>15637</v>
      </c>
      <c r="I185" s="4">
        <f t="shared" si="40"/>
        <v>1257906</v>
      </c>
      <c r="J185" s="7">
        <f t="shared" si="42"/>
        <v>1109.0415999999968</v>
      </c>
      <c r="K185" s="7">
        <f t="shared" si="41"/>
        <v>692041.9584</v>
      </c>
      <c r="L185" s="4">
        <v>693151</v>
      </c>
      <c r="M185" s="4">
        <v>1191</v>
      </c>
      <c r="N185" s="4">
        <v>94301</v>
      </c>
      <c r="O185" s="4">
        <v>247931</v>
      </c>
      <c r="P185" s="4">
        <f t="shared" si="38"/>
        <v>65003</v>
      </c>
      <c r="Q185" s="29">
        <f t="shared" si="30"/>
        <v>6188</v>
      </c>
      <c r="R185" s="72">
        <f t="shared" si="31"/>
        <v>2.2370333249812076E-2</v>
      </c>
      <c r="S185" s="62">
        <f t="shared" si="32"/>
        <v>2.0703872917003326E-2</v>
      </c>
      <c r="U185" s="146">
        <f t="shared" si="35"/>
        <v>0.19369056039093507</v>
      </c>
      <c r="W185" s="213">
        <f t="shared" si="33"/>
        <v>9467.4285714285706</v>
      </c>
      <c r="X185" s="36">
        <f t="shared" si="25"/>
        <v>210.28571428571428</v>
      </c>
    </row>
    <row r="186" spans="1:24" x14ac:dyDescent="0.25">
      <c r="A186" s="73">
        <v>44074</v>
      </c>
      <c r="B186" s="4">
        <v>9309</v>
      </c>
      <c r="C186" s="7">
        <f t="shared" si="36"/>
        <v>417735</v>
      </c>
      <c r="D186" s="4">
        <f>41+162</f>
        <v>203</v>
      </c>
      <c r="E186" s="7">
        <f t="shared" si="39"/>
        <v>8659</v>
      </c>
      <c r="F186" s="194">
        <v>308376</v>
      </c>
      <c r="G186" s="4">
        <v>2273</v>
      </c>
      <c r="H186" s="4">
        <v>19845</v>
      </c>
      <c r="I186" s="4">
        <f t="shared" si="40"/>
        <v>1277751</v>
      </c>
      <c r="J186" s="7">
        <f t="shared" si="42"/>
        <v>1125.2863999999827</v>
      </c>
      <c r="K186" s="7">
        <f t="shared" si="41"/>
        <v>702178.71360000002</v>
      </c>
      <c r="L186" s="4">
        <v>703304</v>
      </c>
      <c r="M186" s="4">
        <v>1197</v>
      </c>
      <c r="N186" s="4">
        <v>95857</v>
      </c>
      <c r="O186" s="4">
        <v>255688</v>
      </c>
      <c r="P186" s="4">
        <f t="shared" si="38"/>
        <v>64993</v>
      </c>
      <c r="Q186" s="29">
        <f t="shared" si="30"/>
        <v>8181</v>
      </c>
      <c r="R186" s="72">
        <f t="shared" si="31"/>
        <v>2.2571996027805363E-2</v>
      </c>
      <c r="S186" s="62">
        <f t="shared" si="32"/>
        <v>2.0728452248435014E-2</v>
      </c>
      <c r="U186" s="146">
        <f t="shared" si="35"/>
        <v>0.19057933632972038</v>
      </c>
      <c r="W186" s="213">
        <f t="shared" si="33"/>
        <v>9552.5714285714294</v>
      </c>
      <c r="X186" s="36">
        <f t="shared" si="25"/>
        <v>184.85714285714286</v>
      </c>
    </row>
    <row r="187" spans="1:24" x14ac:dyDescent="0.25">
      <c r="A187" s="75">
        <v>44075</v>
      </c>
      <c r="B187" s="4">
        <v>10504</v>
      </c>
      <c r="C187" s="7">
        <f t="shared" si="36"/>
        <v>428239</v>
      </c>
      <c r="D187" s="4">
        <f>70+189</f>
        <v>259</v>
      </c>
      <c r="E187" s="7">
        <f t="shared" si="39"/>
        <v>8918</v>
      </c>
      <c r="F187" s="194">
        <v>315530</v>
      </c>
      <c r="G187" s="4">
        <v>2314</v>
      </c>
      <c r="H187" s="4">
        <v>23115</v>
      </c>
      <c r="I187" s="4">
        <f t="shared" si="40"/>
        <v>1300866</v>
      </c>
      <c r="J187" s="7">
        <f t="shared" si="42"/>
        <v>1148.1040000000503</v>
      </c>
      <c r="K187" s="7">
        <f t="shared" si="41"/>
        <v>716416.89599999995</v>
      </c>
      <c r="L187" s="4">
        <v>717565</v>
      </c>
      <c r="M187" s="4">
        <v>1200</v>
      </c>
      <c r="N187" s="4">
        <v>97726</v>
      </c>
      <c r="O187" s="4">
        <v>263555</v>
      </c>
      <c r="P187" s="4">
        <f t="shared" si="38"/>
        <v>65758</v>
      </c>
      <c r="Q187" s="29">
        <f t="shared" si="30"/>
        <v>7154</v>
      </c>
      <c r="R187" s="72">
        <f t="shared" si="31"/>
        <v>2.2294803981077357E-2</v>
      </c>
      <c r="S187" s="62">
        <f t="shared" si="32"/>
        <v>2.0824819785213396E-2</v>
      </c>
      <c r="U187" s="146">
        <f t="shared" si="35"/>
        <v>0.19075014319955066</v>
      </c>
      <c r="W187" s="213">
        <f t="shared" si="33"/>
        <v>9800.1428571428569</v>
      </c>
      <c r="X187" s="36">
        <f t="shared" si="25"/>
        <v>193.57142857142858</v>
      </c>
    </row>
    <row r="188" spans="1:24" x14ac:dyDescent="0.25">
      <c r="A188" s="75">
        <v>44076</v>
      </c>
      <c r="B188" s="47">
        <v>10933</v>
      </c>
      <c r="C188" s="66">
        <f t="shared" si="36"/>
        <v>439172</v>
      </c>
      <c r="D188" s="47">
        <f>52+146</f>
        <v>198</v>
      </c>
      <c r="E188" s="66">
        <f t="shared" si="39"/>
        <v>9116</v>
      </c>
      <c r="F188" s="194">
        <v>322461</v>
      </c>
      <c r="G188" s="47">
        <v>2359</v>
      </c>
      <c r="H188" s="47">
        <v>23821</v>
      </c>
      <c r="I188" s="47">
        <f t="shared" si="40"/>
        <v>1324687</v>
      </c>
      <c r="J188" s="7">
        <f t="shared" si="42"/>
        <v>1166.611200000043</v>
      </c>
      <c r="K188" s="7">
        <f t="shared" si="41"/>
        <v>727965.38879999996</v>
      </c>
      <c r="L188" s="4">
        <v>729132</v>
      </c>
      <c r="M188" s="4">
        <v>1200</v>
      </c>
      <c r="N188" s="4">
        <v>99630</v>
      </c>
      <c r="O188" s="4">
        <v>272419</v>
      </c>
      <c r="P188" s="4">
        <f t="shared" si="38"/>
        <v>65923</v>
      </c>
      <c r="Q188" s="29">
        <f t="shared" ref="Q188:Q219" si="43">F188-F187</f>
        <v>6931</v>
      </c>
      <c r="R188" s="72">
        <f t="shared" ref="R188:R219" si="44">G188/(C188-E188-F188)</f>
        <v>2.1924810632464334E-2</v>
      </c>
      <c r="S188" s="62">
        <f t="shared" ref="S188:S199" si="45">E188/C188</f>
        <v>2.075724317579445E-2</v>
      </c>
      <c r="U188" s="146">
        <f t="shared" si="35"/>
        <v>0.18634855802997397</v>
      </c>
      <c r="W188" s="213">
        <f t="shared" ref="W188:W216" si="46">AVERAGE(B182:B188)</f>
        <v>9854.8571428571431</v>
      </c>
      <c r="X188" s="36">
        <f t="shared" si="25"/>
        <v>182.42857142857142</v>
      </c>
    </row>
    <row r="189" spans="1:24" x14ac:dyDescent="0.25">
      <c r="A189" s="75">
        <v>44077</v>
      </c>
      <c r="B189" s="147">
        <v>12026</v>
      </c>
      <c r="C189" s="7">
        <f t="shared" si="36"/>
        <v>451198</v>
      </c>
      <c r="D189" s="4">
        <f>38+206</f>
        <v>244</v>
      </c>
      <c r="E189" s="7">
        <f t="shared" si="39"/>
        <v>9360</v>
      </c>
      <c r="F189" s="194">
        <v>331621</v>
      </c>
      <c r="G189" s="4">
        <v>2394</v>
      </c>
      <c r="H189" s="4">
        <v>25351</v>
      </c>
      <c r="I189" s="4">
        <f t="shared" si="40"/>
        <v>1350038</v>
      </c>
      <c r="J189" s="7">
        <f t="shared" si="42"/>
        <v>1185.8656000000192</v>
      </c>
      <c r="K189" s="7">
        <f t="shared" si="41"/>
        <v>739980.13439999998</v>
      </c>
      <c r="L189" s="4">
        <v>741166</v>
      </c>
      <c r="M189" s="4">
        <v>1202</v>
      </c>
      <c r="N189" s="4">
        <v>101394</v>
      </c>
      <c r="O189" s="4">
        <v>280927</v>
      </c>
      <c r="P189" s="4">
        <f t="shared" si="38"/>
        <v>67675</v>
      </c>
      <c r="Q189" s="29">
        <f t="shared" si="43"/>
        <v>9160</v>
      </c>
      <c r="R189" s="72">
        <f t="shared" si="44"/>
        <v>2.1720787174392336E-2</v>
      </c>
      <c r="S189" s="62">
        <f t="shared" si="45"/>
        <v>2.0744772804843992E-2</v>
      </c>
      <c r="U189" s="146">
        <f t="shared" si="35"/>
        <v>0.18645146361217169</v>
      </c>
      <c r="W189" s="213">
        <f t="shared" si="46"/>
        <v>10129.428571428571</v>
      </c>
      <c r="X189" s="36">
        <f t="shared" si="25"/>
        <v>187.14285714285714</v>
      </c>
    </row>
    <row r="190" spans="1:24" x14ac:dyDescent="0.25">
      <c r="A190" s="87">
        <v>44078</v>
      </c>
      <c r="B190" s="47">
        <v>10684</v>
      </c>
      <c r="C190" s="66">
        <f t="shared" si="36"/>
        <v>461882</v>
      </c>
      <c r="D190" s="47">
        <f>107+155</f>
        <v>262</v>
      </c>
      <c r="E190" s="66">
        <f t="shared" si="39"/>
        <v>9622</v>
      </c>
      <c r="F190" s="194">
        <v>340381</v>
      </c>
      <c r="G190" s="47">
        <v>2425</v>
      </c>
      <c r="H190" s="47">
        <v>24486</v>
      </c>
      <c r="I190" s="47">
        <f t="shared" si="40"/>
        <v>1374524</v>
      </c>
      <c r="J190" s="7">
        <f t="shared" si="42"/>
        <v>1205.8336000000127</v>
      </c>
      <c r="K190" s="7">
        <f t="shared" si="41"/>
        <v>752440.16639999999</v>
      </c>
      <c r="L190" s="4">
        <v>753646</v>
      </c>
      <c r="M190" s="4">
        <v>1205</v>
      </c>
      <c r="N190" s="4">
        <v>103049</v>
      </c>
      <c r="O190" s="4">
        <v>289005</v>
      </c>
      <c r="P190" s="4">
        <f t="shared" si="38"/>
        <v>68623</v>
      </c>
      <c r="Q190" s="29">
        <f t="shared" si="43"/>
        <v>8760</v>
      </c>
      <c r="R190" s="72">
        <f t="shared" si="44"/>
        <v>2.167520267431779E-2</v>
      </c>
      <c r="S190" s="62">
        <f t="shared" si="45"/>
        <v>2.0832160595130357E-2</v>
      </c>
      <c r="U190" s="146">
        <f t="shared" si="35"/>
        <v>0.17824335665762775</v>
      </c>
      <c r="W190" s="213">
        <f t="shared" si="46"/>
        <v>9981.8571428571431</v>
      </c>
      <c r="X190" s="36">
        <f t="shared" si="25"/>
        <v>192.85714285714286</v>
      </c>
    </row>
    <row r="191" spans="1:24" x14ac:dyDescent="0.25">
      <c r="A191" s="75">
        <v>44079</v>
      </c>
      <c r="B191" s="4">
        <v>9924</v>
      </c>
      <c r="C191" s="7">
        <f t="shared" si="36"/>
        <v>471806</v>
      </c>
      <c r="D191" s="4">
        <f>62+55</f>
        <v>117</v>
      </c>
      <c r="E191" s="7">
        <f t="shared" si="39"/>
        <v>9739</v>
      </c>
      <c r="F191" s="194">
        <v>349132</v>
      </c>
      <c r="G191" s="4">
        <v>2456</v>
      </c>
      <c r="H191" s="4">
        <v>22363</v>
      </c>
      <c r="I191" s="4">
        <f t="shared" si="40"/>
        <v>1396887</v>
      </c>
      <c r="J191" s="7">
        <f t="shared" si="42"/>
        <v>1223.704000000027</v>
      </c>
      <c r="K191" s="7">
        <f t="shared" si="41"/>
        <v>763591.29599999997</v>
      </c>
      <c r="L191" s="7">
        <v>764815</v>
      </c>
      <c r="M191" s="4">
        <v>1207</v>
      </c>
      <c r="N191" s="4">
        <v>104581</v>
      </c>
      <c r="O191" s="4">
        <v>294844</v>
      </c>
      <c r="P191" s="4">
        <f t="shared" si="38"/>
        <v>71174</v>
      </c>
      <c r="Q191" s="29">
        <f t="shared" si="43"/>
        <v>8751</v>
      </c>
      <c r="R191" s="72">
        <f t="shared" si="44"/>
        <v>2.1747022623633063E-2</v>
      </c>
      <c r="S191" s="62">
        <f t="shared" si="45"/>
        <v>2.0641958771189853E-2</v>
      </c>
      <c r="U191" s="146">
        <f t="shared" si="35"/>
        <v>0.17587273420579755</v>
      </c>
      <c r="W191" s="213">
        <f t="shared" si="46"/>
        <v>10081</v>
      </c>
      <c r="X191" s="36">
        <f t="shared" si="25"/>
        <v>198</v>
      </c>
    </row>
    <row r="192" spans="1:24" x14ac:dyDescent="0.25">
      <c r="A192" s="75">
        <v>44080</v>
      </c>
      <c r="B192" s="4">
        <v>6986</v>
      </c>
      <c r="C192" s="7">
        <f t="shared" si="36"/>
        <v>478792</v>
      </c>
      <c r="D192" s="4">
        <f>67+51+1</f>
        <v>119</v>
      </c>
      <c r="E192" s="7">
        <f t="shared" si="39"/>
        <v>9858</v>
      </c>
      <c r="F192" s="194">
        <v>357388</v>
      </c>
      <c r="G192" s="4">
        <v>2512</v>
      </c>
      <c r="H192" s="4">
        <v>15262</v>
      </c>
      <c r="I192" s="4">
        <f t="shared" si="40"/>
        <v>1412149</v>
      </c>
      <c r="J192" s="7">
        <f t="shared" si="42"/>
        <v>1235.9904000000097</v>
      </c>
      <c r="K192" s="7">
        <f t="shared" si="41"/>
        <v>771258.00959999999</v>
      </c>
      <c r="L192" s="7">
        <v>772494</v>
      </c>
      <c r="M192" s="4">
        <v>1210</v>
      </c>
      <c r="N192" s="4">
        <v>105702</v>
      </c>
      <c r="O192" s="4">
        <v>299270</v>
      </c>
      <c r="P192" s="4">
        <f t="shared" si="38"/>
        <v>72610</v>
      </c>
      <c r="Q192" s="29">
        <f t="shared" si="43"/>
        <v>8256</v>
      </c>
      <c r="R192" s="72">
        <f t="shared" si="44"/>
        <v>2.2519857278611513E-2</v>
      </c>
      <c r="S192" s="62">
        <f t="shared" si="45"/>
        <v>2.0589316446390081E-2</v>
      </c>
      <c r="U192" s="146">
        <f t="shared" si="35"/>
        <v>0.17228579963077767</v>
      </c>
      <c r="W192" s="213">
        <f t="shared" si="46"/>
        <v>10052.285714285714</v>
      </c>
      <c r="X192" s="36">
        <f t="shared" si="25"/>
        <v>200.28571428571428</v>
      </c>
    </row>
    <row r="193" spans="1:24" x14ac:dyDescent="0.25">
      <c r="A193" s="75">
        <v>44081</v>
      </c>
      <c r="B193" s="4">
        <v>9215</v>
      </c>
      <c r="C193" s="7">
        <f t="shared" si="36"/>
        <v>488007</v>
      </c>
      <c r="D193" s="4">
        <f>53+215</f>
        <v>268</v>
      </c>
      <c r="E193" s="7">
        <f t="shared" si="39"/>
        <v>10126</v>
      </c>
      <c r="F193" s="194">
        <v>366590</v>
      </c>
      <c r="G193" s="4">
        <v>2698</v>
      </c>
      <c r="H193" s="4">
        <v>20475</v>
      </c>
      <c r="I193" s="4">
        <f t="shared" si="40"/>
        <v>1432624</v>
      </c>
      <c r="J193" s="7">
        <f t="shared" si="42"/>
        <v>1252.6800000000512</v>
      </c>
      <c r="K193" s="7">
        <f t="shared" si="41"/>
        <v>781672.32</v>
      </c>
      <c r="L193" s="4">
        <v>782925</v>
      </c>
      <c r="M193" s="4">
        <v>1217</v>
      </c>
      <c r="N193" s="4">
        <v>107504</v>
      </c>
      <c r="O193" s="4">
        <v>307566</v>
      </c>
      <c r="P193" s="4">
        <f t="shared" si="38"/>
        <v>71720</v>
      </c>
      <c r="Q193" s="29">
        <f t="shared" si="43"/>
        <v>9202</v>
      </c>
      <c r="R193" s="72">
        <f t="shared" si="44"/>
        <v>2.4242750986153416E-2</v>
      </c>
      <c r="S193" s="62">
        <f t="shared" si="45"/>
        <v>2.074970236082679E-2</v>
      </c>
      <c r="U193" s="146">
        <f t="shared" ref="U193:U216" si="47">(C193-C186)/C186</f>
        <v>0.1682214801249596</v>
      </c>
      <c r="W193" s="213">
        <f t="shared" si="46"/>
        <v>10038.857142857143</v>
      </c>
      <c r="X193" s="36">
        <f t="shared" si="25"/>
        <v>209.57142857142858</v>
      </c>
    </row>
    <row r="194" spans="1:24" x14ac:dyDescent="0.25">
      <c r="A194" s="87">
        <v>44082</v>
      </c>
      <c r="B194" s="4">
        <v>12027</v>
      </c>
      <c r="C194" s="7">
        <f t="shared" si="36"/>
        <v>500034</v>
      </c>
      <c r="D194" s="4">
        <f>50+227</f>
        <v>277</v>
      </c>
      <c r="E194" s="7">
        <f t="shared" si="39"/>
        <v>10403</v>
      </c>
      <c r="F194" s="194">
        <v>382490</v>
      </c>
      <c r="G194" s="4">
        <v>2719</v>
      </c>
      <c r="H194" s="4">
        <v>25995</v>
      </c>
      <c r="I194" s="4">
        <f t="shared" si="40"/>
        <v>1458619</v>
      </c>
      <c r="J194" s="7">
        <f t="shared" si="42"/>
        <v>1273.516799999983</v>
      </c>
      <c r="K194" s="7">
        <f t="shared" si="41"/>
        <v>794674.48320000002</v>
      </c>
      <c r="L194" s="4">
        <v>795948</v>
      </c>
      <c r="M194" s="4">
        <v>1221</v>
      </c>
      <c r="N194" s="4">
        <v>109701</v>
      </c>
      <c r="O194" s="4">
        <v>316074</v>
      </c>
      <c r="P194" s="4">
        <f t="shared" si="38"/>
        <v>73038</v>
      </c>
      <c r="Q194" s="29">
        <f t="shared" si="43"/>
        <v>15900</v>
      </c>
      <c r="R194" s="72">
        <f t="shared" si="44"/>
        <v>2.5377773214735722E-2</v>
      </c>
      <c r="S194" s="62">
        <f t="shared" si="45"/>
        <v>2.0804585288200401E-2</v>
      </c>
      <c r="U194" s="146">
        <f t="shared" si="47"/>
        <v>0.16765170850856648</v>
      </c>
      <c r="W194" s="213">
        <f t="shared" si="46"/>
        <v>10256.428571428571</v>
      </c>
      <c r="X194" s="36">
        <f t="shared" si="25"/>
        <v>212.14285714285714</v>
      </c>
    </row>
    <row r="195" spans="1:24" x14ac:dyDescent="0.25">
      <c r="A195" s="75">
        <v>44083</v>
      </c>
      <c r="B195" s="4">
        <v>12259</v>
      </c>
      <c r="C195" s="7">
        <f t="shared" si="36"/>
        <v>512293</v>
      </c>
      <c r="D195" s="4">
        <f>52+202</f>
        <v>254</v>
      </c>
      <c r="E195" s="7">
        <f t="shared" si="39"/>
        <v>10657</v>
      </c>
      <c r="F195" s="194">
        <v>390098</v>
      </c>
      <c r="G195" s="4">
        <v>2829</v>
      </c>
      <c r="H195" s="4">
        <v>27171</v>
      </c>
      <c r="I195" s="4">
        <f t="shared" si="40"/>
        <v>1485790</v>
      </c>
      <c r="J195" s="7">
        <f t="shared" si="42"/>
        <v>1293.7232000000076</v>
      </c>
      <c r="K195" s="7">
        <f t="shared" si="41"/>
        <v>807283.27679999999</v>
      </c>
      <c r="L195" s="4">
        <v>808577</v>
      </c>
      <c r="M195" s="4">
        <v>1222</v>
      </c>
      <c r="N195" s="4">
        <v>112220</v>
      </c>
      <c r="O195" s="4">
        <v>324064</v>
      </c>
      <c r="P195" s="4">
        <f t="shared" si="38"/>
        <v>74787</v>
      </c>
      <c r="Q195" s="29">
        <f t="shared" si="43"/>
        <v>7608</v>
      </c>
      <c r="R195" s="72">
        <f t="shared" si="44"/>
        <v>2.5363553228496118E-2</v>
      </c>
      <c r="S195" s="62">
        <f t="shared" si="45"/>
        <v>2.0802548541557272E-2</v>
      </c>
      <c r="U195" s="146">
        <f t="shared" si="47"/>
        <v>0.16649740876012131</v>
      </c>
      <c r="W195" s="213">
        <f t="shared" si="46"/>
        <v>10445.857142857143</v>
      </c>
      <c r="X195" s="36">
        <f t="shared" si="25"/>
        <v>220.14285714285714</v>
      </c>
    </row>
    <row r="196" spans="1:24" x14ac:dyDescent="0.25">
      <c r="A196" s="75">
        <v>44084</v>
      </c>
      <c r="B196" s="4">
        <v>11905</v>
      </c>
      <c r="C196" s="7">
        <f t="shared" ref="C196:C227" si="48">C195+B196</f>
        <v>524198</v>
      </c>
      <c r="D196" s="4">
        <f>55+195</f>
        <v>250</v>
      </c>
      <c r="E196" s="7">
        <f t="shared" si="39"/>
        <v>10907</v>
      </c>
      <c r="F196" s="194">
        <v>400121</v>
      </c>
      <c r="G196" s="4">
        <v>2880</v>
      </c>
      <c r="H196" s="4">
        <v>28057</v>
      </c>
      <c r="I196" s="4">
        <f t="shared" si="40"/>
        <v>1513847</v>
      </c>
      <c r="J196" s="7">
        <f t="shared" si="42"/>
        <v>1315.7488000000594</v>
      </c>
      <c r="K196" s="7">
        <f t="shared" si="41"/>
        <v>821027.25119999994</v>
      </c>
      <c r="L196" s="4">
        <v>822343</v>
      </c>
      <c r="M196" s="4">
        <v>1227</v>
      </c>
      <c r="N196" s="4">
        <v>114335</v>
      </c>
      <c r="O196" s="4">
        <v>332280</v>
      </c>
      <c r="P196" s="4">
        <f t="shared" si="38"/>
        <v>76356</v>
      </c>
      <c r="Q196" s="29">
        <f t="shared" si="43"/>
        <v>10023</v>
      </c>
      <c r="R196" s="72">
        <f t="shared" si="44"/>
        <v>2.5448440399399135E-2</v>
      </c>
      <c r="S196" s="62">
        <f t="shared" si="45"/>
        <v>2.0807023300355974E-2</v>
      </c>
      <c r="U196" s="146">
        <f t="shared" si="47"/>
        <v>0.16179149730273626</v>
      </c>
      <c r="W196" s="213">
        <f t="shared" si="46"/>
        <v>10428.571428571429</v>
      </c>
      <c r="X196" s="36">
        <f t="shared" si="25"/>
        <v>221</v>
      </c>
    </row>
    <row r="197" spans="1:24" x14ac:dyDescent="0.25">
      <c r="A197" s="87">
        <v>44085</v>
      </c>
      <c r="B197" s="1">
        <v>11507</v>
      </c>
      <c r="C197" s="21">
        <f t="shared" si="48"/>
        <v>535705</v>
      </c>
      <c r="D197" s="1">
        <f>87+154</f>
        <v>241</v>
      </c>
      <c r="E197" s="21">
        <f t="shared" si="39"/>
        <v>11148</v>
      </c>
      <c r="F197" s="194">
        <v>409771</v>
      </c>
      <c r="G197" s="1">
        <v>3093</v>
      </c>
      <c r="H197" s="4">
        <v>26254</v>
      </c>
      <c r="I197" s="4">
        <f t="shared" si="40"/>
        <v>1540101</v>
      </c>
      <c r="J197" s="7">
        <f t="shared" si="42"/>
        <v>1338.017600000021</v>
      </c>
      <c r="K197" s="7">
        <f t="shared" si="41"/>
        <v>834922.98239999998</v>
      </c>
      <c r="L197" s="4">
        <v>836261</v>
      </c>
      <c r="M197" s="4">
        <v>1229</v>
      </c>
      <c r="N197" s="4">
        <v>116159</v>
      </c>
      <c r="O197" s="4">
        <v>340885</v>
      </c>
      <c r="P197" s="4">
        <f t="shared" si="38"/>
        <v>77432</v>
      </c>
      <c r="Q197" s="29">
        <f t="shared" si="43"/>
        <v>9650</v>
      </c>
      <c r="R197" s="72">
        <f t="shared" si="44"/>
        <v>2.6945794783335947E-2</v>
      </c>
      <c r="S197" s="62">
        <f t="shared" si="45"/>
        <v>2.0809960705985571E-2</v>
      </c>
      <c r="U197" s="146">
        <f t="shared" si="47"/>
        <v>0.15983086589215428</v>
      </c>
      <c r="W197" s="213">
        <f t="shared" si="46"/>
        <v>10546.142857142857</v>
      </c>
      <c r="X197" s="36">
        <f t="shared" si="25"/>
        <v>218</v>
      </c>
    </row>
    <row r="198" spans="1:24" x14ac:dyDescent="0.25">
      <c r="A198" s="75">
        <v>44086</v>
      </c>
      <c r="B198" s="1">
        <v>10776</v>
      </c>
      <c r="C198" s="21">
        <f t="shared" si="48"/>
        <v>546481</v>
      </c>
      <c r="D198" s="1">
        <f>57+58</f>
        <v>115</v>
      </c>
      <c r="E198" s="21">
        <f t="shared" si="39"/>
        <v>11263</v>
      </c>
      <c r="F198" s="194">
        <v>419513</v>
      </c>
      <c r="G198" s="1">
        <v>2962</v>
      </c>
      <c r="H198" s="4">
        <v>23140</v>
      </c>
      <c r="I198" s="4">
        <f t="shared" si="40"/>
        <v>1563241</v>
      </c>
      <c r="J198" s="7">
        <f t="shared" si="42"/>
        <v>1355.5903999999864</v>
      </c>
      <c r="K198" s="7">
        <f t="shared" si="41"/>
        <v>845888.40960000001</v>
      </c>
      <c r="L198" s="4">
        <v>847244</v>
      </c>
      <c r="M198" s="4">
        <v>1232</v>
      </c>
      <c r="N198" s="4">
        <v>117339</v>
      </c>
      <c r="O198" s="4">
        <v>347893</v>
      </c>
      <c r="P198" s="4">
        <f t="shared" si="38"/>
        <v>80017</v>
      </c>
      <c r="Q198" s="29">
        <f t="shared" si="43"/>
        <v>9742</v>
      </c>
      <c r="R198" s="72">
        <f t="shared" si="44"/>
        <v>2.5599585151894904E-2</v>
      </c>
      <c r="S198" s="62">
        <f t="shared" si="45"/>
        <v>2.0610048656769402E-2</v>
      </c>
      <c r="U198" s="146">
        <f t="shared" si="47"/>
        <v>0.158274799387884</v>
      </c>
      <c r="W198" s="213">
        <f t="shared" si="46"/>
        <v>10667.857142857143</v>
      </c>
      <c r="X198" s="36">
        <f t="shared" si="25"/>
        <v>217.71428571428572</v>
      </c>
    </row>
    <row r="199" spans="1:24" ht="16.5" x14ac:dyDescent="0.25">
      <c r="A199" s="75">
        <v>44087</v>
      </c>
      <c r="B199" s="1">
        <v>9056</v>
      </c>
      <c r="C199" s="137">
        <f t="shared" si="48"/>
        <v>555537</v>
      </c>
      <c r="D199" s="1">
        <f>44+45</f>
        <v>89</v>
      </c>
      <c r="E199" s="21">
        <f t="shared" si="39"/>
        <v>11352</v>
      </c>
      <c r="F199" s="194">
        <v>428953</v>
      </c>
      <c r="G199" s="1">
        <v>2984</v>
      </c>
      <c r="H199" s="4">
        <v>17955</v>
      </c>
      <c r="I199" s="4">
        <f t="shared" si="40"/>
        <v>1581196</v>
      </c>
      <c r="J199" s="7">
        <f t="shared" si="42"/>
        <v>1368.1983999999939</v>
      </c>
      <c r="K199" s="7">
        <f t="shared" si="41"/>
        <v>853755.80160000001</v>
      </c>
      <c r="L199" s="4">
        <v>855124</v>
      </c>
      <c r="M199" s="4">
        <v>1235</v>
      </c>
      <c r="N199" s="4">
        <v>118561</v>
      </c>
      <c r="O199" s="4">
        <v>353007</v>
      </c>
      <c r="P199" s="4">
        <f t="shared" si="38"/>
        <v>82734</v>
      </c>
      <c r="Q199" s="29">
        <f t="shared" si="43"/>
        <v>9440</v>
      </c>
      <c r="R199" s="72">
        <f t="shared" si="44"/>
        <v>2.5895584559844486E-2</v>
      </c>
      <c r="S199" s="62">
        <f t="shared" si="45"/>
        <v>2.0434282505035668E-2</v>
      </c>
      <c r="U199" s="146">
        <f t="shared" si="47"/>
        <v>0.16028881017226687</v>
      </c>
      <c r="W199" s="213">
        <f t="shared" si="46"/>
        <v>10963.571428571429</v>
      </c>
      <c r="X199" s="36">
        <f t="shared" si="25"/>
        <v>213.42857142857142</v>
      </c>
    </row>
    <row r="200" spans="1:24" ht="16.5" x14ac:dyDescent="0.25">
      <c r="A200" s="75">
        <v>44088</v>
      </c>
      <c r="B200" s="4">
        <v>9909</v>
      </c>
      <c r="C200" s="137">
        <f t="shared" si="48"/>
        <v>565446</v>
      </c>
      <c r="D200" s="4">
        <f>60+254</f>
        <v>314</v>
      </c>
      <c r="E200" s="7">
        <f t="shared" si="39"/>
        <v>11666</v>
      </c>
      <c r="F200" s="194">
        <v>438883</v>
      </c>
      <c r="G200" s="4">
        <v>2992</v>
      </c>
      <c r="H200" s="4">
        <v>21207</v>
      </c>
      <c r="I200" s="4">
        <f t="shared" si="40"/>
        <v>1602403</v>
      </c>
      <c r="J200" s="7">
        <f t="shared" si="42"/>
        <v>1385.3168000000296</v>
      </c>
      <c r="K200" s="7">
        <f t="shared" si="41"/>
        <v>864437.68319999997</v>
      </c>
      <c r="L200" s="4">
        <v>865823</v>
      </c>
      <c r="M200" s="4">
        <v>1236</v>
      </c>
      <c r="N200" s="4">
        <v>120192</v>
      </c>
      <c r="O200" s="4">
        <v>361677</v>
      </c>
      <c r="P200" s="4">
        <f t="shared" si="38"/>
        <v>82341</v>
      </c>
      <c r="Q200" s="29">
        <f t="shared" si="43"/>
        <v>9930</v>
      </c>
      <c r="R200" s="72">
        <f t="shared" si="44"/>
        <v>2.6040714727103405E-2</v>
      </c>
      <c r="S200" s="62">
        <f t="shared" ref="S200:S214" si="49">E200/C190</f>
        <v>2.525753330937339E-2</v>
      </c>
      <c r="U200" s="146">
        <f t="shared" si="47"/>
        <v>0.15868419920206062</v>
      </c>
      <c r="W200" s="213">
        <f t="shared" si="46"/>
        <v>11062.714285714286</v>
      </c>
      <c r="X200" s="36">
        <f t="shared" ref="X200:X216" si="50">AVERAGE(D194:D200)</f>
        <v>220</v>
      </c>
    </row>
    <row r="201" spans="1:24" ht="16.5" x14ac:dyDescent="0.25">
      <c r="A201" s="75">
        <v>44089</v>
      </c>
      <c r="B201" s="4">
        <v>11892</v>
      </c>
      <c r="C201" s="137">
        <f t="shared" si="48"/>
        <v>577338</v>
      </c>
      <c r="D201" s="4">
        <f>43+142</f>
        <v>185</v>
      </c>
      <c r="E201" s="7">
        <f t="shared" si="39"/>
        <v>11851</v>
      </c>
      <c r="F201" s="194">
        <v>448263</v>
      </c>
      <c r="G201" s="4">
        <v>3049</v>
      </c>
      <c r="H201" s="4">
        <v>25791</v>
      </c>
      <c r="I201" s="4">
        <f t="shared" si="40"/>
        <v>1628194</v>
      </c>
      <c r="J201" s="7">
        <f t="shared" si="42"/>
        <v>1407.344000000041</v>
      </c>
      <c r="K201" s="7">
        <f t="shared" si="41"/>
        <v>878182.65599999996</v>
      </c>
      <c r="L201" s="4">
        <v>879590</v>
      </c>
      <c r="M201" s="4">
        <v>1242</v>
      </c>
      <c r="N201" s="4">
        <v>125970</v>
      </c>
      <c r="O201" s="4">
        <v>371507</v>
      </c>
      <c r="P201" s="4">
        <f t="shared" si="38"/>
        <v>78619</v>
      </c>
      <c r="Q201" s="29">
        <f t="shared" si="43"/>
        <v>9380</v>
      </c>
      <c r="R201" s="72">
        <f t="shared" si="44"/>
        <v>2.6010032075342932E-2</v>
      </c>
      <c r="S201" s="62">
        <f t="shared" si="49"/>
        <v>2.5118374925287089E-2</v>
      </c>
      <c r="U201" s="146">
        <f t="shared" si="47"/>
        <v>0.15459748737085879</v>
      </c>
      <c r="W201" s="213">
        <f t="shared" si="46"/>
        <v>11043.428571428571</v>
      </c>
      <c r="X201" s="36">
        <f t="shared" si="50"/>
        <v>206.85714285714286</v>
      </c>
    </row>
    <row r="202" spans="1:24" ht="16.5" x14ac:dyDescent="0.25">
      <c r="A202" s="75">
        <v>44090</v>
      </c>
      <c r="B202" s="7">
        <v>11674</v>
      </c>
      <c r="C202" s="137">
        <f t="shared" si="48"/>
        <v>589012</v>
      </c>
      <c r="D202" s="4">
        <f>58+206</f>
        <v>264</v>
      </c>
      <c r="E202" s="7">
        <f t="shared" si="39"/>
        <v>12115</v>
      </c>
      <c r="F202" s="194">
        <v>456347</v>
      </c>
      <c r="G202" s="4">
        <v>3118</v>
      </c>
      <c r="H202" s="4">
        <v>25422</v>
      </c>
      <c r="I202" s="4">
        <f t="shared" si="40"/>
        <v>1653616</v>
      </c>
      <c r="J202" s="7">
        <f t="shared" si="42"/>
        <v>1429.5023999999976</v>
      </c>
      <c r="K202" s="7">
        <f t="shared" si="41"/>
        <v>892009.4976</v>
      </c>
      <c r="L202" s="4">
        <v>893439</v>
      </c>
      <c r="M202" s="47">
        <v>1247</v>
      </c>
      <c r="N202" s="47">
        <v>128236</v>
      </c>
      <c r="O202" s="47">
        <v>380805</v>
      </c>
      <c r="P202" s="66">
        <f t="shared" si="38"/>
        <v>78724</v>
      </c>
      <c r="Q202" s="29">
        <f t="shared" si="43"/>
        <v>8084</v>
      </c>
      <c r="R202" s="155">
        <f t="shared" si="44"/>
        <v>2.5864786395686436E-2</v>
      </c>
      <c r="S202" s="156">
        <f t="shared" si="49"/>
        <v>2.530326321241792E-2</v>
      </c>
      <c r="T202" s="146"/>
      <c r="U202" s="146">
        <f t="shared" si="47"/>
        <v>0.14975609660877662</v>
      </c>
      <c r="W202" s="213">
        <f t="shared" si="46"/>
        <v>10959.857142857143</v>
      </c>
      <c r="X202" s="36">
        <f t="shared" si="50"/>
        <v>208.28571428571428</v>
      </c>
    </row>
    <row r="203" spans="1:24" ht="16.5" x14ac:dyDescent="0.25">
      <c r="A203" s="75">
        <v>44091</v>
      </c>
      <c r="B203" s="4">
        <v>12701</v>
      </c>
      <c r="C203" s="137">
        <f t="shared" si="48"/>
        <v>601713</v>
      </c>
      <c r="D203" s="4">
        <v>345</v>
      </c>
      <c r="E203" s="7">
        <f t="shared" si="39"/>
        <v>12460</v>
      </c>
      <c r="F203" s="194">
        <v>467286</v>
      </c>
      <c r="G203" s="4">
        <v>3108</v>
      </c>
      <c r="H203" s="4">
        <v>28633</v>
      </c>
      <c r="I203" s="4">
        <f t="shared" si="40"/>
        <v>1682249</v>
      </c>
      <c r="J203" s="7">
        <f t="shared" si="42"/>
        <v>1451.9024000000209</v>
      </c>
      <c r="K203" s="7">
        <f t="shared" si="41"/>
        <v>905987.09759999998</v>
      </c>
      <c r="L203" s="43">
        <v>907439</v>
      </c>
      <c r="M203" s="167">
        <v>1251</v>
      </c>
      <c r="N203" s="167">
        <v>130230</v>
      </c>
      <c r="O203" s="167">
        <v>390634</v>
      </c>
      <c r="P203" s="167">
        <f t="shared" si="38"/>
        <v>79598</v>
      </c>
      <c r="Q203" s="29">
        <f t="shared" si="43"/>
        <v>10939</v>
      </c>
      <c r="R203" s="185">
        <f t="shared" si="44"/>
        <v>2.5482302590044848E-2</v>
      </c>
      <c r="S203" s="186">
        <f t="shared" si="49"/>
        <v>2.5532420641507191E-2</v>
      </c>
      <c r="T203" s="146"/>
      <c r="U203" s="146">
        <f t="shared" si="47"/>
        <v>0.14787351344339353</v>
      </c>
      <c r="W203" s="213">
        <f t="shared" si="46"/>
        <v>11073.571428571429</v>
      </c>
      <c r="X203" s="36">
        <f t="shared" si="50"/>
        <v>221.85714285714286</v>
      </c>
    </row>
    <row r="204" spans="1:24" ht="16.5" x14ac:dyDescent="0.25">
      <c r="A204" s="75">
        <v>44092</v>
      </c>
      <c r="B204" s="4">
        <v>11945</v>
      </c>
      <c r="C204" s="137">
        <f t="shared" si="48"/>
        <v>613658</v>
      </c>
      <c r="D204" s="4">
        <f>31+166</f>
        <v>197</v>
      </c>
      <c r="E204" s="7">
        <f t="shared" si="39"/>
        <v>12657</v>
      </c>
      <c r="F204" s="194">
        <v>478077</v>
      </c>
      <c r="G204" s="4">
        <v>3225</v>
      </c>
      <c r="H204" s="4">
        <v>25698</v>
      </c>
      <c r="I204" s="4">
        <f t="shared" si="40"/>
        <v>1707947</v>
      </c>
      <c r="J204" s="7">
        <f t="shared" si="42"/>
        <v>1474.3456000000006</v>
      </c>
      <c r="K204" s="7">
        <f t="shared" si="41"/>
        <v>919991.6544</v>
      </c>
      <c r="L204" s="43">
        <v>921466</v>
      </c>
      <c r="M204" s="167">
        <v>1254</v>
      </c>
      <c r="N204" s="167">
        <v>132427</v>
      </c>
      <c r="O204" s="167">
        <v>400216</v>
      </c>
      <c r="P204" s="167">
        <f t="shared" si="38"/>
        <v>79761</v>
      </c>
      <c r="Q204" s="29">
        <f t="shared" si="43"/>
        <v>10791</v>
      </c>
      <c r="R204" s="185">
        <f t="shared" si="44"/>
        <v>2.6235722885685465E-2</v>
      </c>
      <c r="S204" s="186">
        <f t="shared" si="49"/>
        <v>2.5312278765043977E-2</v>
      </c>
      <c r="T204" s="146"/>
      <c r="U204" s="146">
        <f t="shared" si="47"/>
        <v>0.14551478892300801</v>
      </c>
      <c r="W204" s="213">
        <f t="shared" si="46"/>
        <v>11136.142857142857</v>
      </c>
      <c r="X204" s="36">
        <f t="shared" si="50"/>
        <v>215.57142857142858</v>
      </c>
    </row>
    <row r="205" spans="1:24" x14ac:dyDescent="0.25">
      <c r="A205" s="75">
        <v>44093</v>
      </c>
      <c r="B205" s="4">
        <v>9276</v>
      </c>
      <c r="C205" s="7">
        <f t="shared" si="48"/>
        <v>622934</v>
      </c>
      <c r="D205" s="4">
        <f>49+94</f>
        <v>143</v>
      </c>
      <c r="E205" s="7">
        <f t="shared" si="39"/>
        <v>12800</v>
      </c>
      <c r="F205" s="194">
        <v>488231</v>
      </c>
      <c r="G205" s="4">
        <v>3213</v>
      </c>
      <c r="H205" s="4">
        <v>21093</v>
      </c>
      <c r="I205" s="4">
        <f t="shared" si="40"/>
        <v>1729040</v>
      </c>
      <c r="J205" s="7">
        <f t="shared" si="42"/>
        <v>1492.0336000000825</v>
      </c>
      <c r="K205" s="7">
        <f t="shared" si="41"/>
        <v>931028.96639999992</v>
      </c>
      <c r="L205" s="43">
        <v>932521</v>
      </c>
      <c r="M205" s="167">
        <v>1261</v>
      </c>
      <c r="N205" s="167">
        <v>133793</v>
      </c>
      <c r="O205" s="167">
        <v>406757</v>
      </c>
      <c r="P205" s="167">
        <f t="shared" si="38"/>
        <v>81123</v>
      </c>
      <c r="Q205" s="29">
        <f t="shared" si="43"/>
        <v>10154</v>
      </c>
      <c r="R205" s="185">
        <f t="shared" si="44"/>
        <v>2.6357021566327327E-2</v>
      </c>
      <c r="S205" s="186">
        <f t="shared" si="49"/>
        <v>2.4985701541891066E-2</v>
      </c>
      <c r="T205" s="146"/>
      <c r="U205" s="146">
        <f t="shared" si="47"/>
        <v>0.13990056378904298</v>
      </c>
      <c r="W205" s="213">
        <f t="shared" si="46"/>
        <v>10921.857142857143</v>
      </c>
      <c r="X205" s="36">
        <f t="shared" si="50"/>
        <v>219.57142857142858</v>
      </c>
    </row>
    <row r="206" spans="1:24" x14ac:dyDescent="0.25">
      <c r="A206" s="75">
        <v>44094</v>
      </c>
      <c r="B206" s="4">
        <v>8431</v>
      </c>
      <c r="C206" s="7">
        <f t="shared" si="48"/>
        <v>631365</v>
      </c>
      <c r="D206" s="4">
        <f>110+143</f>
        <v>253</v>
      </c>
      <c r="E206" s="7">
        <f t="shared" si="39"/>
        <v>13053</v>
      </c>
      <c r="F206" s="194">
        <v>498379</v>
      </c>
      <c r="G206" s="4">
        <v>3261</v>
      </c>
      <c r="H206" s="4">
        <v>15454</v>
      </c>
      <c r="I206" s="4">
        <v>1744494</v>
      </c>
      <c r="J206" s="7">
        <v>1348</v>
      </c>
      <c r="K206" s="7">
        <v>939868</v>
      </c>
      <c r="L206" s="153">
        <f t="shared" ref="L206:L228" si="51">K206+J206</f>
        <v>941216</v>
      </c>
      <c r="M206" s="167">
        <v>1262</v>
      </c>
      <c r="N206" s="167">
        <v>134820</v>
      </c>
      <c r="O206" s="167">
        <v>412203</v>
      </c>
      <c r="P206" s="167">
        <f t="shared" ref="P206:P234" si="52">C206-O206-N206-M206</f>
        <v>83080</v>
      </c>
      <c r="Q206" s="29">
        <f t="shared" si="43"/>
        <v>10148</v>
      </c>
      <c r="R206" s="185">
        <f t="shared" si="44"/>
        <v>2.7190181184494677E-2</v>
      </c>
      <c r="S206" s="186">
        <f t="shared" si="49"/>
        <v>2.4900896226235127E-2</v>
      </c>
      <c r="T206" s="146"/>
      <c r="U206" s="146">
        <f t="shared" si="47"/>
        <v>0.13649495893162833</v>
      </c>
      <c r="W206" s="213">
        <f t="shared" si="46"/>
        <v>10832.571428571429</v>
      </c>
      <c r="X206" s="36">
        <f t="shared" si="50"/>
        <v>243</v>
      </c>
    </row>
    <row r="207" spans="1:24" x14ac:dyDescent="0.25">
      <c r="A207" s="75">
        <v>44095</v>
      </c>
      <c r="B207" s="4">
        <v>8782</v>
      </c>
      <c r="C207" s="7">
        <f t="shared" si="48"/>
        <v>640147</v>
      </c>
      <c r="D207" s="4">
        <v>427</v>
      </c>
      <c r="E207" s="7">
        <f t="shared" si="39"/>
        <v>13480</v>
      </c>
      <c r="F207" s="194">
        <v>508563</v>
      </c>
      <c r="G207" s="4">
        <v>3387</v>
      </c>
      <c r="H207" s="4">
        <v>18575</v>
      </c>
      <c r="I207" s="4">
        <f t="shared" ref="I207:I226" si="53">I206+H207</f>
        <v>1763069</v>
      </c>
      <c r="J207" s="7">
        <v>1383</v>
      </c>
      <c r="K207" s="7">
        <v>949102</v>
      </c>
      <c r="L207" s="153">
        <f t="shared" si="51"/>
        <v>950485</v>
      </c>
      <c r="M207" s="187">
        <v>6401</v>
      </c>
      <c r="N207" s="187">
        <v>138272</v>
      </c>
      <c r="O207" s="204">
        <v>417376</v>
      </c>
      <c r="P207" s="167">
        <f t="shared" si="52"/>
        <v>78098</v>
      </c>
      <c r="Q207" s="29">
        <f t="shared" si="43"/>
        <v>10184</v>
      </c>
      <c r="R207" s="185">
        <f t="shared" si="44"/>
        <v>2.8678114204429995E-2</v>
      </c>
      <c r="S207" s="186">
        <f t="shared" si="49"/>
        <v>2.5163102827115671E-2</v>
      </c>
      <c r="T207" s="146"/>
      <c r="U207" s="146">
        <f t="shared" si="47"/>
        <v>0.1321098743292905</v>
      </c>
      <c r="W207" s="213">
        <f t="shared" si="46"/>
        <v>10671.571428571429</v>
      </c>
      <c r="X207" s="36">
        <f t="shared" si="50"/>
        <v>259.14285714285717</v>
      </c>
    </row>
    <row r="208" spans="1:24" x14ac:dyDescent="0.25">
      <c r="A208" s="75">
        <v>44096</v>
      </c>
      <c r="B208" s="4">
        <v>12027</v>
      </c>
      <c r="C208" s="7">
        <f t="shared" si="48"/>
        <v>652174</v>
      </c>
      <c r="D208" s="4">
        <v>469</v>
      </c>
      <c r="E208" s="7">
        <f t="shared" si="39"/>
        <v>13949</v>
      </c>
      <c r="F208" s="194">
        <v>517228</v>
      </c>
      <c r="G208" s="4">
        <v>3362</v>
      </c>
      <c r="H208" s="4">
        <v>25766</v>
      </c>
      <c r="I208" s="4">
        <f t="shared" si="53"/>
        <v>1788835</v>
      </c>
      <c r="J208" s="7">
        <v>1448</v>
      </c>
      <c r="K208" s="7">
        <v>961776</v>
      </c>
      <c r="L208" s="153">
        <f t="shared" si="51"/>
        <v>963224</v>
      </c>
      <c r="M208" s="188">
        <v>6521</v>
      </c>
      <c r="N208" s="188">
        <v>140870</v>
      </c>
      <c r="O208" s="188">
        <v>425218</v>
      </c>
      <c r="P208" s="167">
        <f t="shared" si="52"/>
        <v>79565</v>
      </c>
      <c r="Q208" s="29">
        <f t="shared" si="43"/>
        <v>8665</v>
      </c>
      <c r="R208" s="185">
        <f t="shared" si="44"/>
        <v>2.7785812871393506E-2</v>
      </c>
      <c r="S208" s="186">
        <f t="shared" si="49"/>
        <v>2.5525132621262221E-2</v>
      </c>
      <c r="T208" s="146"/>
      <c r="U208" s="146">
        <f t="shared" si="47"/>
        <v>0.12962250882498641</v>
      </c>
      <c r="W208" s="213">
        <f t="shared" si="46"/>
        <v>10690.857142857143</v>
      </c>
      <c r="X208" s="36">
        <f t="shared" si="50"/>
        <v>299.71428571428572</v>
      </c>
    </row>
    <row r="209" spans="1:24" x14ac:dyDescent="0.25">
      <c r="A209" s="75">
        <v>44097</v>
      </c>
      <c r="B209" s="4">
        <v>12625</v>
      </c>
      <c r="C209" s="7">
        <f t="shared" si="48"/>
        <v>664799</v>
      </c>
      <c r="D209" s="4">
        <v>423</v>
      </c>
      <c r="E209" s="7">
        <f t="shared" si="39"/>
        <v>14372</v>
      </c>
      <c r="F209" s="194">
        <v>525486</v>
      </c>
      <c r="G209" s="4">
        <v>3511</v>
      </c>
      <c r="H209" s="4">
        <v>24903</v>
      </c>
      <c r="I209" s="4">
        <f t="shared" si="53"/>
        <v>1813738</v>
      </c>
      <c r="J209" s="7">
        <v>1456</v>
      </c>
      <c r="K209" s="7">
        <v>974788</v>
      </c>
      <c r="L209" s="153">
        <f t="shared" si="51"/>
        <v>976244</v>
      </c>
      <c r="M209" s="188">
        <v>6647</v>
      </c>
      <c r="N209" s="188">
        <v>143597</v>
      </c>
      <c r="O209" s="188">
        <v>433450</v>
      </c>
      <c r="P209" s="167">
        <f t="shared" si="52"/>
        <v>81105</v>
      </c>
      <c r="Q209" s="29">
        <f t="shared" si="43"/>
        <v>8258</v>
      </c>
      <c r="R209" s="185">
        <f t="shared" si="44"/>
        <v>2.8101263796511955E-2</v>
      </c>
      <c r="S209" s="186">
        <f t="shared" si="49"/>
        <v>2.5870464073500056E-2</v>
      </c>
      <c r="T209" s="146"/>
      <c r="U209" s="146">
        <f t="shared" si="47"/>
        <v>0.128668006763869</v>
      </c>
      <c r="W209" s="213">
        <f t="shared" si="46"/>
        <v>10826.714285714286</v>
      </c>
      <c r="X209" s="36">
        <f t="shared" si="50"/>
        <v>322.42857142857144</v>
      </c>
    </row>
    <row r="210" spans="1:24" x14ac:dyDescent="0.25">
      <c r="A210" s="75">
        <v>44098</v>
      </c>
      <c r="B210" s="150">
        <v>13467</v>
      </c>
      <c r="C210" s="151">
        <f t="shared" si="48"/>
        <v>678266</v>
      </c>
      <c r="D210" s="4">
        <v>391</v>
      </c>
      <c r="E210" s="7">
        <f t="shared" si="39"/>
        <v>14763</v>
      </c>
      <c r="F210" s="194">
        <v>536589</v>
      </c>
      <c r="G210" s="4">
        <v>3527</v>
      </c>
      <c r="H210" s="4">
        <v>27253</v>
      </c>
      <c r="I210" s="4">
        <f t="shared" si="53"/>
        <v>1840991</v>
      </c>
      <c r="J210" s="7">
        <v>1488</v>
      </c>
      <c r="K210" s="7">
        <v>988976</v>
      </c>
      <c r="L210" s="43">
        <f t="shared" si="51"/>
        <v>990464</v>
      </c>
      <c r="M210" s="188">
        <v>6740</v>
      </c>
      <c r="N210" s="188">
        <v>143045</v>
      </c>
      <c r="O210" s="188">
        <v>449054</v>
      </c>
      <c r="P210" s="167">
        <f t="shared" si="52"/>
        <v>79427</v>
      </c>
      <c r="Q210" s="29">
        <f t="shared" si="43"/>
        <v>11103</v>
      </c>
      <c r="R210" s="185">
        <f t="shared" si="44"/>
        <v>2.7790472288321225E-2</v>
      </c>
      <c r="S210" s="186">
        <f t="shared" si="49"/>
        <v>2.6108593924088243E-2</v>
      </c>
      <c r="T210" s="146"/>
      <c r="U210" s="146">
        <f t="shared" si="47"/>
        <v>0.12722510565668349</v>
      </c>
      <c r="W210" s="213">
        <f t="shared" si="46"/>
        <v>10936.142857142857</v>
      </c>
      <c r="X210" s="36">
        <f t="shared" si="50"/>
        <v>329</v>
      </c>
    </row>
    <row r="211" spans="1:24" x14ac:dyDescent="0.25">
      <c r="A211" s="75">
        <v>44099</v>
      </c>
      <c r="B211" s="4">
        <v>12969</v>
      </c>
      <c r="C211" s="7">
        <f t="shared" si="48"/>
        <v>691235</v>
      </c>
      <c r="D211" s="4">
        <v>442</v>
      </c>
      <c r="E211" s="7">
        <f t="shared" si="39"/>
        <v>15205</v>
      </c>
      <c r="F211" s="194">
        <v>546924</v>
      </c>
      <c r="G211" s="4">
        <v>3595</v>
      </c>
      <c r="H211" s="4">
        <v>25098</v>
      </c>
      <c r="I211" s="4">
        <f t="shared" si="53"/>
        <v>1866089</v>
      </c>
      <c r="J211" s="7">
        <v>1500</v>
      </c>
      <c r="K211" s="7">
        <v>1001959</v>
      </c>
      <c r="L211" s="43">
        <f t="shared" si="51"/>
        <v>1003459</v>
      </c>
      <c r="M211" s="188">
        <v>6798</v>
      </c>
      <c r="N211" s="188">
        <v>145075</v>
      </c>
      <c r="O211" s="188">
        <v>458440</v>
      </c>
      <c r="P211" s="167">
        <f t="shared" si="52"/>
        <v>80922</v>
      </c>
      <c r="Q211" s="29">
        <f t="shared" si="43"/>
        <v>10335</v>
      </c>
      <c r="R211" s="185">
        <f t="shared" si="44"/>
        <v>2.7845336390252971E-2</v>
      </c>
      <c r="S211" s="186">
        <f t="shared" si="49"/>
        <v>2.633639220006305E-2</v>
      </c>
      <c r="T211" s="146"/>
      <c r="U211" s="146">
        <f t="shared" si="47"/>
        <v>0.12641732039670306</v>
      </c>
      <c r="W211" s="213">
        <f t="shared" si="46"/>
        <v>11082.428571428571</v>
      </c>
      <c r="X211" s="36">
        <f t="shared" si="50"/>
        <v>364</v>
      </c>
    </row>
    <row r="212" spans="1:24" x14ac:dyDescent="0.25">
      <c r="A212" s="75">
        <v>44100</v>
      </c>
      <c r="B212" s="4">
        <v>11249</v>
      </c>
      <c r="C212" s="7">
        <f t="shared" si="48"/>
        <v>702484</v>
      </c>
      <c r="D212" s="4">
        <v>337</v>
      </c>
      <c r="E212" s="7">
        <f t="shared" ref="E212:E243" si="54">E211+D212</f>
        <v>15542</v>
      </c>
      <c r="F212" s="194">
        <v>556489</v>
      </c>
      <c r="G212" s="4">
        <v>3633</v>
      </c>
      <c r="H212" s="4">
        <v>22101</v>
      </c>
      <c r="I212" s="4">
        <f t="shared" si="53"/>
        <v>1888190</v>
      </c>
      <c r="J212" s="7">
        <v>1537</v>
      </c>
      <c r="K212" s="66">
        <v>1014163</v>
      </c>
      <c r="L212" s="43">
        <f t="shared" si="51"/>
        <v>1015700</v>
      </c>
      <c r="M212" s="188">
        <v>6835</v>
      </c>
      <c r="N212" s="188">
        <v>146416</v>
      </c>
      <c r="O212" s="188">
        <v>464913</v>
      </c>
      <c r="P212" s="167">
        <f t="shared" si="52"/>
        <v>84320</v>
      </c>
      <c r="Q212" s="29">
        <f t="shared" si="43"/>
        <v>9565</v>
      </c>
      <c r="R212" s="185">
        <f t="shared" si="44"/>
        <v>2.7849110407579741E-2</v>
      </c>
      <c r="S212" s="186">
        <f t="shared" si="49"/>
        <v>2.6386559187249158E-2</v>
      </c>
      <c r="T212" s="146"/>
      <c r="U212" s="146">
        <f t="shared" si="47"/>
        <v>0.12770213216809487</v>
      </c>
      <c r="W212" s="213">
        <f t="shared" si="46"/>
        <v>11364.285714285714</v>
      </c>
      <c r="X212" s="36">
        <f t="shared" si="50"/>
        <v>391.71428571428572</v>
      </c>
    </row>
    <row r="213" spans="1:24" x14ac:dyDescent="0.25">
      <c r="A213" s="75">
        <v>44101</v>
      </c>
      <c r="B213" s="4">
        <v>8841</v>
      </c>
      <c r="C213" s="7">
        <f t="shared" si="48"/>
        <v>711325</v>
      </c>
      <c r="D213" s="4">
        <v>206</v>
      </c>
      <c r="E213" s="7">
        <f t="shared" si="54"/>
        <v>15748</v>
      </c>
      <c r="F213" s="194">
        <v>565935</v>
      </c>
      <c r="G213" s="4">
        <v>3604</v>
      </c>
      <c r="H213" s="4">
        <v>15171</v>
      </c>
      <c r="I213" s="4">
        <f t="shared" si="53"/>
        <v>1903361</v>
      </c>
      <c r="J213" s="153">
        <v>1567</v>
      </c>
      <c r="K213" s="7">
        <v>1021244</v>
      </c>
      <c r="L213" s="182">
        <f t="shared" si="51"/>
        <v>1022811</v>
      </c>
      <c r="M213" s="188">
        <v>6874</v>
      </c>
      <c r="N213" s="188">
        <v>147538</v>
      </c>
      <c r="O213" s="188">
        <v>469799</v>
      </c>
      <c r="P213" s="167">
        <f t="shared" si="52"/>
        <v>87114</v>
      </c>
      <c r="Q213" s="29">
        <f t="shared" si="43"/>
        <v>9446</v>
      </c>
      <c r="R213" s="185">
        <f t="shared" si="44"/>
        <v>2.779963283503803E-2</v>
      </c>
      <c r="S213" s="186">
        <f t="shared" si="49"/>
        <v>2.6171945761517535E-2</v>
      </c>
      <c r="T213" s="146"/>
      <c r="U213" s="146">
        <f t="shared" si="47"/>
        <v>0.12664623474535333</v>
      </c>
      <c r="W213" s="213">
        <f t="shared" si="46"/>
        <v>11422.857142857143</v>
      </c>
      <c r="X213" s="36">
        <f t="shared" si="50"/>
        <v>385</v>
      </c>
    </row>
    <row r="214" spans="1:24" x14ac:dyDescent="0.25">
      <c r="A214" s="75">
        <v>44102</v>
      </c>
      <c r="B214" s="4">
        <v>11807</v>
      </c>
      <c r="C214" s="7">
        <f t="shared" si="48"/>
        <v>723132</v>
      </c>
      <c r="D214" s="4">
        <v>365</v>
      </c>
      <c r="E214" s="7">
        <f t="shared" si="54"/>
        <v>16113</v>
      </c>
      <c r="F214" s="194">
        <v>576715</v>
      </c>
      <c r="G214" s="167">
        <v>3678</v>
      </c>
      <c r="H214" s="4">
        <v>21356</v>
      </c>
      <c r="I214" s="4">
        <f t="shared" si="53"/>
        <v>1924717</v>
      </c>
      <c r="J214" s="153">
        <v>1611</v>
      </c>
      <c r="K214" s="7">
        <v>1031143</v>
      </c>
      <c r="L214" s="182">
        <f t="shared" si="51"/>
        <v>1032754</v>
      </c>
      <c r="M214" s="188">
        <v>6984</v>
      </c>
      <c r="N214" s="188">
        <v>149538</v>
      </c>
      <c r="O214" s="188">
        <v>478119</v>
      </c>
      <c r="P214" s="167">
        <f t="shared" si="52"/>
        <v>88491</v>
      </c>
      <c r="Q214" s="29">
        <f t="shared" si="43"/>
        <v>10780</v>
      </c>
      <c r="R214" s="185">
        <f t="shared" si="44"/>
        <v>2.8226301571709234E-2</v>
      </c>
      <c r="S214" s="186">
        <f t="shared" si="49"/>
        <v>2.6257296409400676E-2</v>
      </c>
      <c r="T214" s="146"/>
      <c r="U214" s="146">
        <f t="shared" si="47"/>
        <v>0.12963428712467606</v>
      </c>
      <c r="W214" s="213">
        <f t="shared" si="46"/>
        <v>11855</v>
      </c>
      <c r="X214" s="36">
        <f t="shared" si="50"/>
        <v>376.14285714285717</v>
      </c>
    </row>
    <row r="215" spans="1:24" x14ac:dyDescent="0.25">
      <c r="A215" s="75">
        <v>44103</v>
      </c>
      <c r="B215" s="152">
        <v>13477</v>
      </c>
      <c r="C215" s="7">
        <f t="shared" si="48"/>
        <v>736609</v>
      </c>
      <c r="D215" s="4">
        <v>405</v>
      </c>
      <c r="E215" s="7">
        <f t="shared" si="54"/>
        <v>16518</v>
      </c>
      <c r="F215" s="194">
        <v>585857</v>
      </c>
      <c r="G215" s="167">
        <v>3768</v>
      </c>
      <c r="H215" s="4">
        <v>25072</v>
      </c>
      <c r="I215" s="4">
        <f t="shared" si="53"/>
        <v>1949789</v>
      </c>
      <c r="J215" s="7">
        <v>1774</v>
      </c>
      <c r="K215" s="7">
        <v>1043210</v>
      </c>
      <c r="L215" s="43">
        <f t="shared" si="51"/>
        <v>1044984</v>
      </c>
      <c r="M215" s="188">
        <v>7083</v>
      </c>
      <c r="N215" s="188">
        <v>151787</v>
      </c>
      <c r="O215" s="188">
        <v>487971</v>
      </c>
      <c r="P215" s="167">
        <f t="shared" si="52"/>
        <v>89768</v>
      </c>
      <c r="Q215" s="29">
        <f t="shared" si="43"/>
        <v>9142</v>
      </c>
      <c r="R215" s="185">
        <f t="shared" si="44"/>
        <v>2.8070384552348882E-2</v>
      </c>
      <c r="S215" s="62" t="e">
        <f>E215/#REF!</f>
        <v>#REF!</v>
      </c>
      <c r="U215" s="146">
        <f t="shared" si="47"/>
        <v>0.12946698273773563</v>
      </c>
      <c r="W215" s="213">
        <f t="shared" si="46"/>
        <v>12062.142857142857</v>
      </c>
      <c r="X215" s="244">
        <f t="shared" si="50"/>
        <v>367</v>
      </c>
    </row>
    <row r="216" spans="1:24" x14ac:dyDescent="0.25">
      <c r="A216" s="87">
        <v>44104</v>
      </c>
      <c r="B216" s="199">
        <v>14392</v>
      </c>
      <c r="C216" s="66">
        <f t="shared" si="48"/>
        <v>751001</v>
      </c>
      <c r="D216" s="47">
        <v>418</v>
      </c>
      <c r="E216" s="66">
        <f t="shared" si="54"/>
        <v>16936</v>
      </c>
      <c r="F216" s="194">
        <v>594645</v>
      </c>
      <c r="G216" s="167">
        <v>3792</v>
      </c>
      <c r="H216" s="47">
        <v>26524</v>
      </c>
      <c r="I216" s="47">
        <f t="shared" si="53"/>
        <v>1976313</v>
      </c>
      <c r="J216" s="66">
        <v>2013</v>
      </c>
      <c r="K216" s="224">
        <v>1055774</v>
      </c>
      <c r="L216" s="183">
        <f t="shared" si="51"/>
        <v>1057787</v>
      </c>
      <c r="M216" s="188">
        <v>7162</v>
      </c>
      <c r="N216" s="188">
        <v>153949</v>
      </c>
      <c r="O216" s="188">
        <v>498519</v>
      </c>
      <c r="P216" s="167">
        <f t="shared" si="52"/>
        <v>91371</v>
      </c>
      <c r="Q216" s="29">
        <f t="shared" si="43"/>
        <v>8788</v>
      </c>
      <c r="R216" s="185">
        <f t="shared" si="44"/>
        <v>2.7198393343853107E-2</v>
      </c>
      <c r="S216" s="62" t="e">
        <f>E216/#REF!</f>
        <v>#REF!</v>
      </c>
      <c r="U216" s="146">
        <f t="shared" si="47"/>
        <v>0.12966626002746695</v>
      </c>
      <c r="W216" s="213">
        <f t="shared" si="46"/>
        <v>12314.571428571429</v>
      </c>
      <c r="X216" s="244">
        <f t="shared" si="50"/>
        <v>366.28571428571428</v>
      </c>
    </row>
    <row r="217" spans="1:24" x14ac:dyDescent="0.25">
      <c r="A217" s="75">
        <v>44105</v>
      </c>
      <c r="B217" s="4">
        <v>14001</v>
      </c>
      <c r="C217" s="7">
        <f t="shared" si="48"/>
        <v>765002</v>
      </c>
      <c r="D217" s="149">
        <v>3352</v>
      </c>
      <c r="E217" s="7">
        <f t="shared" si="54"/>
        <v>20288</v>
      </c>
      <c r="F217" s="194">
        <v>603140</v>
      </c>
      <c r="G217" s="169">
        <v>3799</v>
      </c>
      <c r="H217" s="4">
        <v>26662</v>
      </c>
      <c r="I217" s="4">
        <f t="shared" si="53"/>
        <v>2002975</v>
      </c>
      <c r="J217" s="7">
        <v>1482</v>
      </c>
      <c r="K217" s="9">
        <v>1068705</v>
      </c>
      <c r="L217" s="43">
        <f t="shared" si="51"/>
        <v>1070187</v>
      </c>
      <c r="M217" s="188">
        <v>7226</v>
      </c>
      <c r="N217" s="188">
        <v>155848</v>
      </c>
      <c r="O217" s="188">
        <v>508945</v>
      </c>
      <c r="P217" s="167">
        <f t="shared" si="52"/>
        <v>92983</v>
      </c>
      <c r="Q217" s="29">
        <f t="shared" si="43"/>
        <v>8495</v>
      </c>
      <c r="R217" s="185">
        <f t="shared" si="44"/>
        <v>2.6834023196349612E-2</v>
      </c>
      <c r="S217" s="62" t="e">
        <f>E217/#REF!</f>
        <v>#REF!</v>
      </c>
      <c r="U217" s="146" t="e">
        <f>(C217-#REF!)/#REF!</f>
        <v>#REF!</v>
      </c>
      <c r="W217" s="213">
        <f>AVERAGE(B216:B217)</f>
        <v>14196.5</v>
      </c>
      <c r="X217" s="36">
        <f>AVERAGE(D216:D217)</f>
        <v>1885</v>
      </c>
    </row>
    <row r="218" spans="1:24" x14ac:dyDescent="0.25">
      <c r="A218" s="75">
        <v>44106</v>
      </c>
      <c r="B218" s="150">
        <v>14687</v>
      </c>
      <c r="C218" s="7">
        <f t="shared" si="48"/>
        <v>779689</v>
      </c>
      <c r="D218" s="4">
        <v>309</v>
      </c>
      <c r="E218" s="7">
        <f t="shared" si="54"/>
        <v>20597</v>
      </c>
      <c r="F218" s="194">
        <v>614515</v>
      </c>
      <c r="G218" s="169">
        <v>3828</v>
      </c>
      <c r="H218" s="4">
        <v>27537</v>
      </c>
      <c r="I218" s="4">
        <f t="shared" si="53"/>
        <v>2030512</v>
      </c>
      <c r="J218" s="7">
        <v>1492</v>
      </c>
      <c r="K218" s="9">
        <v>1082729</v>
      </c>
      <c r="L218" s="43">
        <f t="shared" si="51"/>
        <v>1084221</v>
      </c>
      <c r="M218" s="188">
        <v>7323</v>
      </c>
      <c r="N218" s="188">
        <v>158001</v>
      </c>
      <c r="O218" s="188">
        <v>520163</v>
      </c>
      <c r="P218" s="167">
        <f t="shared" si="52"/>
        <v>94202</v>
      </c>
      <c r="Q218" s="29">
        <f t="shared" si="43"/>
        <v>11375</v>
      </c>
      <c r="R218" s="185">
        <f t="shared" si="44"/>
        <v>2.6477240501601221E-2</v>
      </c>
      <c r="S218" s="62" t="e">
        <f>E218/#REF!</f>
        <v>#REF!</v>
      </c>
      <c r="U218" s="146" t="e">
        <f>(C218-#REF!)/#REF!</f>
        <v>#REF!</v>
      </c>
      <c r="W218" s="213">
        <f>AVERAGE(B216:B218)</f>
        <v>14360</v>
      </c>
      <c r="X218" s="36">
        <f>AVERAGE(D216:D218)</f>
        <v>1359.6666666666667</v>
      </c>
    </row>
    <row r="219" spans="1:24" x14ac:dyDescent="0.25">
      <c r="A219" s="75">
        <v>44107</v>
      </c>
      <c r="B219" s="4">
        <v>11129</v>
      </c>
      <c r="C219" s="7">
        <f t="shared" si="48"/>
        <v>790818</v>
      </c>
      <c r="D219" s="4">
        <v>195</v>
      </c>
      <c r="E219" s="7">
        <f t="shared" si="54"/>
        <v>20792</v>
      </c>
      <c r="F219" s="194">
        <v>626114</v>
      </c>
      <c r="G219" s="169">
        <v>3820</v>
      </c>
      <c r="H219" s="4">
        <v>20525</v>
      </c>
      <c r="I219" s="4">
        <f t="shared" si="53"/>
        <v>2051037</v>
      </c>
      <c r="J219" s="7">
        <v>1499</v>
      </c>
      <c r="K219" s="7">
        <v>1095695</v>
      </c>
      <c r="L219" s="43">
        <f t="shared" si="51"/>
        <v>1097194</v>
      </c>
      <c r="M219" s="188">
        <v>7387</v>
      </c>
      <c r="N219" s="188">
        <v>159347</v>
      </c>
      <c r="O219" s="188">
        <v>527803</v>
      </c>
      <c r="P219" s="167">
        <f t="shared" si="52"/>
        <v>96281</v>
      </c>
      <c r="Q219" s="29">
        <f t="shared" si="43"/>
        <v>11599</v>
      </c>
      <c r="R219" s="185">
        <f t="shared" si="44"/>
        <v>2.6543999110567568E-2</v>
      </c>
      <c r="S219" s="62" t="e">
        <f>E219/#REF!</f>
        <v>#REF!</v>
      </c>
      <c r="U219" s="146">
        <f>(C219-C212)/C212</f>
        <v>0.12574521270235337</v>
      </c>
      <c r="W219" s="213">
        <f>AVERAGE(B213:B219)</f>
        <v>12619.142857142857</v>
      </c>
      <c r="X219" s="36">
        <f>AVERAGE(D213:D219)</f>
        <v>750</v>
      </c>
    </row>
    <row r="220" spans="1:24" x14ac:dyDescent="0.25">
      <c r="A220" s="75">
        <v>44108</v>
      </c>
      <c r="B220" s="4">
        <v>7668</v>
      </c>
      <c r="C220" s="7">
        <f t="shared" si="48"/>
        <v>798486</v>
      </c>
      <c r="D220" s="4">
        <v>222</v>
      </c>
      <c r="E220" s="7">
        <f t="shared" si="54"/>
        <v>21014</v>
      </c>
      <c r="F220" s="194">
        <v>636672</v>
      </c>
      <c r="G220" s="169">
        <v>3950</v>
      </c>
      <c r="H220" s="4">
        <v>13213</v>
      </c>
      <c r="I220" s="4">
        <f t="shared" si="53"/>
        <v>2064250</v>
      </c>
      <c r="J220" s="7">
        <v>1504</v>
      </c>
      <c r="K220" s="7">
        <v>1103068</v>
      </c>
      <c r="L220" s="43">
        <f t="shared" si="51"/>
        <v>1104572</v>
      </c>
      <c r="M220" s="188">
        <v>7425</v>
      </c>
      <c r="N220" s="188">
        <v>160401</v>
      </c>
      <c r="O220" s="188">
        <v>533573</v>
      </c>
      <c r="P220" s="167">
        <f t="shared" si="52"/>
        <v>97087</v>
      </c>
      <c r="Q220" s="29">
        <f t="shared" ref="Q220:Q251" si="55">F220-F219</f>
        <v>10558</v>
      </c>
      <c r="R220" s="185">
        <f t="shared" ref="R220:R248" si="56">G220/(C220-E220-F220)</f>
        <v>2.8053977272727272E-2</v>
      </c>
      <c r="S220" s="62" t="e">
        <f>E220/#REF!</f>
        <v>#REF!</v>
      </c>
      <c r="U220" s="146" t="e">
        <f>(C220-#REF!)/#REF!</f>
        <v>#REF!</v>
      </c>
      <c r="W220" s="213">
        <f>AVERAGE(B214:B220)</f>
        <v>12451.571428571429</v>
      </c>
      <c r="X220" s="36">
        <f>AVERAGE(D214:D220)</f>
        <v>752.28571428571433</v>
      </c>
    </row>
    <row r="221" spans="1:24" x14ac:dyDescent="0.25">
      <c r="A221" s="75">
        <v>44109</v>
      </c>
      <c r="B221" s="161">
        <v>11242</v>
      </c>
      <c r="C221" s="7">
        <f t="shared" si="48"/>
        <v>809728</v>
      </c>
      <c r="D221" s="4">
        <v>451</v>
      </c>
      <c r="E221" s="7">
        <f t="shared" si="54"/>
        <v>21465</v>
      </c>
      <c r="F221" s="194">
        <v>649017</v>
      </c>
      <c r="G221" s="169">
        <v>3978</v>
      </c>
      <c r="H221" s="4">
        <v>20263</v>
      </c>
      <c r="I221" s="4">
        <f t="shared" si="53"/>
        <v>2084513</v>
      </c>
      <c r="J221" s="7">
        <v>1508</v>
      </c>
      <c r="K221" s="7">
        <v>1113469</v>
      </c>
      <c r="L221" s="43">
        <f t="shared" si="51"/>
        <v>1114977</v>
      </c>
      <c r="M221" s="188">
        <v>7503</v>
      </c>
      <c r="N221" s="188">
        <v>162682</v>
      </c>
      <c r="O221" s="188">
        <v>544916</v>
      </c>
      <c r="P221" s="167">
        <f t="shared" si="52"/>
        <v>94627</v>
      </c>
      <c r="Q221" s="29">
        <f t="shared" si="55"/>
        <v>12345</v>
      </c>
      <c r="R221" s="185">
        <f t="shared" si="56"/>
        <v>2.856814558407423E-2</v>
      </c>
      <c r="S221" s="62" t="e">
        <f>E221/#REF!</f>
        <v>#REF!</v>
      </c>
      <c r="U221" s="146" t="e">
        <f>(C221-#REF!)/#REF!</f>
        <v>#REF!</v>
      </c>
      <c r="W221" s="213">
        <f>AVERAGE(B218:B221)</f>
        <v>11181.5</v>
      </c>
      <c r="X221" s="36">
        <f>AVERAGE(D218:D221)</f>
        <v>294.25</v>
      </c>
    </row>
    <row r="222" spans="1:24" x14ac:dyDescent="0.25">
      <c r="A222" s="87">
        <v>44110</v>
      </c>
      <c r="B222" s="230">
        <v>14740</v>
      </c>
      <c r="C222" s="7">
        <f t="shared" si="48"/>
        <v>824468</v>
      </c>
      <c r="D222" s="47">
        <v>359</v>
      </c>
      <c r="E222" s="66">
        <f t="shared" si="54"/>
        <v>21824</v>
      </c>
      <c r="F222" s="194">
        <v>660272</v>
      </c>
      <c r="G222" s="169">
        <v>4007</v>
      </c>
      <c r="H222" s="47">
        <v>26481</v>
      </c>
      <c r="I222" s="47">
        <f t="shared" si="53"/>
        <v>2110994</v>
      </c>
      <c r="J222" s="66">
        <v>1528</v>
      </c>
      <c r="K222" s="66">
        <v>1127417</v>
      </c>
      <c r="L222" s="183">
        <f t="shared" si="51"/>
        <v>1128945</v>
      </c>
      <c r="M222" s="188">
        <v>7581</v>
      </c>
      <c r="N222" s="188">
        <v>165737</v>
      </c>
      <c r="O222" s="188">
        <v>556132</v>
      </c>
      <c r="P222" s="167">
        <f t="shared" si="52"/>
        <v>95018</v>
      </c>
      <c r="Q222" s="29">
        <f t="shared" si="55"/>
        <v>11255</v>
      </c>
      <c r="R222" s="185">
        <f t="shared" si="56"/>
        <v>2.8144578990250892E-2</v>
      </c>
      <c r="S222" s="62" t="e">
        <f>E222/#REF!</f>
        <v>#REF!</v>
      </c>
      <c r="U222" s="146" t="e">
        <f>(C222-#REF!)/#REF!</f>
        <v>#REF!</v>
      </c>
      <c r="W222" s="213">
        <f>AVERAGE(B218:B222)</f>
        <v>11893.2</v>
      </c>
      <c r="X222" s="36">
        <f>AVERAGE(D218:D222)</f>
        <v>307.2</v>
      </c>
    </row>
    <row r="223" spans="1:24" x14ac:dyDescent="0.25">
      <c r="A223" s="226">
        <v>44111</v>
      </c>
      <c r="B223" s="229">
        <v>16447</v>
      </c>
      <c r="C223" s="7">
        <f t="shared" si="48"/>
        <v>840915</v>
      </c>
      <c r="D223" s="167">
        <v>401</v>
      </c>
      <c r="E223" s="168">
        <f t="shared" si="54"/>
        <v>22225</v>
      </c>
      <c r="F223" s="194">
        <v>670725</v>
      </c>
      <c r="G223" s="169">
        <v>3997</v>
      </c>
      <c r="H223" s="236">
        <v>29441</v>
      </c>
      <c r="I223" s="167">
        <f t="shared" si="53"/>
        <v>2140435</v>
      </c>
      <c r="J223" s="168">
        <v>1542</v>
      </c>
      <c r="K223" s="168">
        <v>1142661</v>
      </c>
      <c r="L223" s="184">
        <f t="shared" si="51"/>
        <v>1144203</v>
      </c>
      <c r="M223" s="188">
        <v>7669</v>
      </c>
      <c r="N223" s="188">
        <v>168593</v>
      </c>
      <c r="O223" s="188">
        <v>568246</v>
      </c>
      <c r="P223" s="167">
        <f t="shared" si="52"/>
        <v>96407</v>
      </c>
      <c r="Q223" s="29">
        <f t="shared" si="55"/>
        <v>10453</v>
      </c>
      <c r="R223" s="185">
        <f t="shared" si="56"/>
        <v>2.7013145000506878E-2</v>
      </c>
      <c r="S223" s="62" t="e">
        <f>E223/#REF!</f>
        <v>#REF!</v>
      </c>
      <c r="U223" s="146" t="e">
        <f>(C223-#REF!)/#REF!</f>
        <v>#REF!</v>
      </c>
      <c r="W223" s="213">
        <f>AVERAGE(B218:B223)</f>
        <v>12652.166666666666</v>
      </c>
      <c r="X223" s="36">
        <f>AVERAGE(D218:D223)</f>
        <v>322.83333333333331</v>
      </c>
    </row>
    <row r="224" spans="1:24" x14ac:dyDescent="0.25">
      <c r="A224" s="227">
        <v>44112</v>
      </c>
      <c r="B224" s="192">
        <v>15454</v>
      </c>
      <c r="C224" s="199">
        <f t="shared" si="48"/>
        <v>856369</v>
      </c>
      <c r="D224" s="192">
        <v>485</v>
      </c>
      <c r="E224" s="193">
        <f t="shared" si="54"/>
        <v>22710</v>
      </c>
      <c r="F224" s="194">
        <v>684844</v>
      </c>
      <c r="G224" s="195">
        <v>4043</v>
      </c>
      <c r="H224" s="192">
        <v>25841</v>
      </c>
      <c r="I224" s="47">
        <f t="shared" si="53"/>
        <v>2166276</v>
      </c>
      <c r="J224" s="193">
        <v>1544</v>
      </c>
      <c r="K224" s="193">
        <v>1155668</v>
      </c>
      <c r="L224" s="200">
        <f t="shared" si="51"/>
        <v>1157212</v>
      </c>
      <c r="M224" s="196">
        <v>7761</v>
      </c>
      <c r="N224" s="196">
        <v>171322</v>
      </c>
      <c r="O224" s="196">
        <v>578517</v>
      </c>
      <c r="P224" s="192">
        <f t="shared" si="52"/>
        <v>98769</v>
      </c>
      <c r="Q224" s="29">
        <f t="shared" si="55"/>
        <v>14119</v>
      </c>
      <c r="R224" s="197">
        <f t="shared" si="56"/>
        <v>2.7167960219063939E-2</v>
      </c>
      <c r="S224" s="156" t="e">
        <f>E224/#REF!</f>
        <v>#REF!</v>
      </c>
      <c r="U224" s="146">
        <f t="shared" ref="U224:U235" si="57">(C224-C217)/C217</f>
        <v>0.11943367468320344</v>
      </c>
      <c r="W224" s="213">
        <f t="shared" ref="W224:W235" si="58">AVERAGE(B218:B224)</f>
        <v>13052.428571428571</v>
      </c>
      <c r="X224" s="36">
        <f t="shared" ref="X224:X255" si="59">AVERAGE(D218:D224)</f>
        <v>346</v>
      </c>
    </row>
    <row r="225" spans="1:24" x14ac:dyDescent="0.25">
      <c r="A225" s="158">
        <v>44113</v>
      </c>
      <c r="B225" s="8">
        <v>15099</v>
      </c>
      <c r="C225" s="16">
        <f t="shared" si="48"/>
        <v>871468</v>
      </c>
      <c r="D225" s="222">
        <v>514</v>
      </c>
      <c r="E225" s="7">
        <f t="shared" si="54"/>
        <v>23224</v>
      </c>
      <c r="F225" s="198">
        <v>697141</v>
      </c>
      <c r="G225" s="16">
        <v>4092</v>
      </c>
      <c r="H225" s="4">
        <v>25174</v>
      </c>
      <c r="I225" s="4">
        <f t="shared" si="53"/>
        <v>2191450</v>
      </c>
      <c r="J225" s="7">
        <v>1564</v>
      </c>
      <c r="K225" s="7">
        <v>1172099</v>
      </c>
      <c r="L225" s="4">
        <f t="shared" si="51"/>
        <v>1173663</v>
      </c>
      <c r="M225" s="9">
        <v>7817</v>
      </c>
      <c r="N225" s="9">
        <v>174267</v>
      </c>
      <c r="O225" s="9">
        <v>588788</v>
      </c>
      <c r="P225" s="4">
        <f t="shared" si="52"/>
        <v>100596</v>
      </c>
      <c r="Q225" s="29">
        <f t="shared" si="55"/>
        <v>12297</v>
      </c>
      <c r="R225" s="72">
        <f t="shared" si="56"/>
        <v>2.7080865369979418E-2</v>
      </c>
      <c r="S225" s="62" t="e">
        <f>E225/#REF!</f>
        <v>#REF!</v>
      </c>
      <c r="U225" s="146">
        <f t="shared" si="57"/>
        <v>0.11771231862960745</v>
      </c>
      <c r="W225" s="213">
        <f t="shared" si="58"/>
        <v>13111.285714285714</v>
      </c>
      <c r="X225" s="36">
        <f t="shared" si="59"/>
        <v>375.28571428571428</v>
      </c>
    </row>
    <row r="226" spans="1:24" x14ac:dyDescent="0.25">
      <c r="A226" s="158">
        <v>44114</v>
      </c>
      <c r="B226" s="4">
        <v>12414</v>
      </c>
      <c r="C226" s="16">
        <f t="shared" si="48"/>
        <v>883882</v>
      </c>
      <c r="D226" s="4">
        <v>357</v>
      </c>
      <c r="E226" s="7">
        <f t="shared" si="54"/>
        <v>23581</v>
      </c>
      <c r="F226" s="198">
        <v>709464</v>
      </c>
      <c r="G226" s="16">
        <v>4200</v>
      </c>
      <c r="H226" s="4">
        <v>19871</v>
      </c>
      <c r="I226" s="4">
        <f t="shared" si="53"/>
        <v>2211321</v>
      </c>
      <c r="J226" s="7">
        <v>1566</v>
      </c>
      <c r="K226" s="7">
        <v>1182752</v>
      </c>
      <c r="L226" s="4">
        <f t="shared" si="51"/>
        <v>1184318</v>
      </c>
      <c r="M226" s="9">
        <v>7886</v>
      </c>
      <c r="N226" s="9">
        <v>176230</v>
      </c>
      <c r="O226" s="9">
        <v>594738</v>
      </c>
      <c r="P226" s="4">
        <f t="shared" si="52"/>
        <v>105028</v>
      </c>
      <c r="Q226" s="29">
        <f t="shared" si="55"/>
        <v>12323</v>
      </c>
      <c r="R226" s="72">
        <f t="shared" si="56"/>
        <v>2.7844626981443545E-2</v>
      </c>
      <c r="S226" s="62" t="e">
        <f>E226/#REF!</f>
        <v>#REF!</v>
      </c>
      <c r="U226" s="146">
        <f t="shared" si="57"/>
        <v>0.11768068000475457</v>
      </c>
      <c r="W226" s="213">
        <f t="shared" si="58"/>
        <v>13294.857142857143</v>
      </c>
      <c r="X226" s="36">
        <f t="shared" si="59"/>
        <v>398.42857142857144</v>
      </c>
    </row>
    <row r="227" spans="1:24" x14ac:dyDescent="0.25">
      <c r="A227" s="158">
        <v>44115</v>
      </c>
      <c r="B227" s="4">
        <v>10324</v>
      </c>
      <c r="C227" s="16">
        <f t="shared" si="48"/>
        <v>894206</v>
      </c>
      <c r="D227" s="4">
        <v>287</v>
      </c>
      <c r="E227" s="7">
        <f t="shared" si="54"/>
        <v>23868</v>
      </c>
      <c r="F227" s="198">
        <v>721380</v>
      </c>
      <c r="G227" s="16">
        <v>4237</v>
      </c>
      <c r="H227" s="4">
        <v>14237</v>
      </c>
      <c r="I227" s="16">
        <v>2225558</v>
      </c>
      <c r="J227" s="7">
        <v>1567</v>
      </c>
      <c r="K227" s="7">
        <v>1189378</v>
      </c>
      <c r="L227" s="4">
        <f t="shared" si="51"/>
        <v>1190945</v>
      </c>
      <c r="M227" s="9">
        <v>7932</v>
      </c>
      <c r="N227" s="9">
        <v>177557</v>
      </c>
      <c r="O227" s="9">
        <v>599352</v>
      </c>
      <c r="P227" s="4">
        <f t="shared" si="52"/>
        <v>109365</v>
      </c>
      <c r="Q227" s="29">
        <f t="shared" si="55"/>
        <v>11916</v>
      </c>
      <c r="R227" s="72">
        <f t="shared" si="56"/>
        <v>2.8444259455685496E-2</v>
      </c>
      <c r="S227" s="62" t="e">
        <f>E227/#REF!</f>
        <v>#REF!</v>
      </c>
      <c r="U227" s="146">
        <f t="shared" si="57"/>
        <v>0.11987686697074212</v>
      </c>
      <c r="W227" s="213">
        <f t="shared" si="58"/>
        <v>13674.285714285714</v>
      </c>
      <c r="X227" s="36">
        <f t="shared" si="59"/>
        <v>407.71428571428572</v>
      </c>
    </row>
    <row r="228" spans="1:24" x14ac:dyDescent="0.25">
      <c r="A228" s="158">
        <v>44116</v>
      </c>
      <c r="B228" s="4">
        <v>9524</v>
      </c>
      <c r="C228" s="16">
        <f t="shared" ref="C228:C259" si="60">C227+B228</f>
        <v>903730</v>
      </c>
      <c r="D228" s="4">
        <v>318</v>
      </c>
      <c r="E228" s="7">
        <f t="shared" si="54"/>
        <v>24186</v>
      </c>
      <c r="F228" s="198">
        <v>732582</v>
      </c>
      <c r="G228" s="16">
        <v>4287</v>
      </c>
      <c r="H228" s="4">
        <v>13956</v>
      </c>
      <c r="I228" s="16">
        <f t="shared" ref="I228:I234" si="61">I227+H228</f>
        <v>2239514</v>
      </c>
      <c r="J228" s="7">
        <v>1567</v>
      </c>
      <c r="K228" s="7">
        <v>1196534</v>
      </c>
      <c r="L228" s="12">
        <f t="shared" si="51"/>
        <v>1198101</v>
      </c>
      <c r="M228" s="9">
        <v>7963</v>
      </c>
      <c r="N228" s="9">
        <v>179298</v>
      </c>
      <c r="O228" s="9">
        <v>608522</v>
      </c>
      <c r="P228" s="4">
        <f t="shared" si="52"/>
        <v>107947</v>
      </c>
      <c r="Q228" s="29">
        <f t="shared" si="55"/>
        <v>11202</v>
      </c>
      <c r="R228" s="72">
        <f t="shared" si="56"/>
        <v>2.9170806058709055E-2</v>
      </c>
      <c r="S228" s="62" t="e">
        <f>E228/#REF!</f>
        <v>#REF!</v>
      </c>
      <c r="U228" s="146">
        <f t="shared" si="57"/>
        <v>0.11609083544103699</v>
      </c>
      <c r="W228" s="213">
        <f t="shared" si="58"/>
        <v>13428.857142857143</v>
      </c>
      <c r="X228" s="36">
        <f t="shared" si="59"/>
        <v>388.71428571428572</v>
      </c>
    </row>
    <row r="229" spans="1:24" x14ac:dyDescent="0.25">
      <c r="A229" s="158">
        <v>44117</v>
      </c>
      <c r="B229" s="4">
        <v>13305</v>
      </c>
      <c r="C229" s="16">
        <f t="shared" si="60"/>
        <v>917035</v>
      </c>
      <c r="D229" s="4">
        <v>385</v>
      </c>
      <c r="E229" s="7">
        <f t="shared" si="54"/>
        <v>24571</v>
      </c>
      <c r="F229" s="198">
        <v>742235</v>
      </c>
      <c r="G229" s="16">
        <v>4294</v>
      </c>
      <c r="H229" s="16">
        <v>20544</v>
      </c>
      <c r="I229" s="16">
        <f t="shared" si="61"/>
        <v>2260058</v>
      </c>
      <c r="J229" s="7">
        <v>1574</v>
      </c>
      <c r="K229" s="7">
        <v>1207475</v>
      </c>
      <c r="L229" s="7">
        <f t="shared" ref="L229:L234" si="62">J229+K229</f>
        <v>1209049</v>
      </c>
      <c r="M229" s="9">
        <v>8033</v>
      </c>
      <c r="N229" s="9">
        <v>182045</v>
      </c>
      <c r="O229" s="9">
        <v>619199</v>
      </c>
      <c r="P229" s="4">
        <f t="shared" si="52"/>
        <v>107758</v>
      </c>
      <c r="Q229" s="29">
        <f t="shared" si="55"/>
        <v>9653</v>
      </c>
      <c r="R229" s="72">
        <f t="shared" si="56"/>
        <v>2.8583029907674282E-2</v>
      </c>
      <c r="S229" s="62" t="e">
        <f>E229/#REF!</f>
        <v>#REF!</v>
      </c>
      <c r="U229" s="146">
        <f t="shared" si="57"/>
        <v>0.1122748244928851</v>
      </c>
      <c r="W229" s="213">
        <f t="shared" si="58"/>
        <v>13223.857142857143</v>
      </c>
      <c r="X229" s="36">
        <f t="shared" si="59"/>
        <v>392.42857142857144</v>
      </c>
    </row>
    <row r="230" spans="1:24" x14ac:dyDescent="0.25">
      <c r="A230" s="158">
        <v>44118</v>
      </c>
      <c r="B230" s="4">
        <v>14932</v>
      </c>
      <c r="C230" s="16">
        <f t="shared" si="60"/>
        <v>931967</v>
      </c>
      <c r="D230" s="4">
        <v>350</v>
      </c>
      <c r="E230" s="7">
        <f t="shared" si="54"/>
        <v>24921</v>
      </c>
      <c r="F230" s="198">
        <v>751146</v>
      </c>
      <c r="G230" s="16">
        <v>4316</v>
      </c>
      <c r="H230" s="4">
        <v>23519</v>
      </c>
      <c r="I230" s="16">
        <f t="shared" si="61"/>
        <v>2283577</v>
      </c>
      <c r="J230" s="7">
        <v>1574</v>
      </c>
      <c r="K230" s="7">
        <v>1219715</v>
      </c>
      <c r="L230" s="7">
        <f t="shared" si="62"/>
        <v>1221289</v>
      </c>
      <c r="M230" s="9">
        <v>8098</v>
      </c>
      <c r="N230" s="9">
        <v>184890</v>
      </c>
      <c r="O230" s="9">
        <v>629734</v>
      </c>
      <c r="P230" s="4">
        <f t="shared" si="52"/>
        <v>109245</v>
      </c>
      <c r="Q230" s="29">
        <f t="shared" si="55"/>
        <v>8911</v>
      </c>
      <c r="R230" s="72">
        <f t="shared" si="56"/>
        <v>2.7684413085311096E-2</v>
      </c>
      <c r="S230" s="62" t="e">
        <f>E230/#REF!</f>
        <v>#REF!</v>
      </c>
      <c r="U230" s="146">
        <f t="shared" si="57"/>
        <v>0.10827729318658842</v>
      </c>
      <c r="W230" s="213">
        <f t="shared" si="58"/>
        <v>13007.428571428571</v>
      </c>
      <c r="X230" s="36">
        <f t="shared" si="59"/>
        <v>385.14285714285717</v>
      </c>
    </row>
    <row r="231" spans="1:24" x14ac:dyDescent="0.25">
      <c r="A231" s="158">
        <v>44119</v>
      </c>
      <c r="B231" s="149">
        <v>17096</v>
      </c>
      <c r="C231" s="16">
        <f t="shared" si="60"/>
        <v>949063</v>
      </c>
      <c r="D231" s="4">
        <v>421</v>
      </c>
      <c r="E231" s="7">
        <f t="shared" si="54"/>
        <v>25342</v>
      </c>
      <c r="F231" s="198">
        <v>764859</v>
      </c>
      <c r="G231" s="16">
        <v>4278</v>
      </c>
      <c r="H231" s="4">
        <v>27662</v>
      </c>
      <c r="I231" s="16">
        <f t="shared" si="61"/>
        <v>2311239</v>
      </c>
      <c r="J231" s="7">
        <v>1575</v>
      </c>
      <c r="K231" s="7">
        <v>1234321</v>
      </c>
      <c r="L231" s="7">
        <f t="shared" si="62"/>
        <v>1235896</v>
      </c>
      <c r="M231" s="9">
        <v>8172</v>
      </c>
      <c r="N231" s="9">
        <v>187747</v>
      </c>
      <c r="O231" s="9">
        <v>642465</v>
      </c>
      <c r="P231" s="4">
        <f t="shared" si="52"/>
        <v>110679</v>
      </c>
      <c r="Q231" s="29">
        <f t="shared" si="55"/>
        <v>13713</v>
      </c>
      <c r="R231" s="72">
        <f t="shared" si="56"/>
        <v>2.692903274540167E-2</v>
      </c>
      <c r="S231" s="62" t="e">
        <f>E231/#REF!</f>
        <v>#REF!</v>
      </c>
      <c r="U231" s="146">
        <f t="shared" si="57"/>
        <v>0.10824072333304918</v>
      </c>
      <c r="W231" s="213">
        <f t="shared" si="58"/>
        <v>13242</v>
      </c>
      <c r="X231" s="36">
        <f t="shared" si="59"/>
        <v>376</v>
      </c>
    </row>
    <row r="232" spans="1:24" x14ac:dyDescent="0.25">
      <c r="A232" s="158">
        <v>44120</v>
      </c>
      <c r="B232" s="16">
        <v>16546</v>
      </c>
      <c r="C232" s="16">
        <f t="shared" si="60"/>
        <v>965609</v>
      </c>
      <c r="D232" s="4">
        <v>379</v>
      </c>
      <c r="E232" s="7">
        <f t="shared" si="54"/>
        <v>25721</v>
      </c>
      <c r="F232" s="198">
        <v>778501</v>
      </c>
      <c r="G232" s="16">
        <v>4346</v>
      </c>
      <c r="H232" s="4">
        <v>27412</v>
      </c>
      <c r="I232" s="16">
        <f t="shared" si="61"/>
        <v>2338651</v>
      </c>
      <c r="J232" s="7">
        <v>1597</v>
      </c>
      <c r="K232" s="7">
        <v>1248101</v>
      </c>
      <c r="L232" s="7">
        <f t="shared" si="62"/>
        <v>1249698</v>
      </c>
      <c r="M232" s="9">
        <v>8249</v>
      </c>
      <c r="N232" s="9">
        <v>190484</v>
      </c>
      <c r="O232" s="9">
        <v>653179</v>
      </c>
      <c r="P232" s="4">
        <f t="shared" si="52"/>
        <v>113697</v>
      </c>
      <c r="Q232" s="29">
        <f t="shared" si="55"/>
        <v>13642</v>
      </c>
      <c r="R232" s="72">
        <f t="shared" si="56"/>
        <v>2.6929058722201912E-2</v>
      </c>
      <c r="S232" s="62" t="e">
        <f>E232/#REF!</f>
        <v>#REF!</v>
      </c>
      <c r="U232" s="146">
        <f t="shared" si="57"/>
        <v>0.10802576801443083</v>
      </c>
      <c r="W232" s="213">
        <f t="shared" si="58"/>
        <v>13448.714285714286</v>
      </c>
      <c r="X232" s="36">
        <f t="shared" si="59"/>
        <v>356.71428571428572</v>
      </c>
    </row>
    <row r="233" spans="1:24" x14ac:dyDescent="0.25">
      <c r="A233" s="158">
        <v>44121</v>
      </c>
      <c r="B233" s="16">
        <v>13510</v>
      </c>
      <c r="C233" s="16">
        <f t="shared" si="60"/>
        <v>979119</v>
      </c>
      <c r="D233" s="4">
        <v>383</v>
      </c>
      <c r="E233" s="7">
        <f t="shared" si="54"/>
        <v>26104</v>
      </c>
      <c r="F233" s="198">
        <v>791174</v>
      </c>
      <c r="G233" s="16">
        <v>4386</v>
      </c>
      <c r="H233" s="4">
        <v>20955</v>
      </c>
      <c r="I233" s="16">
        <f t="shared" si="61"/>
        <v>2359606</v>
      </c>
      <c r="J233" s="7">
        <v>1611</v>
      </c>
      <c r="K233" s="7">
        <v>1260920</v>
      </c>
      <c r="L233" s="7">
        <f t="shared" si="62"/>
        <v>1262531</v>
      </c>
      <c r="M233" s="9">
        <v>8311</v>
      </c>
      <c r="N233" s="9">
        <v>192192</v>
      </c>
      <c r="O233" s="9">
        <v>661955</v>
      </c>
      <c r="P233" s="4">
        <f t="shared" si="52"/>
        <v>116661</v>
      </c>
      <c r="Q233" s="29">
        <f t="shared" si="55"/>
        <v>12673</v>
      </c>
      <c r="R233" s="72">
        <f t="shared" si="56"/>
        <v>2.7100672882644075E-2</v>
      </c>
      <c r="S233" s="62" t="e">
        <f>E233/#REF!</f>
        <v>#REF!</v>
      </c>
      <c r="U233" s="146">
        <f t="shared" si="57"/>
        <v>0.10774854562034299</v>
      </c>
      <c r="W233" s="213">
        <f t="shared" si="58"/>
        <v>13605.285714285714</v>
      </c>
      <c r="X233" s="36">
        <f t="shared" si="59"/>
        <v>360.42857142857144</v>
      </c>
    </row>
    <row r="234" spans="1:24" x14ac:dyDescent="0.25">
      <c r="A234" s="158">
        <v>44122</v>
      </c>
      <c r="B234" s="16">
        <v>10561</v>
      </c>
      <c r="C234" s="16">
        <f t="shared" si="60"/>
        <v>989680</v>
      </c>
      <c r="D234" s="4">
        <v>161</v>
      </c>
      <c r="E234" s="7">
        <f t="shared" si="54"/>
        <v>26265</v>
      </c>
      <c r="F234" s="198">
        <v>803965</v>
      </c>
      <c r="G234" s="16">
        <v>4387</v>
      </c>
      <c r="H234" s="4">
        <v>13890</v>
      </c>
      <c r="I234" s="16">
        <f t="shared" si="61"/>
        <v>2373496</v>
      </c>
      <c r="J234" s="7">
        <v>1617</v>
      </c>
      <c r="K234" s="7">
        <v>1269203</v>
      </c>
      <c r="L234" s="4">
        <f t="shared" si="62"/>
        <v>1270820</v>
      </c>
      <c r="M234" s="9">
        <v>8370</v>
      </c>
      <c r="N234" s="9">
        <v>193297</v>
      </c>
      <c r="O234" s="9">
        <v>669231</v>
      </c>
      <c r="P234" s="4">
        <f t="shared" si="52"/>
        <v>118782</v>
      </c>
      <c r="Q234" s="29">
        <f t="shared" si="55"/>
        <v>12791</v>
      </c>
      <c r="R234" s="72">
        <f t="shared" si="56"/>
        <v>2.751332706177485E-2</v>
      </c>
      <c r="S234" s="62" t="e">
        <f>E234/#REF!</f>
        <v>#REF!</v>
      </c>
      <c r="U234" s="146">
        <f t="shared" si="57"/>
        <v>0.1067695810585033</v>
      </c>
      <c r="W234" s="213">
        <f t="shared" si="58"/>
        <v>13639.142857142857</v>
      </c>
      <c r="X234" s="36">
        <f t="shared" si="59"/>
        <v>342.42857142857144</v>
      </c>
    </row>
    <row r="235" spans="1:24" x14ac:dyDescent="0.25">
      <c r="A235" s="158">
        <v>44123</v>
      </c>
      <c r="B235" s="16">
        <v>12982</v>
      </c>
      <c r="C235" s="16">
        <f t="shared" si="60"/>
        <v>1002662</v>
      </c>
      <c r="D235" s="4">
        <v>448</v>
      </c>
      <c r="E235" s="7">
        <f t="shared" si="54"/>
        <v>26713</v>
      </c>
      <c r="F235" s="198">
        <v>816247</v>
      </c>
      <c r="G235" s="16">
        <v>4392</v>
      </c>
      <c r="H235" s="4">
        <v>28395</v>
      </c>
      <c r="I235" s="16">
        <v>2626406</v>
      </c>
      <c r="J235" s="7">
        <v>1656</v>
      </c>
      <c r="K235" s="7">
        <v>1281757</v>
      </c>
      <c r="L235" s="4">
        <v>1283413</v>
      </c>
      <c r="M235" s="4">
        <v>8406</v>
      </c>
      <c r="N235" s="4">
        <v>195959</v>
      </c>
      <c r="O235" s="4">
        <v>676839</v>
      </c>
      <c r="P235" s="4">
        <v>121458</v>
      </c>
      <c r="Q235" s="29">
        <f t="shared" si="55"/>
        <v>12282</v>
      </c>
      <c r="R235" s="72">
        <f t="shared" si="56"/>
        <v>2.7501221024157495E-2</v>
      </c>
      <c r="S235" s="62" t="e">
        <f>E235/#REF!</f>
        <v>#REF!</v>
      </c>
      <c r="U235" s="146">
        <f t="shared" si="57"/>
        <v>0.10947074900689366</v>
      </c>
      <c r="W235" s="213">
        <f t="shared" si="58"/>
        <v>14133.142857142857</v>
      </c>
      <c r="X235" s="244">
        <f t="shared" si="59"/>
        <v>361</v>
      </c>
    </row>
    <row r="236" spans="1:24" x14ac:dyDescent="0.25">
      <c r="A236" s="158">
        <v>44124</v>
      </c>
      <c r="B236" s="16">
        <v>16337</v>
      </c>
      <c r="C236" s="16">
        <f t="shared" si="60"/>
        <v>1018999</v>
      </c>
      <c r="D236" s="4">
        <v>382</v>
      </c>
      <c r="E236" s="7">
        <f t="shared" si="54"/>
        <v>27095</v>
      </c>
      <c r="F236" s="198">
        <v>829647</v>
      </c>
      <c r="G236" s="16">
        <v>4451</v>
      </c>
      <c r="H236" s="16">
        <v>37474</v>
      </c>
      <c r="I236" s="16">
        <v>2663880</v>
      </c>
      <c r="J236" s="7">
        <v>1707</v>
      </c>
      <c r="K236" s="7">
        <v>1298433</v>
      </c>
      <c r="L236" s="4">
        <v>1283413</v>
      </c>
      <c r="M236" s="4">
        <v>8482</v>
      </c>
      <c r="N236" s="4">
        <v>199382</v>
      </c>
      <c r="O236" s="4">
        <v>689632</v>
      </c>
      <c r="P236" s="16">
        <f t="shared" ref="P236:P267" si="63">C236-M236-N236-O236</f>
        <v>121503</v>
      </c>
      <c r="Q236" s="29">
        <f t="shared" si="55"/>
        <v>13400</v>
      </c>
      <c r="R236" s="72">
        <f t="shared" si="56"/>
        <v>2.7431790307968225E-2</v>
      </c>
      <c r="S236" s="62" t="e">
        <f>E236/#REF!</f>
        <v>#REF!</v>
      </c>
      <c r="U236" s="146" t="e">
        <f>(C236-#REF!)/#REF!</f>
        <v>#REF!</v>
      </c>
      <c r="W236" s="213">
        <f>AVERAGE(B231:B236)</f>
        <v>14505.333333333334</v>
      </c>
      <c r="X236" s="244">
        <f t="shared" si="59"/>
        <v>360.57142857142856</v>
      </c>
    </row>
    <row r="237" spans="1:24" x14ac:dyDescent="0.25">
      <c r="A237" s="221">
        <v>44125</v>
      </c>
      <c r="B237" s="201">
        <v>18326</v>
      </c>
      <c r="C237" s="16">
        <f t="shared" si="60"/>
        <v>1037325</v>
      </c>
      <c r="D237" s="4">
        <v>423</v>
      </c>
      <c r="E237" s="7">
        <f t="shared" si="54"/>
        <v>27518</v>
      </c>
      <c r="F237" s="198">
        <v>840520</v>
      </c>
      <c r="G237" s="16">
        <v>4573</v>
      </c>
      <c r="H237" s="16">
        <v>38340</v>
      </c>
      <c r="I237" s="16">
        <f t="shared" ref="I237:I242" si="64">I236+H237</f>
        <v>2702220</v>
      </c>
      <c r="J237" s="7">
        <v>1753</v>
      </c>
      <c r="K237" s="7">
        <v>1314443</v>
      </c>
      <c r="L237" s="7">
        <f>J237+K237</f>
        <v>1316196</v>
      </c>
      <c r="M237" s="4">
        <v>8552</v>
      </c>
      <c r="N237" s="4">
        <v>202216</v>
      </c>
      <c r="O237" s="4">
        <v>702103</v>
      </c>
      <c r="P237" s="16">
        <f t="shared" si="63"/>
        <v>124454</v>
      </c>
      <c r="Q237" s="29">
        <f t="shared" si="55"/>
        <v>10873</v>
      </c>
      <c r="R237" s="72">
        <f t="shared" si="56"/>
        <v>2.7013296945424044E-2</v>
      </c>
      <c r="S237" s="62" t="e">
        <f>E237/#REF!</f>
        <v>#REF!</v>
      </c>
      <c r="U237" s="146" t="e">
        <f>(C237-#REF!)/#REF!</f>
        <v>#REF!</v>
      </c>
      <c r="W237" s="220">
        <f>AVERAGE(B236:B237)</f>
        <v>17331.5</v>
      </c>
      <c r="X237" s="244">
        <f t="shared" si="59"/>
        <v>371</v>
      </c>
    </row>
    <row r="238" spans="1:24" x14ac:dyDescent="0.25">
      <c r="A238" s="158">
        <v>44126</v>
      </c>
      <c r="B238" s="16">
        <v>16325</v>
      </c>
      <c r="C238" s="16">
        <f t="shared" si="60"/>
        <v>1053650</v>
      </c>
      <c r="D238" s="205">
        <v>437</v>
      </c>
      <c r="E238" s="206">
        <f t="shared" si="54"/>
        <v>27955</v>
      </c>
      <c r="F238" s="207">
        <v>851854</v>
      </c>
      <c r="G238" s="206">
        <v>4611</v>
      </c>
      <c r="H238" s="206">
        <v>39196</v>
      </c>
      <c r="I238" s="206">
        <f t="shared" si="64"/>
        <v>2741416</v>
      </c>
      <c r="J238" s="206">
        <v>1832</v>
      </c>
      <c r="K238" s="206">
        <v>1332741</v>
      </c>
      <c r="L238" s="206">
        <f t="shared" ref="L238:L284" si="65">K238+J238</f>
        <v>1334573</v>
      </c>
      <c r="M238" s="206">
        <v>8614</v>
      </c>
      <c r="N238" s="206">
        <v>205085</v>
      </c>
      <c r="O238" s="206">
        <v>714929</v>
      </c>
      <c r="P238" s="206">
        <f t="shared" si="63"/>
        <v>125022</v>
      </c>
      <c r="Q238" s="207">
        <f t="shared" si="55"/>
        <v>11334</v>
      </c>
      <c r="R238" s="72">
        <f t="shared" si="56"/>
        <v>2.6524237665452914E-2</v>
      </c>
      <c r="S238" s="62" t="e">
        <f>E238/#REF!</f>
        <v>#REF!</v>
      </c>
      <c r="U238" s="146" t="e">
        <f>(C238-#REF!)/#REF!</f>
        <v>#REF!</v>
      </c>
      <c r="W238" s="213">
        <f>AVERAGE(B236:B238)</f>
        <v>16996</v>
      </c>
      <c r="X238" s="36">
        <f t="shared" si="59"/>
        <v>373.28571428571428</v>
      </c>
    </row>
    <row r="239" spans="1:24" x14ac:dyDescent="0.25">
      <c r="A239" s="158">
        <v>44127</v>
      </c>
      <c r="B239" s="16">
        <v>15718</v>
      </c>
      <c r="C239" s="16">
        <f t="shared" si="60"/>
        <v>1069368</v>
      </c>
      <c r="D239" s="205">
        <v>382</v>
      </c>
      <c r="E239" s="206">
        <f t="shared" si="54"/>
        <v>28337</v>
      </c>
      <c r="F239" s="207">
        <v>866695</v>
      </c>
      <c r="G239" s="206">
        <v>4696</v>
      </c>
      <c r="H239" s="206">
        <v>35671</v>
      </c>
      <c r="I239" s="206">
        <f t="shared" si="64"/>
        <v>2777087</v>
      </c>
      <c r="J239" s="206">
        <v>1839</v>
      </c>
      <c r="K239" s="206">
        <v>1348372</v>
      </c>
      <c r="L239" s="206">
        <f t="shared" si="65"/>
        <v>1350211</v>
      </c>
      <c r="M239" s="206">
        <v>8671</v>
      </c>
      <c r="N239" s="208">
        <v>208116</v>
      </c>
      <c r="O239" s="208">
        <v>727467</v>
      </c>
      <c r="P239" s="206">
        <f t="shared" si="63"/>
        <v>125114</v>
      </c>
      <c r="Q239" s="207">
        <f t="shared" si="55"/>
        <v>14841</v>
      </c>
      <c r="R239" s="72">
        <f t="shared" si="56"/>
        <v>2.6936490455212923E-2</v>
      </c>
      <c r="S239" s="62" t="e">
        <f>E239/#REF!</f>
        <v>#REF!</v>
      </c>
      <c r="U239" s="146" t="e">
        <f>(C239-#REF!)/#REF!</f>
        <v>#REF!</v>
      </c>
      <c r="W239" s="213">
        <f>AVERAGE(B236:B239)</f>
        <v>16676.5</v>
      </c>
      <c r="X239" s="36">
        <f t="shared" si="59"/>
        <v>373.71428571428572</v>
      </c>
    </row>
    <row r="240" spans="1:24" x14ac:dyDescent="0.25">
      <c r="A240" s="158">
        <v>44128</v>
      </c>
      <c r="B240" s="16">
        <v>11968</v>
      </c>
      <c r="C240" s="16">
        <f t="shared" si="60"/>
        <v>1081336</v>
      </c>
      <c r="D240" s="205">
        <v>274</v>
      </c>
      <c r="E240" s="206">
        <f t="shared" si="54"/>
        <v>28611</v>
      </c>
      <c r="F240" s="207">
        <v>881113</v>
      </c>
      <c r="G240" s="206">
        <v>4850</v>
      </c>
      <c r="H240" s="206">
        <v>27027</v>
      </c>
      <c r="I240" s="206">
        <f t="shared" si="64"/>
        <v>2804114</v>
      </c>
      <c r="J240" s="206">
        <v>1868</v>
      </c>
      <c r="K240" s="206">
        <v>1359984</v>
      </c>
      <c r="L240" s="206">
        <f t="shared" si="65"/>
        <v>1361852</v>
      </c>
      <c r="M240" s="206">
        <v>8708</v>
      </c>
      <c r="N240" s="208">
        <v>210053</v>
      </c>
      <c r="O240" s="208">
        <v>735763</v>
      </c>
      <c r="P240" s="206">
        <f t="shared" si="63"/>
        <v>126812</v>
      </c>
      <c r="Q240" s="207">
        <f t="shared" si="55"/>
        <v>14418</v>
      </c>
      <c r="R240" s="72">
        <f t="shared" si="56"/>
        <v>2.8261426939841038E-2</v>
      </c>
      <c r="S240" s="62" t="e">
        <f>E240/#REF!</f>
        <v>#REF!</v>
      </c>
      <c r="T240" s="213"/>
      <c r="U240" s="146" t="e">
        <f>(C240-#REF!)/#REF!</f>
        <v>#REF!</v>
      </c>
      <c r="W240" s="213">
        <f>AVERAGE(B236:B240)</f>
        <v>15734.8</v>
      </c>
      <c r="X240" s="36">
        <f t="shared" si="59"/>
        <v>358.14285714285717</v>
      </c>
    </row>
    <row r="241" spans="1:24" x14ac:dyDescent="0.25">
      <c r="A241" s="158">
        <v>44129</v>
      </c>
      <c r="B241" s="16">
        <v>9253</v>
      </c>
      <c r="C241" s="16">
        <f t="shared" si="60"/>
        <v>1090589</v>
      </c>
      <c r="D241" s="205">
        <v>283</v>
      </c>
      <c r="E241" s="206">
        <f t="shared" si="54"/>
        <v>28894</v>
      </c>
      <c r="F241" s="207">
        <v>894819</v>
      </c>
      <c r="G241" s="206">
        <v>4863</v>
      </c>
      <c r="H241" s="206">
        <v>20303</v>
      </c>
      <c r="I241" s="206">
        <f t="shared" si="64"/>
        <v>2824417</v>
      </c>
      <c r="J241" s="206">
        <v>1904</v>
      </c>
      <c r="K241" s="206">
        <v>1367953</v>
      </c>
      <c r="L241" s="206">
        <f t="shared" si="65"/>
        <v>1369857</v>
      </c>
      <c r="M241" s="206">
        <v>8749</v>
      </c>
      <c r="N241" s="206">
        <v>211123</v>
      </c>
      <c r="O241" s="206">
        <v>741313</v>
      </c>
      <c r="P241" s="206">
        <f t="shared" si="63"/>
        <v>129404</v>
      </c>
      <c r="Q241" s="207">
        <f t="shared" si="55"/>
        <v>13706</v>
      </c>
      <c r="R241" s="72">
        <f t="shared" si="56"/>
        <v>2.9141398403605072E-2</v>
      </c>
      <c r="S241" s="62" t="e">
        <f>E241/#REF!</f>
        <v>#REF!</v>
      </c>
      <c r="T241" s="213"/>
      <c r="U241" s="146" t="e">
        <f>(C241-#REF!)/#REF!</f>
        <v>#REF!</v>
      </c>
      <c r="W241" s="213">
        <f t="shared" ref="W241:W285" si="66">AVERAGE(B235:B241)</f>
        <v>14415.571428571429</v>
      </c>
      <c r="X241" s="36">
        <f t="shared" si="59"/>
        <v>375.57142857142856</v>
      </c>
    </row>
    <row r="242" spans="1:24" x14ac:dyDescent="0.25">
      <c r="A242" s="158">
        <v>44130</v>
      </c>
      <c r="B242" s="16">
        <v>11712</v>
      </c>
      <c r="C242" s="16">
        <f t="shared" si="60"/>
        <v>1102301</v>
      </c>
      <c r="D242" s="205">
        <v>405</v>
      </c>
      <c r="E242" s="206">
        <f t="shared" si="54"/>
        <v>29299</v>
      </c>
      <c r="F242" s="207">
        <v>909586</v>
      </c>
      <c r="G242" s="206">
        <v>5038</v>
      </c>
      <c r="H242" s="206">
        <v>26448</v>
      </c>
      <c r="I242" s="206">
        <f t="shared" si="64"/>
        <v>2850865</v>
      </c>
      <c r="J242" s="206">
        <v>1956</v>
      </c>
      <c r="K242" s="206">
        <v>1378916</v>
      </c>
      <c r="L242" s="206">
        <f t="shared" si="65"/>
        <v>1380872</v>
      </c>
      <c r="M242" s="208">
        <v>8816</v>
      </c>
      <c r="N242" s="208">
        <v>213578</v>
      </c>
      <c r="O242" s="208">
        <v>753406</v>
      </c>
      <c r="P242" s="206">
        <f t="shared" si="63"/>
        <v>126501</v>
      </c>
      <c r="Q242" s="207">
        <f t="shared" si="55"/>
        <v>14767</v>
      </c>
      <c r="R242" s="72">
        <f t="shared" si="56"/>
        <v>3.0829294561120085E-2</v>
      </c>
      <c r="S242" s="62" t="e">
        <f>E242/#REF!</f>
        <v>#REF!</v>
      </c>
      <c r="T242" s="213"/>
      <c r="U242" s="146">
        <f t="shared" ref="U242:U285" si="67">(C242-C235)/C235</f>
        <v>9.9374465173707585E-2</v>
      </c>
      <c r="W242" s="213">
        <f t="shared" si="66"/>
        <v>14234.142857142857</v>
      </c>
      <c r="X242" s="36">
        <f t="shared" si="59"/>
        <v>369.42857142857144</v>
      </c>
    </row>
    <row r="243" spans="1:24" x14ac:dyDescent="0.25">
      <c r="A243" s="158">
        <v>44131</v>
      </c>
      <c r="B243" s="16">
        <v>14308</v>
      </c>
      <c r="C243" s="16">
        <f t="shared" si="60"/>
        <v>1116609</v>
      </c>
      <c r="D243" s="205">
        <v>425</v>
      </c>
      <c r="E243" s="206">
        <f t="shared" si="54"/>
        <v>29724</v>
      </c>
      <c r="F243" s="207">
        <v>921344</v>
      </c>
      <c r="G243" s="206">
        <v>4952</v>
      </c>
      <c r="H243" s="206">
        <v>32847</v>
      </c>
      <c r="I243" s="206">
        <v>2882949</v>
      </c>
      <c r="J243" s="206">
        <v>2043</v>
      </c>
      <c r="K243" s="206">
        <v>1392805</v>
      </c>
      <c r="L243" s="206">
        <f t="shared" si="65"/>
        <v>1394848</v>
      </c>
      <c r="M243" s="206">
        <v>8868</v>
      </c>
      <c r="N243" s="206">
        <v>216480</v>
      </c>
      <c r="O243" s="206">
        <v>765831</v>
      </c>
      <c r="P243" s="206">
        <f t="shared" si="63"/>
        <v>125430</v>
      </c>
      <c r="Q243" s="207">
        <f t="shared" si="55"/>
        <v>11758</v>
      </c>
      <c r="R243" s="72">
        <f t="shared" si="56"/>
        <v>2.991403942225793E-2</v>
      </c>
      <c r="S243" s="62" t="e">
        <f>E243/#REF!</f>
        <v>#REF!</v>
      </c>
      <c r="T243" s="213"/>
      <c r="U243" s="146">
        <f t="shared" si="67"/>
        <v>9.5790084190465349E-2</v>
      </c>
      <c r="W243" s="213">
        <f t="shared" si="66"/>
        <v>13944.285714285714</v>
      </c>
      <c r="X243" s="36">
        <f t="shared" si="59"/>
        <v>375.57142857142856</v>
      </c>
    </row>
    <row r="244" spans="1:24" x14ac:dyDescent="0.25">
      <c r="A244" s="158">
        <v>44132</v>
      </c>
      <c r="B244" s="16">
        <v>13924</v>
      </c>
      <c r="C244" s="16">
        <f t="shared" si="60"/>
        <v>1130533</v>
      </c>
      <c r="D244" s="205">
        <v>345</v>
      </c>
      <c r="E244" s="206">
        <f t="shared" ref="E244:E275" si="68">E243+D244</f>
        <v>30069</v>
      </c>
      <c r="F244" s="207">
        <v>931147</v>
      </c>
      <c r="G244" s="206">
        <v>5037</v>
      </c>
      <c r="H244" s="206">
        <v>32827</v>
      </c>
      <c r="I244" s="206">
        <f t="shared" ref="I244:I267" si="69">I243+H244</f>
        <v>2915776</v>
      </c>
      <c r="J244" s="206">
        <v>2109</v>
      </c>
      <c r="K244" s="240">
        <v>1406416</v>
      </c>
      <c r="L244" s="206">
        <f t="shared" si="65"/>
        <v>1408525</v>
      </c>
      <c r="M244" s="208">
        <v>8959</v>
      </c>
      <c r="N244" s="208">
        <v>219233</v>
      </c>
      <c r="O244" s="208">
        <v>777424</v>
      </c>
      <c r="P244" s="206">
        <f t="shared" si="63"/>
        <v>124917</v>
      </c>
      <c r="Q244" s="207">
        <f t="shared" si="55"/>
        <v>9803</v>
      </c>
      <c r="R244" s="72">
        <f t="shared" si="56"/>
        <v>2.97489324757703E-2</v>
      </c>
      <c r="S244" s="62" t="e">
        <f>E244/#REF!</f>
        <v>#REF!</v>
      </c>
      <c r="T244" s="213"/>
      <c r="U244" s="146">
        <f t="shared" si="67"/>
        <v>8.9854192273395514E-2</v>
      </c>
      <c r="V244" s="95">
        <f t="shared" ref="V244:V284" si="70">C231*0.03</f>
        <v>28471.89</v>
      </c>
      <c r="W244" s="213">
        <f t="shared" si="66"/>
        <v>13315.428571428571</v>
      </c>
      <c r="X244" s="36">
        <f t="shared" si="59"/>
        <v>364.42857142857144</v>
      </c>
    </row>
    <row r="245" spans="1:24" x14ac:dyDescent="0.25">
      <c r="A245" s="158">
        <v>44133</v>
      </c>
      <c r="B245" s="16">
        <v>13267</v>
      </c>
      <c r="C245" s="16">
        <f t="shared" si="60"/>
        <v>1143800</v>
      </c>
      <c r="D245" s="205">
        <v>372</v>
      </c>
      <c r="E245" s="206">
        <f t="shared" si="68"/>
        <v>30441</v>
      </c>
      <c r="F245" s="207">
        <v>946134</v>
      </c>
      <c r="G245" s="206">
        <v>4981</v>
      </c>
      <c r="H245" s="206">
        <v>31568</v>
      </c>
      <c r="I245" s="206">
        <f t="shared" si="69"/>
        <v>2947344</v>
      </c>
      <c r="J245" s="206">
        <v>2160</v>
      </c>
      <c r="K245" s="206">
        <v>1420288</v>
      </c>
      <c r="L245" s="206">
        <f t="shared" si="65"/>
        <v>1422448</v>
      </c>
      <c r="M245" s="206">
        <v>9010</v>
      </c>
      <c r="N245" s="206">
        <v>221851</v>
      </c>
      <c r="O245" s="206">
        <v>788337</v>
      </c>
      <c r="P245" s="206">
        <f t="shared" si="63"/>
        <v>124602</v>
      </c>
      <c r="Q245" s="207">
        <f t="shared" si="55"/>
        <v>14987</v>
      </c>
      <c r="R245" s="72">
        <f t="shared" si="56"/>
        <v>2.9786216175811033E-2</v>
      </c>
      <c r="S245" s="62">
        <f>E245/C225</f>
        <v>3.4930714610289765E-2</v>
      </c>
      <c r="T245" s="213"/>
      <c r="U245" s="146">
        <f t="shared" si="67"/>
        <v>8.5559720969961561E-2</v>
      </c>
      <c r="V245" s="95">
        <f t="shared" si="70"/>
        <v>28968.27</v>
      </c>
      <c r="W245" s="213">
        <f t="shared" si="66"/>
        <v>12878.571428571429</v>
      </c>
      <c r="X245" s="36">
        <f t="shared" si="59"/>
        <v>355.14285714285717</v>
      </c>
    </row>
    <row r="246" spans="1:24" x14ac:dyDescent="0.25">
      <c r="A246" s="158">
        <v>44134</v>
      </c>
      <c r="B246" s="16">
        <v>13379</v>
      </c>
      <c r="C246" s="16">
        <f t="shared" si="60"/>
        <v>1157179</v>
      </c>
      <c r="D246" s="205">
        <v>349</v>
      </c>
      <c r="E246" s="206">
        <f t="shared" si="68"/>
        <v>30790</v>
      </c>
      <c r="F246" s="207">
        <v>961101</v>
      </c>
      <c r="G246" s="206">
        <v>4981</v>
      </c>
      <c r="H246" s="206">
        <v>32761</v>
      </c>
      <c r="I246" s="206">
        <f t="shared" si="69"/>
        <v>2980105</v>
      </c>
      <c r="J246" s="206">
        <v>2198</v>
      </c>
      <c r="K246" s="206">
        <v>1435121</v>
      </c>
      <c r="L246" s="206">
        <f t="shared" si="65"/>
        <v>1437319</v>
      </c>
      <c r="M246" s="206">
        <v>9073</v>
      </c>
      <c r="N246" s="206">
        <v>224367</v>
      </c>
      <c r="O246" s="206">
        <v>799735</v>
      </c>
      <c r="P246" s="206">
        <f t="shared" si="63"/>
        <v>124004</v>
      </c>
      <c r="Q246" s="207">
        <f t="shared" si="55"/>
        <v>14967</v>
      </c>
      <c r="R246" s="72">
        <f t="shared" si="56"/>
        <v>3.0135279028120614E-2</v>
      </c>
      <c r="S246" s="62">
        <f>E246/C226</f>
        <v>3.4834966658445356E-2</v>
      </c>
      <c r="T246" s="213"/>
      <c r="U246" s="146">
        <f t="shared" si="67"/>
        <v>8.2114856625595672E-2</v>
      </c>
      <c r="V246" s="95">
        <f t="shared" si="70"/>
        <v>29373.57</v>
      </c>
      <c r="W246" s="213">
        <f t="shared" si="66"/>
        <v>12544.428571428571</v>
      </c>
      <c r="X246" s="36">
        <f t="shared" si="59"/>
        <v>350.42857142857144</v>
      </c>
    </row>
    <row r="247" spans="1:24" x14ac:dyDescent="0.25">
      <c r="A247" s="158">
        <v>44135</v>
      </c>
      <c r="B247" s="16">
        <v>9745</v>
      </c>
      <c r="C247" s="16">
        <f t="shared" si="60"/>
        <v>1166924</v>
      </c>
      <c r="D247" s="205">
        <v>210</v>
      </c>
      <c r="E247" s="206">
        <f t="shared" si="68"/>
        <v>31000</v>
      </c>
      <c r="F247" s="207">
        <v>973939</v>
      </c>
      <c r="G247" s="206">
        <v>4969</v>
      </c>
      <c r="H247" s="206">
        <v>26699</v>
      </c>
      <c r="I247" s="206">
        <f t="shared" si="69"/>
        <v>3006804</v>
      </c>
      <c r="J247" s="208">
        <v>2357</v>
      </c>
      <c r="K247" s="208">
        <v>1447945</v>
      </c>
      <c r="L247" s="206">
        <f t="shared" si="65"/>
        <v>1450302</v>
      </c>
      <c r="M247" s="208">
        <v>9103</v>
      </c>
      <c r="N247" s="208">
        <v>225845</v>
      </c>
      <c r="O247" s="208">
        <v>808139</v>
      </c>
      <c r="P247" s="206">
        <f t="shared" si="63"/>
        <v>123837</v>
      </c>
      <c r="Q247" s="207">
        <f t="shared" si="55"/>
        <v>12838</v>
      </c>
      <c r="R247" s="72">
        <f t="shared" si="56"/>
        <v>3.0675679846899406E-2</v>
      </c>
      <c r="S247" s="62">
        <f>E247/C227</f>
        <v>3.4667626922655403E-2</v>
      </c>
      <c r="T247" s="213"/>
      <c r="U247" s="146">
        <f t="shared" si="67"/>
        <v>7.9150236374262953E-2</v>
      </c>
      <c r="V247" s="95">
        <f t="shared" si="70"/>
        <v>29690.399999999998</v>
      </c>
      <c r="W247" s="213">
        <f t="shared" si="66"/>
        <v>12226.857142857143</v>
      </c>
      <c r="X247" s="36">
        <f t="shared" si="59"/>
        <v>341.28571428571428</v>
      </c>
    </row>
    <row r="248" spans="1:24" x14ac:dyDescent="0.25">
      <c r="A248" s="158">
        <v>44136</v>
      </c>
      <c r="B248" s="16">
        <v>6609</v>
      </c>
      <c r="C248" s="16">
        <f t="shared" si="60"/>
        <v>1173533</v>
      </c>
      <c r="D248" s="205">
        <v>135</v>
      </c>
      <c r="E248" s="206">
        <f t="shared" si="68"/>
        <v>31135</v>
      </c>
      <c r="F248" s="207">
        <v>985316</v>
      </c>
      <c r="G248" s="206">
        <v>5119</v>
      </c>
      <c r="H248" s="206">
        <v>15645</v>
      </c>
      <c r="I248" s="206">
        <f t="shared" si="69"/>
        <v>3022449</v>
      </c>
      <c r="J248" s="208">
        <v>2393</v>
      </c>
      <c r="K248" s="208">
        <v>1455146</v>
      </c>
      <c r="L248" s="206">
        <f t="shared" si="65"/>
        <v>1457539</v>
      </c>
      <c r="M248" s="208">
        <v>9123</v>
      </c>
      <c r="N248" s="208">
        <v>226864</v>
      </c>
      <c r="O248" s="208">
        <v>813376</v>
      </c>
      <c r="P248" s="206">
        <f t="shared" si="63"/>
        <v>124170</v>
      </c>
      <c r="Q248" s="207">
        <f t="shared" si="55"/>
        <v>11377</v>
      </c>
      <c r="R248" s="72">
        <f t="shared" si="56"/>
        <v>3.2588075018143391E-2</v>
      </c>
      <c r="S248" s="62">
        <f>E248/C228</f>
        <v>3.4451661447556237E-2</v>
      </c>
      <c r="T248" s="213"/>
      <c r="U248" s="146">
        <f t="shared" si="67"/>
        <v>7.6054315603770073E-2</v>
      </c>
      <c r="V248" s="95">
        <f t="shared" si="70"/>
        <v>30079.86</v>
      </c>
      <c r="W248" s="213">
        <f t="shared" si="66"/>
        <v>11849.142857142857</v>
      </c>
      <c r="X248" s="36">
        <f t="shared" si="59"/>
        <v>320.14285714285717</v>
      </c>
    </row>
    <row r="249" spans="1:24" x14ac:dyDescent="0.25">
      <c r="A249" s="158">
        <v>44137</v>
      </c>
      <c r="B249" s="16">
        <v>9598</v>
      </c>
      <c r="C249" s="16">
        <f t="shared" si="60"/>
        <v>1183131</v>
      </c>
      <c r="D249" s="205">
        <v>482</v>
      </c>
      <c r="E249" s="206">
        <f t="shared" si="68"/>
        <v>31617</v>
      </c>
      <c r="F249" s="207">
        <v>998016</v>
      </c>
      <c r="G249" s="206">
        <v>4992</v>
      </c>
      <c r="H249" s="206">
        <v>249864</v>
      </c>
      <c r="I249" s="206">
        <f t="shared" si="69"/>
        <v>3272313</v>
      </c>
      <c r="J249" s="208">
        <v>2514</v>
      </c>
      <c r="K249" s="208">
        <v>1467420</v>
      </c>
      <c r="L249" s="206">
        <f t="shared" si="65"/>
        <v>1469934</v>
      </c>
      <c r="M249" s="208">
        <v>9159</v>
      </c>
      <c r="N249" s="208">
        <v>229301</v>
      </c>
      <c r="O249" s="208">
        <v>822808</v>
      </c>
      <c r="P249" s="206">
        <f t="shared" si="63"/>
        <v>121863</v>
      </c>
      <c r="Q249" s="207">
        <f t="shared" si="55"/>
        <v>12700</v>
      </c>
      <c r="R249" s="9">
        <f t="shared" ref="R249:R285" si="71">G249-G248</f>
        <v>-127</v>
      </c>
      <c r="S249" s="4"/>
      <c r="T249" s="213"/>
      <c r="U249" s="146">
        <f t="shared" si="67"/>
        <v>7.3328428441959137E-2</v>
      </c>
      <c r="V249" s="95">
        <f t="shared" si="70"/>
        <v>30569.969999999998</v>
      </c>
      <c r="W249" s="213">
        <f t="shared" si="66"/>
        <v>11547.142857142857</v>
      </c>
      <c r="X249" s="36">
        <f t="shared" si="59"/>
        <v>331.14285714285717</v>
      </c>
    </row>
    <row r="250" spans="1:24" x14ac:dyDescent="0.25">
      <c r="A250" s="158">
        <v>44138</v>
      </c>
      <c r="B250" s="16">
        <v>12145</v>
      </c>
      <c r="C250" s="16">
        <f t="shared" si="60"/>
        <v>1195276</v>
      </c>
      <c r="D250" s="205">
        <v>430</v>
      </c>
      <c r="E250" s="206">
        <f t="shared" si="68"/>
        <v>32047</v>
      </c>
      <c r="F250" s="207">
        <v>1009278</v>
      </c>
      <c r="G250" s="206">
        <v>4854</v>
      </c>
      <c r="H250" s="206">
        <v>30999</v>
      </c>
      <c r="I250" s="206">
        <f t="shared" si="69"/>
        <v>3303312</v>
      </c>
      <c r="J250" s="208">
        <v>2583</v>
      </c>
      <c r="K250" s="208">
        <v>1482833</v>
      </c>
      <c r="L250" s="206">
        <f t="shared" si="65"/>
        <v>1485416</v>
      </c>
      <c r="M250" s="208">
        <v>9211</v>
      </c>
      <c r="N250" s="208">
        <v>232229</v>
      </c>
      <c r="O250" s="208">
        <v>832741</v>
      </c>
      <c r="P250" s="206">
        <f t="shared" si="63"/>
        <v>121095</v>
      </c>
      <c r="Q250" s="207">
        <f t="shared" si="55"/>
        <v>11262</v>
      </c>
      <c r="R250" s="9">
        <f t="shared" si="71"/>
        <v>-138</v>
      </c>
      <c r="S250" s="4"/>
      <c r="T250" s="213"/>
      <c r="U250" s="146">
        <f t="shared" si="67"/>
        <v>7.0451697953356998E-2</v>
      </c>
      <c r="V250" s="95">
        <f t="shared" si="70"/>
        <v>31119.75</v>
      </c>
      <c r="W250" s="213">
        <f t="shared" si="66"/>
        <v>11238.142857142857</v>
      </c>
      <c r="X250" s="36">
        <f t="shared" si="59"/>
        <v>331.85714285714283</v>
      </c>
    </row>
    <row r="251" spans="1:24" x14ac:dyDescent="0.25">
      <c r="A251" s="158">
        <v>44139</v>
      </c>
      <c r="B251" s="16">
        <v>10652</v>
      </c>
      <c r="C251" s="16">
        <f t="shared" si="60"/>
        <v>1205928</v>
      </c>
      <c r="D251" s="205">
        <v>465</v>
      </c>
      <c r="E251" s="206">
        <f t="shared" si="68"/>
        <v>32512</v>
      </c>
      <c r="F251" s="207">
        <v>1017647</v>
      </c>
      <c r="G251" s="206">
        <v>4816</v>
      </c>
      <c r="H251" s="206">
        <v>36435</v>
      </c>
      <c r="I251" s="206">
        <f t="shared" si="69"/>
        <v>3339747</v>
      </c>
      <c r="J251" s="208">
        <v>2640</v>
      </c>
      <c r="K251" s="208">
        <v>1503103</v>
      </c>
      <c r="L251" s="206">
        <f t="shared" si="65"/>
        <v>1505743</v>
      </c>
      <c r="M251" s="208">
        <v>9251</v>
      </c>
      <c r="N251" s="208">
        <v>234718</v>
      </c>
      <c r="O251" s="208">
        <v>842950</v>
      </c>
      <c r="P251" s="206">
        <f t="shared" si="63"/>
        <v>119009</v>
      </c>
      <c r="Q251" s="207">
        <f t="shared" si="55"/>
        <v>8369</v>
      </c>
      <c r="R251" s="79">
        <f t="shared" si="71"/>
        <v>-38</v>
      </c>
      <c r="S251" s="4"/>
      <c r="T251" s="213"/>
      <c r="U251" s="146">
        <f t="shared" si="67"/>
        <v>6.6689782606965037E-2</v>
      </c>
      <c r="V251" s="95">
        <f t="shared" si="70"/>
        <v>31609.5</v>
      </c>
      <c r="W251" s="213">
        <f t="shared" si="66"/>
        <v>10770.714285714286</v>
      </c>
      <c r="X251" s="36">
        <f t="shared" si="59"/>
        <v>349</v>
      </c>
    </row>
    <row r="252" spans="1:24" x14ac:dyDescent="0.25">
      <c r="A252" s="158">
        <v>44140</v>
      </c>
      <c r="B252" s="16">
        <v>11100</v>
      </c>
      <c r="C252" s="16">
        <f t="shared" si="60"/>
        <v>1217028</v>
      </c>
      <c r="D252" s="205">
        <v>247</v>
      </c>
      <c r="E252" s="206">
        <f t="shared" si="68"/>
        <v>32759</v>
      </c>
      <c r="F252" s="207">
        <v>1030137</v>
      </c>
      <c r="G252" s="206">
        <v>4713</v>
      </c>
      <c r="H252" s="206">
        <v>28900</v>
      </c>
      <c r="I252" s="206">
        <f t="shared" si="69"/>
        <v>3368647</v>
      </c>
      <c r="J252" s="208">
        <v>2667</v>
      </c>
      <c r="K252" s="208">
        <v>1516132</v>
      </c>
      <c r="L252" s="206">
        <f t="shared" si="65"/>
        <v>1518799</v>
      </c>
      <c r="M252" s="208">
        <v>9294</v>
      </c>
      <c r="N252" s="208">
        <v>237018</v>
      </c>
      <c r="O252" s="208">
        <v>851916</v>
      </c>
      <c r="P252" s="206">
        <f t="shared" si="63"/>
        <v>118800</v>
      </c>
      <c r="Q252" s="207">
        <f t="shared" ref="Q252:Q285" si="72">F252-F251</f>
        <v>12490</v>
      </c>
      <c r="R252" s="79">
        <f t="shared" si="71"/>
        <v>-103</v>
      </c>
      <c r="S252" s="4"/>
      <c r="T252" s="213"/>
      <c r="U252" s="146">
        <f t="shared" si="67"/>
        <v>6.4021682112257394E-2</v>
      </c>
      <c r="V252" s="95">
        <f t="shared" si="70"/>
        <v>32081.039999999997</v>
      </c>
      <c r="W252" s="213">
        <f t="shared" si="66"/>
        <v>10461.142857142857</v>
      </c>
      <c r="X252" s="36">
        <f t="shared" si="59"/>
        <v>331.14285714285717</v>
      </c>
    </row>
    <row r="253" spans="1:24" x14ac:dyDescent="0.25">
      <c r="A253" s="158">
        <v>44141</v>
      </c>
      <c r="B253" s="16">
        <v>11786</v>
      </c>
      <c r="C253" s="16">
        <f t="shared" si="60"/>
        <v>1228814</v>
      </c>
      <c r="D253" s="205">
        <v>370</v>
      </c>
      <c r="E253" s="206">
        <f t="shared" si="68"/>
        <v>33129</v>
      </c>
      <c r="F253" s="207">
        <v>1042237</v>
      </c>
      <c r="G253" s="206">
        <v>4666</v>
      </c>
      <c r="H253" s="206">
        <v>34727</v>
      </c>
      <c r="I253" s="206">
        <f t="shared" si="69"/>
        <v>3403374</v>
      </c>
      <c r="J253" s="208">
        <v>2702</v>
      </c>
      <c r="K253" s="208">
        <v>1534460</v>
      </c>
      <c r="L253" s="206">
        <f t="shared" si="65"/>
        <v>1537162</v>
      </c>
      <c r="M253" s="208">
        <v>9349</v>
      </c>
      <c r="N253" s="208">
        <v>239488</v>
      </c>
      <c r="O253" s="208">
        <v>861070</v>
      </c>
      <c r="P253" s="206">
        <f t="shared" si="63"/>
        <v>118907</v>
      </c>
      <c r="Q253" s="207">
        <f t="shared" si="72"/>
        <v>12100</v>
      </c>
      <c r="R253" s="79">
        <f t="shared" si="71"/>
        <v>-47</v>
      </c>
      <c r="S253" s="4"/>
      <c r="T253" s="213"/>
      <c r="U253" s="146">
        <f t="shared" si="67"/>
        <v>6.1904856552011403E-2</v>
      </c>
      <c r="V253" s="95">
        <f t="shared" si="70"/>
        <v>32440.079999999998</v>
      </c>
      <c r="W253" s="213">
        <f t="shared" si="66"/>
        <v>10233.571428571429</v>
      </c>
      <c r="X253" s="36">
        <f t="shared" si="59"/>
        <v>334.14285714285717</v>
      </c>
    </row>
    <row r="254" spans="1:24" x14ac:dyDescent="0.25">
      <c r="A254" s="158">
        <v>44142</v>
      </c>
      <c r="B254" s="16">
        <v>8037</v>
      </c>
      <c r="C254" s="16">
        <f t="shared" si="60"/>
        <v>1236851</v>
      </c>
      <c r="D254" s="205">
        <v>212</v>
      </c>
      <c r="E254" s="206">
        <f t="shared" si="68"/>
        <v>33341</v>
      </c>
      <c r="F254" s="207">
        <v>1053313</v>
      </c>
      <c r="G254" s="206">
        <v>4593</v>
      </c>
      <c r="H254" s="206">
        <v>37062</v>
      </c>
      <c r="I254" s="206">
        <f t="shared" si="69"/>
        <v>3440436</v>
      </c>
      <c r="J254" s="208">
        <v>2727</v>
      </c>
      <c r="K254" s="208">
        <v>1559126</v>
      </c>
      <c r="L254" s="211">
        <f t="shared" si="65"/>
        <v>1561853</v>
      </c>
      <c r="M254" s="242">
        <v>9387</v>
      </c>
      <c r="N254" s="242">
        <v>240865</v>
      </c>
      <c r="O254" s="242">
        <v>866690</v>
      </c>
      <c r="P254" s="211">
        <f t="shared" si="63"/>
        <v>119909</v>
      </c>
      <c r="Q254" s="212">
        <f t="shared" si="72"/>
        <v>11076</v>
      </c>
      <c r="R254" s="134">
        <f t="shared" si="71"/>
        <v>-73</v>
      </c>
      <c r="S254" s="4"/>
      <c r="T254" s="213"/>
      <c r="U254" s="146">
        <f t="shared" si="67"/>
        <v>5.9924211002601709E-2</v>
      </c>
      <c r="V254" s="95">
        <f t="shared" si="70"/>
        <v>32717.67</v>
      </c>
      <c r="W254" s="213">
        <f t="shared" si="66"/>
        <v>9989.5714285714294</v>
      </c>
      <c r="X254" s="36">
        <f t="shared" si="59"/>
        <v>334.42857142857144</v>
      </c>
    </row>
    <row r="255" spans="1:24" x14ac:dyDescent="0.25">
      <c r="A255" s="158">
        <v>44143</v>
      </c>
      <c r="B255" s="16">
        <v>5331</v>
      </c>
      <c r="C255" s="16">
        <f t="shared" si="60"/>
        <v>1242182</v>
      </c>
      <c r="D255" s="205">
        <v>211</v>
      </c>
      <c r="E255" s="206">
        <f t="shared" si="68"/>
        <v>33552</v>
      </c>
      <c r="F255" s="207">
        <v>1062911</v>
      </c>
      <c r="G255" s="206">
        <v>4608</v>
      </c>
      <c r="H255" s="206">
        <v>14025</v>
      </c>
      <c r="I255" s="206">
        <f t="shared" si="69"/>
        <v>3454461</v>
      </c>
      <c r="J255" s="208">
        <v>2760</v>
      </c>
      <c r="K255" s="208">
        <v>1566231</v>
      </c>
      <c r="L255" s="206">
        <f t="shared" si="65"/>
        <v>1568991</v>
      </c>
      <c r="M255" s="208">
        <v>9403</v>
      </c>
      <c r="N255" s="208">
        <v>241673</v>
      </c>
      <c r="O255" s="208">
        <v>871132</v>
      </c>
      <c r="P255" s="206">
        <f t="shared" si="63"/>
        <v>119974</v>
      </c>
      <c r="Q255" s="207">
        <f t="shared" si="72"/>
        <v>9598</v>
      </c>
      <c r="R255" s="79">
        <f t="shared" si="71"/>
        <v>15</v>
      </c>
      <c r="S255" s="4"/>
      <c r="T255" s="213"/>
      <c r="U255" s="146">
        <f t="shared" si="67"/>
        <v>5.8497715871645706E-2</v>
      </c>
      <c r="V255" s="95">
        <f t="shared" si="70"/>
        <v>33069.03</v>
      </c>
      <c r="W255" s="213">
        <f t="shared" si="66"/>
        <v>9807</v>
      </c>
      <c r="X255" s="36">
        <f t="shared" si="59"/>
        <v>345.28571428571428</v>
      </c>
    </row>
    <row r="256" spans="1:24" x14ac:dyDescent="0.25">
      <c r="A256" s="158">
        <v>44144</v>
      </c>
      <c r="B256" s="16">
        <v>8317</v>
      </c>
      <c r="C256" s="16">
        <f t="shared" si="60"/>
        <v>1250499</v>
      </c>
      <c r="D256" s="205">
        <v>348</v>
      </c>
      <c r="E256" s="206">
        <f t="shared" si="68"/>
        <v>33900</v>
      </c>
      <c r="F256" s="207">
        <v>1073577</v>
      </c>
      <c r="G256" s="206">
        <v>4577</v>
      </c>
      <c r="H256" s="206">
        <v>29570</v>
      </c>
      <c r="I256" s="206">
        <f t="shared" si="69"/>
        <v>3484031</v>
      </c>
      <c r="J256" s="208">
        <v>2798</v>
      </c>
      <c r="K256" s="208">
        <v>1581460</v>
      </c>
      <c r="L256" s="206">
        <f t="shared" si="65"/>
        <v>1584258</v>
      </c>
      <c r="M256" s="208">
        <v>9444</v>
      </c>
      <c r="N256" s="208">
        <v>243982</v>
      </c>
      <c r="O256" s="208">
        <v>878724</v>
      </c>
      <c r="P256" s="206">
        <f t="shared" si="63"/>
        <v>118349</v>
      </c>
      <c r="Q256" s="207">
        <f t="shared" si="72"/>
        <v>10666</v>
      </c>
      <c r="R256" s="79">
        <f t="shared" si="71"/>
        <v>-31</v>
      </c>
      <c r="S256" s="4"/>
      <c r="T256" s="213"/>
      <c r="U256" s="146">
        <f t="shared" si="67"/>
        <v>5.6940440238654889E-2</v>
      </c>
      <c r="V256" s="95">
        <f t="shared" si="70"/>
        <v>33498.269999999997</v>
      </c>
      <c r="W256" s="213">
        <f t="shared" si="66"/>
        <v>9624</v>
      </c>
      <c r="X256" s="36">
        <f t="shared" ref="X256:X285" si="73">AVERAGE(D250:D256)</f>
        <v>326.14285714285717</v>
      </c>
    </row>
    <row r="257" spans="1:24" x14ac:dyDescent="0.25">
      <c r="A257" s="158">
        <v>44145</v>
      </c>
      <c r="B257" s="4">
        <v>11977</v>
      </c>
      <c r="C257" s="16">
        <f t="shared" si="60"/>
        <v>1262476</v>
      </c>
      <c r="D257" s="4">
        <v>279</v>
      </c>
      <c r="E257" s="206">
        <f t="shared" si="68"/>
        <v>34179</v>
      </c>
      <c r="F257" s="207">
        <v>1081897</v>
      </c>
      <c r="G257" s="4">
        <v>4494</v>
      </c>
      <c r="H257" s="4">
        <v>31535</v>
      </c>
      <c r="I257" s="206">
        <f t="shared" si="69"/>
        <v>3515566</v>
      </c>
      <c r="J257" s="7">
        <v>2879</v>
      </c>
      <c r="K257" s="7">
        <v>1599337</v>
      </c>
      <c r="L257" s="206">
        <f t="shared" si="65"/>
        <v>1602216</v>
      </c>
      <c r="M257" s="4">
        <v>9481</v>
      </c>
      <c r="N257" s="4">
        <v>246898</v>
      </c>
      <c r="O257" s="4">
        <v>885833</v>
      </c>
      <c r="P257" s="206">
        <f t="shared" si="63"/>
        <v>120264</v>
      </c>
      <c r="Q257" s="207">
        <f t="shared" si="72"/>
        <v>8320</v>
      </c>
      <c r="R257" s="79">
        <f t="shared" si="71"/>
        <v>-83</v>
      </c>
      <c r="S257" s="4"/>
      <c r="T257" s="213"/>
      <c r="U257" s="146">
        <f t="shared" si="67"/>
        <v>5.6221324614566005E-2</v>
      </c>
      <c r="V257" s="95">
        <f t="shared" si="70"/>
        <v>33915.99</v>
      </c>
      <c r="W257" s="213">
        <f t="shared" si="66"/>
        <v>9600</v>
      </c>
      <c r="X257" s="36">
        <f t="shared" si="73"/>
        <v>304.57142857142856</v>
      </c>
    </row>
    <row r="258" spans="1:24" x14ac:dyDescent="0.25">
      <c r="A258" s="158">
        <v>44146</v>
      </c>
      <c r="B258" s="4">
        <v>10880</v>
      </c>
      <c r="C258" s="16">
        <f t="shared" si="60"/>
        <v>1273356</v>
      </c>
      <c r="D258" s="4">
        <v>348</v>
      </c>
      <c r="E258" s="206">
        <f t="shared" si="68"/>
        <v>34527</v>
      </c>
      <c r="F258" s="198">
        <v>1089529</v>
      </c>
      <c r="G258" s="4">
        <v>4418</v>
      </c>
      <c r="H258" s="4">
        <v>56473</v>
      </c>
      <c r="I258" s="206">
        <f t="shared" si="69"/>
        <v>3572039</v>
      </c>
      <c r="J258" s="7">
        <v>2939</v>
      </c>
      <c r="K258" s="7">
        <v>1635003</v>
      </c>
      <c r="L258" s="206">
        <f t="shared" si="65"/>
        <v>1637942</v>
      </c>
      <c r="M258" s="4">
        <v>9521</v>
      </c>
      <c r="N258" s="4">
        <v>249148</v>
      </c>
      <c r="O258" s="4">
        <v>892532</v>
      </c>
      <c r="P258" s="206">
        <f t="shared" si="63"/>
        <v>122155</v>
      </c>
      <c r="Q258" s="207">
        <f t="shared" si="72"/>
        <v>7632</v>
      </c>
      <c r="R258" s="79">
        <f t="shared" si="71"/>
        <v>-76</v>
      </c>
      <c r="S258" s="4"/>
      <c r="T258" s="213"/>
      <c r="U258" s="146">
        <f t="shared" si="67"/>
        <v>5.5913785897665533E-2</v>
      </c>
      <c r="V258" s="95">
        <f t="shared" si="70"/>
        <v>34314</v>
      </c>
      <c r="W258" s="213">
        <f t="shared" si="66"/>
        <v>9632.5714285714294</v>
      </c>
      <c r="X258" s="36">
        <f t="shared" si="73"/>
        <v>287.85714285714283</v>
      </c>
    </row>
    <row r="259" spans="1:24" x14ac:dyDescent="0.25">
      <c r="A259" s="158">
        <v>44147</v>
      </c>
      <c r="B259" s="4">
        <v>11163</v>
      </c>
      <c r="C259" s="16">
        <f t="shared" si="60"/>
        <v>1284519</v>
      </c>
      <c r="D259" s="4">
        <v>250</v>
      </c>
      <c r="E259" s="206">
        <f t="shared" si="68"/>
        <v>34777</v>
      </c>
      <c r="F259" s="198">
        <v>1100180</v>
      </c>
      <c r="G259" s="4">
        <v>4397</v>
      </c>
      <c r="H259" s="4">
        <v>31520</v>
      </c>
      <c r="I259" s="206">
        <f t="shared" si="69"/>
        <v>3603559</v>
      </c>
      <c r="J259" s="7">
        <v>2991</v>
      </c>
      <c r="K259" s="7">
        <v>1655824</v>
      </c>
      <c r="L259" s="206">
        <f t="shared" si="65"/>
        <v>1658815</v>
      </c>
      <c r="M259" s="4">
        <v>9553</v>
      </c>
      <c r="N259" s="4">
        <v>251515</v>
      </c>
      <c r="O259" s="4">
        <v>901700</v>
      </c>
      <c r="P259" s="206">
        <f t="shared" si="63"/>
        <v>121751</v>
      </c>
      <c r="Q259" s="207">
        <f t="shared" si="72"/>
        <v>10651</v>
      </c>
      <c r="R259" s="79">
        <f t="shared" si="71"/>
        <v>-21</v>
      </c>
      <c r="S259" s="4"/>
      <c r="T259" s="213"/>
      <c r="U259" s="146">
        <f t="shared" si="67"/>
        <v>5.5455585245368227E-2</v>
      </c>
      <c r="V259" s="95">
        <f t="shared" si="70"/>
        <v>34715.369999999995</v>
      </c>
      <c r="W259" s="213">
        <f t="shared" si="66"/>
        <v>9641.5714285714294</v>
      </c>
      <c r="X259" s="36">
        <f t="shared" si="73"/>
        <v>288.28571428571428</v>
      </c>
    </row>
    <row r="260" spans="1:24" x14ac:dyDescent="0.25">
      <c r="A260" s="158">
        <v>44148</v>
      </c>
      <c r="B260" s="4">
        <v>11859</v>
      </c>
      <c r="C260" s="16">
        <f t="shared" ref="C260:C285" si="74">C259+B260</f>
        <v>1296378</v>
      </c>
      <c r="D260" s="4">
        <v>264</v>
      </c>
      <c r="E260" s="16">
        <f t="shared" si="68"/>
        <v>35041</v>
      </c>
      <c r="F260" s="198">
        <v>1110477</v>
      </c>
      <c r="G260" s="4">
        <v>4381</v>
      </c>
      <c r="H260" s="4">
        <v>31738</v>
      </c>
      <c r="I260" s="16">
        <f t="shared" si="69"/>
        <v>3635297</v>
      </c>
      <c r="J260" s="210">
        <v>3104</v>
      </c>
      <c r="K260" s="210">
        <v>1671421</v>
      </c>
      <c r="L260" s="206">
        <f t="shared" si="65"/>
        <v>1674525</v>
      </c>
      <c r="M260" s="9">
        <v>9613</v>
      </c>
      <c r="N260" s="9">
        <v>253981</v>
      </c>
      <c r="O260" s="9">
        <v>910204</v>
      </c>
      <c r="P260" s="206">
        <f t="shared" si="63"/>
        <v>122580</v>
      </c>
      <c r="Q260" s="207">
        <f t="shared" si="72"/>
        <v>10297</v>
      </c>
      <c r="R260" s="79">
        <f t="shared" si="71"/>
        <v>-16</v>
      </c>
      <c r="S260" s="4"/>
      <c r="T260" s="213"/>
      <c r="U260" s="146">
        <f t="shared" si="67"/>
        <v>5.4983097523302958E-2</v>
      </c>
      <c r="V260" s="95">
        <f t="shared" si="70"/>
        <v>35007.72</v>
      </c>
      <c r="W260" s="213">
        <f t="shared" si="66"/>
        <v>9652</v>
      </c>
      <c r="X260" s="36">
        <f t="shared" si="73"/>
        <v>273.14285714285717</v>
      </c>
    </row>
    <row r="261" spans="1:24" x14ac:dyDescent="0.25">
      <c r="A261" s="158">
        <v>44149</v>
      </c>
      <c r="B261" s="4">
        <v>8468</v>
      </c>
      <c r="C261" s="16">
        <f t="shared" si="74"/>
        <v>1304846</v>
      </c>
      <c r="D261" s="4">
        <v>262</v>
      </c>
      <c r="E261" s="16">
        <f t="shared" si="68"/>
        <v>35303</v>
      </c>
      <c r="F261" s="198">
        <v>1119366</v>
      </c>
      <c r="G261" s="4">
        <v>4346</v>
      </c>
      <c r="H261" s="4">
        <v>25314</v>
      </c>
      <c r="I261" s="16">
        <f t="shared" si="69"/>
        <v>3660611</v>
      </c>
      <c r="J261" s="9">
        <v>3156</v>
      </c>
      <c r="K261" s="9">
        <v>1683861</v>
      </c>
      <c r="L261" s="206">
        <f t="shared" si="65"/>
        <v>1687017</v>
      </c>
      <c r="M261" s="9">
        <v>9646</v>
      </c>
      <c r="N261" s="9">
        <v>255493</v>
      </c>
      <c r="O261" s="9">
        <v>915339</v>
      </c>
      <c r="P261" s="206">
        <f t="shared" si="63"/>
        <v>124368</v>
      </c>
      <c r="Q261" s="207">
        <f t="shared" si="72"/>
        <v>8889</v>
      </c>
      <c r="R261" s="79">
        <f t="shared" si="71"/>
        <v>-35</v>
      </c>
      <c r="S261" s="4"/>
      <c r="T261" s="213"/>
      <c r="U261" s="146">
        <f t="shared" si="67"/>
        <v>5.497428550407446E-2</v>
      </c>
      <c r="V261" s="95">
        <f t="shared" si="70"/>
        <v>35205.99</v>
      </c>
      <c r="W261" s="213">
        <f t="shared" si="66"/>
        <v>9713.5714285714294</v>
      </c>
      <c r="X261" s="36">
        <f t="shared" si="73"/>
        <v>280.28571428571428</v>
      </c>
    </row>
    <row r="262" spans="1:24" x14ac:dyDescent="0.25">
      <c r="A262" s="158">
        <v>44150</v>
      </c>
      <c r="B262" s="16">
        <v>5645</v>
      </c>
      <c r="C262" s="16">
        <f t="shared" si="74"/>
        <v>1310491</v>
      </c>
      <c r="D262" s="4">
        <v>128</v>
      </c>
      <c r="E262" s="16">
        <f t="shared" si="68"/>
        <v>35431</v>
      </c>
      <c r="F262" s="198">
        <v>1129102</v>
      </c>
      <c r="G262" s="4">
        <v>4365</v>
      </c>
      <c r="H262" s="4">
        <v>17718</v>
      </c>
      <c r="I262" s="16">
        <f t="shared" si="69"/>
        <v>3678329</v>
      </c>
      <c r="J262" s="9">
        <v>3168</v>
      </c>
      <c r="K262" s="9">
        <v>1693448</v>
      </c>
      <c r="L262" s="206">
        <f t="shared" si="65"/>
        <v>1696616</v>
      </c>
      <c r="M262" s="9">
        <v>9672</v>
      </c>
      <c r="N262" s="9">
        <v>256696</v>
      </c>
      <c r="O262" s="9">
        <v>918729</v>
      </c>
      <c r="P262" s="206">
        <f t="shared" si="63"/>
        <v>125394</v>
      </c>
      <c r="Q262" s="207">
        <f t="shared" si="72"/>
        <v>9736</v>
      </c>
      <c r="R262" s="79">
        <f t="shared" si="71"/>
        <v>19</v>
      </c>
      <c r="S262" s="4"/>
      <c r="T262" s="218">
        <v>2.7E-2</v>
      </c>
      <c r="U262" s="146">
        <f t="shared" si="67"/>
        <v>5.499113656452919E-2</v>
      </c>
      <c r="V262" s="95">
        <f t="shared" si="70"/>
        <v>35493.93</v>
      </c>
      <c r="W262" s="213">
        <f t="shared" si="66"/>
        <v>9758.4285714285706</v>
      </c>
      <c r="X262" s="36">
        <f t="shared" si="73"/>
        <v>268.42857142857144</v>
      </c>
    </row>
    <row r="263" spans="1:24" x14ac:dyDescent="0.25">
      <c r="A263" s="158">
        <v>44151</v>
      </c>
      <c r="B263" s="4">
        <v>7893</v>
      </c>
      <c r="C263" s="16">
        <f t="shared" si="74"/>
        <v>1318384</v>
      </c>
      <c r="D263" s="4">
        <v>292</v>
      </c>
      <c r="E263" s="16">
        <f t="shared" si="68"/>
        <v>35723</v>
      </c>
      <c r="F263" s="198">
        <v>1140196</v>
      </c>
      <c r="G263" s="4">
        <v>4322</v>
      </c>
      <c r="H263" s="4">
        <v>21572</v>
      </c>
      <c r="I263" s="16">
        <f t="shared" si="69"/>
        <v>3699901</v>
      </c>
      <c r="J263" s="7">
        <v>3225</v>
      </c>
      <c r="K263" s="7">
        <v>1704129</v>
      </c>
      <c r="L263" s="206">
        <f t="shared" si="65"/>
        <v>1707354</v>
      </c>
      <c r="M263" s="4">
        <v>9692</v>
      </c>
      <c r="N263" s="4">
        <v>258870</v>
      </c>
      <c r="O263" s="4">
        <v>926820</v>
      </c>
      <c r="P263" s="206">
        <f t="shared" si="63"/>
        <v>123002</v>
      </c>
      <c r="Q263" s="207">
        <f t="shared" si="72"/>
        <v>11094</v>
      </c>
      <c r="R263" s="79">
        <f t="shared" si="71"/>
        <v>-43</v>
      </c>
      <c r="S263" s="4"/>
      <c r="T263" s="218">
        <v>2.7E-2</v>
      </c>
      <c r="U263" s="146">
        <f t="shared" si="67"/>
        <v>5.4286328897504114E-2</v>
      </c>
      <c r="V263" s="95">
        <f t="shared" si="70"/>
        <v>35858.28</v>
      </c>
      <c r="W263" s="213">
        <f t="shared" si="66"/>
        <v>9697.8571428571431</v>
      </c>
      <c r="X263" s="36">
        <f t="shared" si="73"/>
        <v>260.42857142857144</v>
      </c>
    </row>
    <row r="264" spans="1:24" x14ac:dyDescent="0.25">
      <c r="A264" s="158">
        <v>44152</v>
      </c>
      <c r="B264" s="4">
        <v>10621</v>
      </c>
      <c r="C264" s="16">
        <f t="shared" si="74"/>
        <v>1329005</v>
      </c>
      <c r="D264" s="4">
        <v>379</v>
      </c>
      <c r="E264" s="16">
        <f t="shared" si="68"/>
        <v>36102</v>
      </c>
      <c r="F264" s="198">
        <v>1148833</v>
      </c>
      <c r="G264" s="4">
        <v>4379</v>
      </c>
      <c r="H264" s="4">
        <v>34573</v>
      </c>
      <c r="I264" s="16">
        <f t="shared" si="69"/>
        <v>3734474</v>
      </c>
      <c r="J264" s="7">
        <v>3279</v>
      </c>
      <c r="K264" s="7">
        <v>1716729</v>
      </c>
      <c r="L264" s="206">
        <f t="shared" si="65"/>
        <v>1720008</v>
      </c>
      <c r="M264" s="4">
        <v>9722</v>
      </c>
      <c r="N264" s="4">
        <v>261348</v>
      </c>
      <c r="O264" s="4">
        <v>934997</v>
      </c>
      <c r="P264" s="206">
        <f t="shared" si="63"/>
        <v>122938</v>
      </c>
      <c r="Q264" s="207">
        <f t="shared" si="72"/>
        <v>8637</v>
      </c>
      <c r="R264" s="79">
        <f t="shared" si="71"/>
        <v>57</v>
      </c>
      <c r="S264" s="4"/>
      <c r="T264" s="218">
        <v>2.7E-2</v>
      </c>
      <c r="U264" s="146">
        <f t="shared" si="67"/>
        <v>5.2697239393065691E-2</v>
      </c>
      <c r="V264" s="95">
        <f t="shared" si="70"/>
        <v>36177.839999999997</v>
      </c>
      <c r="W264" s="213">
        <f t="shared" si="66"/>
        <v>9504.1428571428569</v>
      </c>
      <c r="X264" s="36">
        <f t="shared" si="73"/>
        <v>274.71428571428572</v>
      </c>
    </row>
    <row r="265" spans="1:24" x14ac:dyDescent="0.25">
      <c r="A265" s="158">
        <v>44153</v>
      </c>
      <c r="B265" s="4">
        <v>10332</v>
      </c>
      <c r="C265" s="16">
        <f t="shared" si="74"/>
        <v>1339337</v>
      </c>
      <c r="D265" s="4">
        <v>241</v>
      </c>
      <c r="E265" s="16">
        <f t="shared" si="68"/>
        <v>36343</v>
      </c>
      <c r="F265" s="198">
        <v>1156474</v>
      </c>
      <c r="G265" s="4">
        <v>4267</v>
      </c>
      <c r="H265" s="4">
        <v>34573</v>
      </c>
      <c r="I265" s="16">
        <f t="shared" si="69"/>
        <v>3769047</v>
      </c>
      <c r="J265" s="7">
        <v>3346</v>
      </c>
      <c r="K265" s="7">
        <v>1734731</v>
      </c>
      <c r="L265" s="206">
        <f t="shared" si="65"/>
        <v>1738077</v>
      </c>
      <c r="M265" s="4">
        <v>9766</v>
      </c>
      <c r="N265" s="4">
        <v>264014</v>
      </c>
      <c r="O265" s="4">
        <v>943339</v>
      </c>
      <c r="P265" s="206">
        <f t="shared" si="63"/>
        <v>122218</v>
      </c>
      <c r="Q265" s="207">
        <f t="shared" si="72"/>
        <v>7641</v>
      </c>
      <c r="R265" s="79">
        <f t="shared" si="71"/>
        <v>-112</v>
      </c>
      <c r="S265" s="4"/>
      <c r="T265" s="218">
        <v>2.7E-2</v>
      </c>
      <c r="U265" s="146">
        <f t="shared" si="67"/>
        <v>5.1816616876977056E-2</v>
      </c>
      <c r="V265" s="95">
        <f t="shared" si="70"/>
        <v>36510.839999999997</v>
      </c>
      <c r="W265" s="213">
        <f t="shared" si="66"/>
        <v>9425.8571428571431</v>
      </c>
      <c r="X265" s="36">
        <f t="shared" si="73"/>
        <v>259.42857142857144</v>
      </c>
    </row>
    <row r="266" spans="1:24" x14ac:dyDescent="0.25">
      <c r="A266" s="158">
        <v>44154</v>
      </c>
      <c r="B266" s="4">
        <v>10097</v>
      </c>
      <c r="C266" s="16">
        <f t="shared" si="74"/>
        <v>1349434</v>
      </c>
      <c r="D266" s="4">
        <v>184</v>
      </c>
      <c r="E266" s="16">
        <f t="shared" si="68"/>
        <v>36527</v>
      </c>
      <c r="F266" s="198">
        <v>1167514</v>
      </c>
      <c r="G266" s="4">
        <v>4292</v>
      </c>
      <c r="H266" s="4">
        <v>48691</v>
      </c>
      <c r="I266" s="16">
        <f t="shared" si="69"/>
        <v>3817738</v>
      </c>
      <c r="J266" s="7">
        <v>3474</v>
      </c>
      <c r="K266" s="7">
        <v>1767560</v>
      </c>
      <c r="L266" s="206">
        <f t="shared" si="65"/>
        <v>1771034</v>
      </c>
      <c r="M266" s="4">
        <v>9802</v>
      </c>
      <c r="N266" s="4">
        <v>266642</v>
      </c>
      <c r="O266" s="4">
        <v>951081</v>
      </c>
      <c r="P266" s="206">
        <f t="shared" si="63"/>
        <v>121909</v>
      </c>
      <c r="Q266" s="207">
        <f t="shared" si="72"/>
        <v>11040</v>
      </c>
      <c r="R266" s="79">
        <f t="shared" si="71"/>
        <v>25</v>
      </c>
      <c r="S266" s="4"/>
      <c r="T266" s="218">
        <v>2.7E-2</v>
      </c>
      <c r="U266" s="146">
        <f t="shared" si="67"/>
        <v>5.0536426475591249E-2</v>
      </c>
      <c r="V266" s="95">
        <f t="shared" si="70"/>
        <v>36864.42</v>
      </c>
      <c r="W266" s="213">
        <f t="shared" si="66"/>
        <v>9273.5714285714294</v>
      </c>
      <c r="X266" s="36">
        <f t="shared" si="73"/>
        <v>250</v>
      </c>
    </row>
    <row r="267" spans="1:24" x14ac:dyDescent="0.25">
      <c r="A267" s="158">
        <v>44155</v>
      </c>
      <c r="B267" s="4">
        <v>9608</v>
      </c>
      <c r="C267" s="16">
        <f t="shared" si="74"/>
        <v>1359042</v>
      </c>
      <c r="D267" s="4">
        <v>261</v>
      </c>
      <c r="E267" s="16">
        <f t="shared" si="68"/>
        <v>36788</v>
      </c>
      <c r="F267" s="198">
        <v>1177819</v>
      </c>
      <c r="G267" s="4">
        <v>4187</v>
      </c>
      <c r="H267" s="4">
        <v>37816</v>
      </c>
      <c r="I267" s="16">
        <f t="shared" si="69"/>
        <v>3855554</v>
      </c>
      <c r="J267" s="7">
        <v>3601</v>
      </c>
      <c r="K267" s="7">
        <v>1789964</v>
      </c>
      <c r="L267" s="206">
        <f t="shared" si="65"/>
        <v>1793565</v>
      </c>
      <c r="M267" s="4">
        <v>9840</v>
      </c>
      <c r="N267" s="4">
        <v>268940</v>
      </c>
      <c r="O267" s="4">
        <v>957937</v>
      </c>
      <c r="P267" s="206">
        <f t="shared" si="63"/>
        <v>122325</v>
      </c>
      <c r="Q267" s="207">
        <f t="shared" si="72"/>
        <v>10305</v>
      </c>
      <c r="R267" s="79">
        <f t="shared" si="71"/>
        <v>-105</v>
      </c>
      <c r="S267" s="4"/>
      <c r="T267" s="218">
        <v>2.7E-2</v>
      </c>
      <c r="U267" s="146">
        <f t="shared" si="67"/>
        <v>4.8337753340460886E-2</v>
      </c>
      <c r="V267" s="95">
        <f t="shared" si="70"/>
        <v>37105.53</v>
      </c>
      <c r="W267" s="213">
        <f t="shared" si="66"/>
        <v>8952</v>
      </c>
      <c r="X267" s="36">
        <f t="shared" si="73"/>
        <v>249.57142857142858</v>
      </c>
    </row>
    <row r="268" spans="1:24" x14ac:dyDescent="0.25">
      <c r="A268" s="158">
        <v>44156</v>
      </c>
      <c r="B268" s="4">
        <v>7140</v>
      </c>
      <c r="C268" s="16">
        <f t="shared" si="74"/>
        <v>1366182</v>
      </c>
      <c r="D268" s="4">
        <v>112</v>
      </c>
      <c r="E268" s="16">
        <f t="shared" si="68"/>
        <v>36900</v>
      </c>
      <c r="F268" s="198">
        <v>1187053</v>
      </c>
      <c r="G268" s="4">
        <v>4132</v>
      </c>
      <c r="H268" s="4">
        <v>39055</v>
      </c>
      <c r="I268" s="16">
        <v>3661948</v>
      </c>
      <c r="J268" s="7">
        <v>3625</v>
      </c>
      <c r="K268" s="7">
        <v>1815364</v>
      </c>
      <c r="L268" s="206">
        <f t="shared" si="65"/>
        <v>1818989</v>
      </c>
      <c r="M268" s="4">
        <v>9862</v>
      </c>
      <c r="N268" s="4">
        <v>270149</v>
      </c>
      <c r="O268" s="4">
        <v>962192</v>
      </c>
      <c r="P268" s="206">
        <f t="shared" ref="P268:P284" si="75">C268-M268-N268-O268</f>
        <v>123979</v>
      </c>
      <c r="Q268" s="207">
        <f t="shared" si="72"/>
        <v>9234</v>
      </c>
      <c r="R268" s="79">
        <f t="shared" si="71"/>
        <v>-55</v>
      </c>
      <c r="S268" s="4"/>
      <c r="T268" s="218">
        <v>2.7E-2</v>
      </c>
      <c r="U268" s="146">
        <f t="shared" si="67"/>
        <v>4.7006313388706408E-2</v>
      </c>
      <c r="V268" s="95">
        <f t="shared" si="70"/>
        <v>37265.46</v>
      </c>
      <c r="W268" s="213">
        <f t="shared" si="66"/>
        <v>8762.2857142857138</v>
      </c>
      <c r="X268" s="36">
        <f t="shared" si="73"/>
        <v>228.14285714285714</v>
      </c>
    </row>
    <row r="269" spans="1:24" x14ac:dyDescent="0.25">
      <c r="A269" s="158">
        <v>44157</v>
      </c>
      <c r="B269" s="4">
        <v>4184</v>
      </c>
      <c r="C269" s="16">
        <f t="shared" si="74"/>
        <v>1370366</v>
      </c>
      <c r="D269" s="4">
        <v>100</v>
      </c>
      <c r="E269" s="16">
        <f t="shared" si="68"/>
        <v>37000</v>
      </c>
      <c r="F269" s="198">
        <v>1195492</v>
      </c>
      <c r="G269" s="4">
        <v>4245</v>
      </c>
      <c r="H269" s="4">
        <v>15740</v>
      </c>
      <c r="I269" s="4">
        <v>3677688</v>
      </c>
      <c r="J269" s="7">
        <v>3691</v>
      </c>
      <c r="K269" s="7">
        <v>1823849</v>
      </c>
      <c r="L269" s="206">
        <f t="shared" si="65"/>
        <v>1827540</v>
      </c>
      <c r="M269" s="4">
        <v>9876</v>
      </c>
      <c r="N269" s="4">
        <v>270893</v>
      </c>
      <c r="O269" s="4">
        <v>965274</v>
      </c>
      <c r="P269" s="206">
        <f t="shared" si="75"/>
        <v>124323</v>
      </c>
      <c r="Q269" s="207">
        <f t="shared" si="72"/>
        <v>8439</v>
      </c>
      <c r="R269" s="79">
        <f t="shared" si="71"/>
        <v>113</v>
      </c>
      <c r="S269" s="4"/>
      <c r="T269" s="218">
        <v>2.7E-2</v>
      </c>
      <c r="U269" s="146">
        <f t="shared" si="67"/>
        <v>4.5688982221167483E-2</v>
      </c>
      <c r="V269" s="95">
        <f t="shared" si="70"/>
        <v>37514.97</v>
      </c>
      <c r="W269" s="213">
        <f t="shared" si="66"/>
        <v>8553.5714285714294</v>
      </c>
      <c r="X269" s="36">
        <f t="shared" si="73"/>
        <v>224.14285714285714</v>
      </c>
    </row>
    <row r="270" spans="1:24" x14ac:dyDescent="0.25">
      <c r="A270" s="158">
        <v>44158</v>
      </c>
      <c r="B270" s="4">
        <v>4265</v>
      </c>
      <c r="C270" s="16">
        <f t="shared" si="74"/>
        <v>1374631</v>
      </c>
      <c r="D270" s="4">
        <v>119</v>
      </c>
      <c r="E270" s="16">
        <f t="shared" si="68"/>
        <v>37119</v>
      </c>
      <c r="F270" s="198">
        <v>1203800</v>
      </c>
      <c r="G270" s="4">
        <v>4165</v>
      </c>
      <c r="H270" s="4">
        <v>13149</v>
      </c>
      <c r="I270" s="4">
        <f t="shared" ref="I270:I285" si="76">I269+H270</f>
        <v>3690837</v>
      </c>
      <c r="J270" s="7">
        <v>3798</v>
      </c>
      <c r="K270" s="7">
        <v>1830584</v>
      </c>
      <c r="L270" s="206">
        <f t="shared" si="65"/>
        <v>1834382</v>
      </c>
      <c r="M270" s="4">
        <v>9894</v>
      </c>
      <c r="N270" s="4">
        <v>272054</v>
      </c>
      <c r="O270" s="4">
        <v>972396</v>
      </c>
      <c r="P270" s="206">
        <f t="shared" si="75"/>
        <v>120287</v>
      </c>
      <c r="Q270" s="207">
        <f t="shared" si="72"/>
        <v>8308</v>
      </c>
      <c r="R270" s="79">
        <f t="shared" si="71"/>
        <v>-80</v>
      </c>
      <c r="S270" s="4"/>
      <c r="T270" s="218">
        <v>2.7E-2</v>
      </c>
      <c r="U270" s="146">
        <f t="shared" si="67"/>
        <v>4.2663594218376434E-2</v>
      </c>
      <c r="V270" s="95">
        <f t="shared" si="70"/>
        <v>37874.28</v>
      </c>
      <c r="W270" s="213">
        <f t="shared" si="66"/>
        <v>8035.2857142857147</v>
      </c>
      <c r="X270" s="36">
        <f t="shared" si="73"/>
        <v>199.42857142857142</v>
      </c>
    </row>
    <row r="271" spans="1:24" x14ac:dyDescent="0.25">
      <c r="A271" s="158">
        <v>44159</v>
      </c>
      <c r="B271" s="4">
        <v>7164</v>
      </c>
      <c r="C271" s="16">
        <f t="shared" si="74"/>
        <v>1381795</v>
      </c>
      <c r="D271" s="4">
        <v>311</v>
      </c>
      <c r="E271" s="16">
        <f t="shared" si="68"/>
        <v>37430</v>
      </c>
      <c r="F271" s="198">
        <v>1210634</v>
      </c>
      <c r="G271" s="4">
        <v>4148</v>
      </c>
      <c r="H271" s="4">
        <v>22043</v>
      </c>
      <c r="I271" s="4">
        <f t="shared" si="76"/>
        <v>3712880</v>
      </c>
      <c r="J271" s="9">
        <v>3828</v>
      </c>
      <c r="K271" s="9">
        <v>1842058</v>
      </c>
      <c r="L271" s="206">
        <f t="shared" si="65"/>
        <v>1845886</v>
      </c>
      <c r="M271" s="4">
        <v>9912</v>
      </c>
      <c r="N271" s="4">
        <v>273939</v>
      </c>
      <c r="O271" s="4">
        <v>979797</v>
      </c>
      <c r="P271" s="206">
        <f t="shared" si="75"/>
        <v>118147</v>
      </c>
      <c r="Q271" s="207">
        <f t="shared" si="72"/>
        <v>6834</v>
      </c>
      <c r="R271" s="79">
        <f t="shared" si="71"/>
        <v>-17</v>
      </c>
      <c r="S271" s="4"/>
      <c r="T271" s="218">
        <v>2.7E-2</v>
      </c>
      <c r="U271" s="146">
        <f t="shared" si="67"/>
        <v>3.9721445743244009E-2</v>
      </c>
      <c r="V271" s="95">
        <f t="shared" si="70"/>
        <v>38200.68</v>
      </c>
      <c r="W271" s="213">
        <f t="shared" si="66"/>
        <v>7541.4285714285716</v>
      </c>
      <c r="X271" s="36">
        <f t="shared" si="73"/>
        <v>189.71428571428572</v>
      </c>
    </row>
    <row r="272" spans="1:24" x14ac:dyDescent="0.25">
      <c r="A272" s="158">
        <v>44160</v>
      </c>
      <c r="B272" s="4">
        <v>8593</v>
      </c>
      <c r="C272" s="16">
        <f t="shared" si="74"/>
        <v>1390388</v>
      </c>
      <c r="D272" s="4">
        <v>280</v>
      </c>
      <c r="E272" s="16">
        <f t="shared" si="68"/>
        <v>37710</v>
      </c>
      <c r="F272" s="198">
        <v>1217284</v>
      </c>
      <c r="G272" s="4">
        <v>4039</v>
      </c>
      <c r="H272" s="4">
        <v>29437</v>
      </c>
      <c r="I272" s="4">
        <f t="shared" si="76"/>
        <v>3742317</v>
      </c>
      <c r="J272" s="9">
        <v>3872</v>
      </c>
      <c r="K272" s="9">
        <v>1855809</v>
      </c>
      <c r="L272" s="206">
        <f t="shared" si="65"/>
        <v>1859681</v>
      </c>
      <c r="M272" s="4">
        <v>9949</v>
      </c>
      <c r="N272" s="4">
        <v>275968</v>
      </c>
      <c r="O272" s="4">
        <v>986401</v>
      </c>
      <c r="P272" s="206">
        <f t="shared" si="75"/>
        <v>118070</v>
      </c>
      <c r="Q272" s="207">
        <f t="shared" si="72"/>
        <v>6650</v>
      </c>
      <c r="R272" s="79">
        <f t="shared" si="71"/>
        <v>-109</v>
      </c>
      <c r="S272" s="4"/>
      <c r="T272" s="218">
        <v>2.7E-2</v>
      </c>
      <c r="U272" s="146">
        <f t="shared" si="67"/>
        <v>3.8116620387549961E-2</v>
      </c>
      <c r="V272" s="95">
        <f t="shared" si="70"/>
        <v>38535.57</v>
      </c>
      <c r="W272" s="213">
        <f t="shared" si="66"/>
        <v>7293</v>
      </c>
      <c r="X272" s="36">
        <f t="shared" si="73"/>
        <v>195.28571428571428</v>
      </c>
    </row>
    <row r="273" spans="1:24" x14ac:dyDescent="0.25">
      <c r="A273" s="158">
        <v>44161</v>
      </c>
      <c r="B273" s="4">
        <v>9043</v>
      </c>
      <c r="C273" s="16">
        <f t="shared" si="74"/>
        <v>1399431</v>
      </c>
      <c r="D273" s="4">
        <v>229</v>
      </c>
      <c r="E273" s="16">
        <f t="shared" si="68"/>
        <v>37939</v>
      </c>
      <c r="F273" s="198">
        <v>1226662</v>
      </c>
      <c r="G273" s="4">
        <v>3960</v>
      </c>
      <c r="H273" s="4">
        <v>32781</v>
      </c>
      <c r="I273" s="4">
        <f t="shared" si="76"/>
        <v>3775098</v>
      </c>
      <c r="J273" s="9">
        <v>3941</v>
      </c>
      <c r="K273" s="9">
        <v>1871509</v>
      </c>
      <c r="L273" s="206">
        <f t="shared" si="65"/>
        <v>1875450</v>
      </c>
      <c r="M273" s="4">
        <v>9979</v>
      </c>
      <c r="N273" s="4">
        <v>278371</v>
      </c>
      <c r="O273" s="4">
        <v>992925</v>
      </c>
      <c r="P273" s="206">
        <f t="shared" si="75"/>
        <v>118156</v>
      </c>
      <c r="Q273" s="207">
        <f t="shared" si="72"/>
        <v>9378</v>
      </c>
      <c r="R273" s="79">
        <f t="shared" si="71"/>
        <v>-79</v>
      </c>
      <c r="S273" s="4"/>
      <c r="T273" s="218">
        <v>2.7E-2</v>
      </c>
      <c r="U273" s="146">
        <f t="shared" si="67"/>
        <v>3.7050348516489133E-2</v>
      </c>
      <c r="V273" s="95">
        <f t="shared" si="70"/>
        <v>38891.339999999997</v>
      </c>
      <c r="W273" s="213">
        <f t="shared" si="66"/>
        <v>7142.4285714285716</v>
      </c>
      <c r="X273" s="36">
        <f t="shared" si="73"/>
        <v>201.71428571428572</v>
      </c>
    </row>
    <row r="274" spans="1:24" x14ac:dyDescent="0.25">
      <c r="A274" s="158">
        <v>44162</v>
      </c>
      <c r="B274" s="4">
        <v>7846</v>
      </c>
      <c r="C274" s="16">
        <f t="shared" si="74"/>
        <v>1407277</v>
      </c>
      <c r="D274" s="4">
        <v>275</v>
      </c>
      <c r="E274" s="16">
        <f t="shared" si="68"/>
        <v>38214</v>
      </c>
      <c r="F274" s="198">
        <v>1235257</v>
      </c>
      <c r="G274" s="4">
        <v>4120</v>
      </c>
      <c r="H274" s="4">
        <v>55323</v>
      </c>
      <c r="I274" s="4">
        <f t="shared" si="76"/>
        <v>3830421</v>
      </c>
      <c r="J274" s="7">
        <v>4020</v>
      </c>
      <c r="K274" s="9">
        <v>1912056</v>
      </c>
      <c r="L274" s="206">
        <f t="shared" si="65"/>
        <v>1916076</v>
      </c>
      <c r="M274" s="4">
        <v>10016</v>
      </c>
      <c r="N274" s="4">
        <v>280344</v>
      </c>
      <c r="O274" s="4">
        <v>999456</v>
      </c>
      <c r="P274" s="206">
        <f t="shared" si="75"/>
        <v>117461</v>
      </c>
      <c r="Q274" s="207">
        <f t="shared" si="72"/>
        <v>8595</v>
      </c>
      <c r="R274" s="79">
        <f t="shared" si="71"/>
        <v>160</v>
      </c>
      <c r="S274" s="4"/>
      <c r="T274" s="218">
        <v>2.7E-2</v>
      </c>
      <c r="U274" s="146">
        <f t="shared" si="67"/>
        <v>3.5491912685553503E-2</v>
      </c>
      <c r="V274" s="95">
        <f t="shared" si="70"/>
        <v>39145.379999999997</v>
      </c>
      <c r="W274" s="213">
        <f t="shared" si="66"/>
        <v>6890.7142857142853</v>
      </c>
      <c r="X274" s="36">
        <f t="shared" si="73"/>
        <v>203.71428571428572</v>
      </c>
    </row>
    <row r="275" spans="1:24" x14ac:dyDescent="0.25">
      <c r="A275" s="158">
        <v>44163</v>
      </c>
      <c r="B275" s="4">
        <v>6098</v>
      </c>
      <c r="C275" s="16">
        <f t="shared" si="74"/>
        <v>1413375</v>
      </c>
      <c r="D275" s="4">
        <v>106</v>
      </c>
      <c r="E275" s="16">
        <f t="shared" si="68"/>
        <v>38320</v>
      </c>
      <c r="F275" s="198">
        <v>1242877</v>
      </c>
      <c r="G275" s="4">
        <v>4021</v>
      </c>
      <c r="H275" s="4">
        <v>25472</v>
      </c>
      <c r="I275" s="4">
        <f t="shared" si="76"/>
        <v>3855893</v>
      </c>
      <c r="J275" s="7">
        <v>4105</v>
      </c>
      <c r="K275" s="9">
        <v>1926130</v>
      </c>
      <c r="L275" s="206">
        <f t="shared" si="65"/>
        <v>1930235</v>
      </c>
      <c r="M275" s="4">
        <v>10046</v>
      </c>
      <c r="N275" s="4">
        <v>281257</v>
      </c>
      <c r="O275" s="4">
        <v>1003512</v>
      </c>
      <c r="P275" s="206">
        <f t="shared" si="75"/>
        <v>118560</v>
      </c>
      <c r="Q275" s="207">
        <f t="shared" si="72"/>
        <v>7620</v>
      </c>
      <c r="R275" s="79">
        <f t="shared" si="71"/>
        <v>-99</v>
      </c>
      <c r="S275" s="4"/>
      <c r="T275" s="218">
        <v>2.7E-2</v>
      </c>
      <c r="U275" s="146">
        <f t="shared" si="67"/>
        <v>3.4543713795087333E-2</v>
      </c>
      <c r="V275" s="95">
        <f t="shared" si="70"/>
        <v>39314.729999999996</v>
      </c>
      <c r="W275" s="213">
        <f t="shared" si="66"/>
        <v>6741.8571428571431</v>
      </c>
      <c r="X275" s="36">
        <f t="shared" si="73"/>
        <v>202.85714285714286</v>
      </c>
    </row>
    <row r="276" spans="1:24" x14ac:dyDescent="0.25">
      <c r="A276" s="158">
        <v>44164</v>
      </c>
      <c r="B276" s="4">
        <v>5432</v>
      </c>
      <c r="C276" s="16">
        <f t="shared" si="74"/>
        <v>1418807</v>
      </c>
      <c r="D276" s="16">
        <v>151</v>
      </c>
      <c r="E276" s="16">
        <f t="shared" ref="E276:E285" si="77">E275+D276</f>
        <v>38471</v>
      </c>
      <c r="F276" s="198">
        <v>1249843</v>
      </c>
      <c r="G276" s="4">
        <v>4013</v>
      </c>
      <c r="H276" s="4">
        <v>17338</v>
      </c>
      <c r="I276" s="4">
        <f t="shared" si="76"/>
        <v>3873231</v>
      </c>
      <c r="J276" s="7">
        <v>4139</v>
      </c>
      <c r="K276" s="7">
        <v>1935553</v>
      </c>
      <c r="L276" s="206">
        <f t="shared" si="65"/>
        <v>1939692</v>
      </c>
      <c r="M276" s="4">
        <v>10067</v>
      </c>
      <c r="N276" s="4">
        <v>281995</v>
      </c>
      <c r="O276" s="4">
        <v>1006055</v>
      </c>
      <c r="P276" s="206">
        <f t="shared" si="75"/>
        <v>120690</v>
      </c>
      <c r="Q276" s="207">
        <f t="shared" si="72"/>
        <v>6966</v>
      </c>
      <c r="R276" s="79">
        <f t="shared" si="71"/>
        <v>-8</v>
      </c>
      <c r="S276" s="4"/>
      <c r="T276" s="218">
        <v>2.7E-2</v>
      </c>
      <c r="U276" s="146">
        <f t="shared" si="67"/>
        <v>3.5348950572328855E-2</v>
      </c>
      <c r="V276" s="95">
        <f t="shared" si="70"/>
        <v>39551.519999999997</v>
      </c>
      <c r="W276" s="213">
        <f t="shared" si="66"/>
        <v>6920.1428571428569</v>
      </c>
      <c r="X276" s="36">
        <f t="shared" si="73"/>
        <v>210.14285714285714</v>
      </c>
    </row>
    <row r="277" spans="1:24" x14ac:dyDescent="0.25">
      <c r="A277" s="158">
        <v>44165</v>
      </c>
      <c r="B277" s="4">
        <v>5726</v>
      </c>
      <c r="C277" s="16">
        <f t="shared" si="74"/>
        <v>1424533</v>
      </c>
      <c r="D277" s="4">
        <v>257</v>
      </c>
      <c r="E277" s="16">
        <f t="shared" si="77"/>
        <v>38728</v>
      </c>
      <c r="F277" s="198">
        <v>1257227</v>
      </c>
      <c r="G277" s="4">
        <v>4062</v>
      </c>
      <c r="H277" s="4">
        <v>19291</v>
      </c>
      <c r="I277" s="4">
        <f t="shared" si="76"/>
        <v>3892522</v>
      </c>
      <c r="J277" s="7">
        <v>4209</v>
      </c>
      <c r="K277" s="7">
        <v>1945524</v>
      </c>
      <c r="L277" s="206">
        <f t="shared" si="65"/>
        <v>1949733</v>
      </c>
      <c r="M277" s="4">
        <v>10089</v>
      </c>
      <c r="N277" s="4">
        <v>283567</v>
      </c>
      <c r="O277" s="4">
        <v>1009382</v>
      </c>
      <c r="P277" s="206">
        <f t="shared" si="75"/>
        <v>121495</v>
      </c>
      <c r="Q277" s="207">
        <f t="shared" si="72"/>
        <v>7384</v>
      </c>
      <c r="R277" s="79">
        <f t="shared" si="71"/>
        <v>49</v>
      </c>
      <c r="S277" s="4"/>
      <c r="T277" s="218">
        <v>2.7E-2</v>
      </c>
      <c r="U277" s="146">
        <f t="shared" si="67"/>
        <v>3.6302105801484179E-2</v>
      </c>
      <c r="V277" s="95">
        <f t="shared" si="70"/>
        <v>39870.15</v>
      </c>
      <c r="W277" s="213">
        <f t="shared" si="66"/>
        <v>7128.8571428571431</v>
      </c>
      <c r="X277" s="36">
        <f t="shared" si="73"/>
        <v>229.85714285714286</v>
      </c>
    </row>
    <row r="278" spans="1:24" x14ac:dyDescent="0.25">
      <c r="A278" s="158">
        <v>44166</v>
      </c>
      <c r="B278" s="4">
        <v>8037</v>
      </c>
      <c r="C278" s="16">
        <f t="shared" si="74"/>
        <v>1432570</v>
      </c>
      <c r="D278" s="4">
        <v>198</v>
      </c>
      <c r="E278" s="16">
        <f t="shared" si="77"/>
        <v>38926</v>
      </c>
      <c r="F278" s="198">
        <v>1263251</v>
      </c>
      <c r="G278" s="4">
        <v>3946</v>
      </c>
      <c r="H278" s="4">
        <v>33764</v>
      </c>
      <c r="I278" s="4">
        <f t="shared" si="76"/>
        <v>3926286</v>
      </c>
      <c r="J278" s="7">
        <v>4328</v>
      </c>
      <c r="K278" s="7">
        <v>1964346</v>
      </c>
      <c r="L278" s="206">
        <f t="shared" si="65"/>
        <v>1968674</v>
      </c>
      <c r="M278" s="4">
        <v>10120</v>
      </c>
      <c r="N278" s="4">
        <v>285518</v>
      </c>
      <c r="O278" s="4">
        <v>1015923</v>
      </c>
      <c r="P278" s="206">
        <f t="shared" si="75"/>
        <v>121009</v>
      </c>
      <c r="Q278" s="207">
        <f t="shared" si="72"/>
        <v>6024</v>
      </c>
      <c r="R278" s="79">
        <f t="shared" si="71"/>
        <v>-116</v>
      </c>
      <c r="S278" s="4"/>
      <c r="T278" s="218">
        <v>2.7E-2</v>
      </c>
      <c r="U278" s="146">
        <f t="shared" si="67"/>
        <v>3.6745682246642951E-2</v>
      </c>
      <c r="V278" s="95">
        <f t="shared" si="70"/>
        <v>40180.11</v>
      </c>
      <c r="W278" s="213">
        <f t="shared" si="66"/>
        <v>7253.5714285714284</v>
      </c>
      <c r="X278" s="36">
        <f t="shared" si="73"/>
        <v>213.71428571428572</v>
      </c>
    </row>
    <row r="279" spans="1:24" x14ac:dyDescent="0.25">
      <c r="A279" s="158">
        <v>44167</v>
      </c>
      <c r="B279" s="152">
        <v>7533</v>
      </c>
      <c r="C279" s="214">
        <f t="shared" si="74"/>
        <v>1440103</v>
      </c>
      <c r="D279" s="152">
        <v>228</v>
      </c>
      <c r="E279" s="214">
        <f t="shared" si="77"/>
        <v>39154</v>
      </c>
      <c r="F279" s="198">
        <v>1268358</v>
      </c>
      <c r="G279" s="152">
        <v>3983</v>
      </c>
      <c r="H279" s="152">
        <v>49474</v>
      </c>
      <c r="I279" s="152">
        <f t="shared" si="76"/>
        <v>3975760</v>
      </c>
      <c r="J279" s="215">
        <v>4476</v>
      </c>
      <c r="K279" s="215">
        <v>2000098</v>
      </c>
      <c r="L279" s="216">
        <f t="shared" si="65"/>
        <v>2004574</v>
      </c>
      <c r="M279" s="152">
        <v>10155</v>
      </c>
      <c r="N279" s="152">
        <v>287233</v>
      </c>
      <c r="O279" s="152">
        <v>1022204</v>
      </c>
      <c r="P279" s="216">
        <f t="shared" si="75"/>
        <v>120511</v>
      </c>
      <c r="Q279" s="216">
        <f t="shared" si="72"/>
        <v>5107</v>
      </c>
      <c r="R279" s="217">
        <f t="shared" si="71"/>
        <v>37</v>
      </c>
      <c r="S279" s="4"/>
      <c r="T279" s="218">
        <v>2.7E-2</v>
      </c>
      <c r="U279" s="146">
        <f t="shared" si="67"/>
        <v>3.5756206181296157E-2</v>
      </c>
      <c r="V279" s="95">
        <f t="shared" si="70"/>
        <v>40483.019999999997</v>
      </c>
      <c r="W279" s="213">
        <f t="shared" si="66"/>
        <v>7102.1428571428569</v>
      </c>
      <c r="X279" s="36">
        <f t="shared" si="73"/>
        <v>206.28571428571428</v>
      </c>
    </row>
    <row r="280" spans="1:24" x14ac:dyDescent="0.25">
      <c r="A280" s="158">
        <v>44168</v>
      </c>
      <c r="B280" s="152">
        <v>7629</v>
      </c>
      <c r="C280" s="214">
        <f t="shared" si="74"/>
        <v>1447732</v>
      </c>
      <c r="D280" s="152">
        <v>148</v>
      </c>
      <c r="E280" s="214">
        <f t="shared" si="77"/>
        <v>39302</v>
      </c>
      <c r="F280" s="198">
        <v>1274675</v>
      </c>
      <c r="G280" s="152">
        <v>3916</v>
      </c>
      <c r="H280" s="152">
        <v>47112</v>
      </c>
      <c r="I280" s="152">
        <f t="shared" si="76"/>
        <v>4022872</v>
      </c>
      <c r="J280" s="215">
        <v>4554</v>
      </c>
      <c r="K280" s="215">
        <v>2033435</v>
      </c>
      <c r="L280" s="216">
        <f t="shared" si="65"/>
        <v>2037989</v>
      </c>
      <c r="M280" s="152">
        <v>10186</v>
      </c>
      <c r="N280" s="152">
        <v>288999</v>
      </c>
      <c r="O280" s="152">
        <v>1028077</v>
      </c>
      <c r="P280" s="216">
        <f t="shared" si="75"/>
        <v>120470</v>
      </c>
      <c r="Q280" s="216">
        <f t="shared" si="72"/>
        <v>6317</v>
      </c>
      <c r="R280" s="217">
        <f t="shared" si="71"/>
        <v>-67</v>
      </c>
      <c r="S280" s="4"/>
      <c r="T280" s="218">
        <v>2.7E-2</v>
      </c>
      <c r="U280" s="146">
        <f t="shared" si="67"/>
        <v>3.4514742063024184E-2</v>
      </c>
      <c r="V280" s="95">
        <f t="shared" si="70"/>
        <v>40771.26</v>
      </c>
      <c r="W280" s="213">
        <f t="shared" si="66"/>
        <v>6900.1428571428569</v>
      </c>
      <c r="X280" s="36">
        <f t="shared" si="73"/>
        <v>194.71428571428572</v>
      </c>
    </row>
    <row r="281" spans="1:24" x14ac:dyDescent="0.25">
      <c r="A281" s="158">
        <v>44169</v>
      </c>
      <c r="B281" s="152">
        <v>6899</v>
      </c>
      <c r="C281" s="214">
        <f t="shared" si="74"/>
        <v>1454631</v>
      </c>
      <c r="D281" s="152">
        <f>209</f>
        <v>209</v>
      </c>
      <c r="E281" s="214">
        <f t="shared" si="77"/>
        <v>39511</v>
      </c>
      <c r="F281" s="198">
        <v>1281955</v>
      </c>
      <c r="G281" s="152">
        <v>3929</v>
      </c>
      <c r="H281" s="152">
        <v>32923</v>
      </c>
      <c r="I281" s="152">
        <f t="shared" si="76"/>
        <v>4055795</v>
      </c>
      <c r="J281" s="215">
        <v>4609</v>
      </c>
      <c r="K281" s="215">
        <v>2054205</v>
      </c>
      <c r="L281" s="216">
        <f t="shared" si="65"/>
        <v>2058814</v>
      </c>
      <c r="M281" s="152">
        <v>10211</v>
      </c>
      <c r="N281" s="152">
        <v>290538</v>
      </c>
      <c r="O281" s="152">
        <v>1033772</v>
      </c>
      <c r="P281" s="216">
        <f t="shared" si="75"/>
        <v>120110</v>
      </c>
      <c r="Q281" s="216">
        <f t="shared" si="72"/>
        <v>7280</v>
      </c>
      <c r="R281" s="217">
        <f t="shared" si="71"/>
        <v>13</v>
      </c>
      <c r="S281" s="16">
        <f>(C281-F281-E281)-(C280-E280-F280)</f>
        <v>-590</v>
      </c>
      <c r="T281" s="218">
        <v>2.7E-2</v>
      </c>
      <c r="U281" s="146">
        <f t="shared" si="67"/>
        <v>3.3649381038700979E-2</v>
      </c>
      <c r="V281" s="95">
        <f t="shared" si="70"/>
        <v>40985.46</v>
      </c>
      <c r="W281" s="213">
        <f t="shared" si="66"/>
        <v>6764.8571428571431</v>
      </c>
      <c r="X281" s="36">
        <f t="shared" si="73"/>
        <v>185.28571428571428</v>
      </c>
    </row>
    <row r="282" spans="1:24" x14ac:dyDescent="0.25">
      <c r="A282" s="158">
        <v>44170</v>
      </c>
      <c r="B282" s="152">
        <v>5201</v>
      </c>
      <c r="C282" s="214">
        <f t="shared" si="74"/>
        <v>1459832</v>
      </c>
      <c r="D282" s="152">
        <v>121</v>
      </c>
      <c r="E282" s="214">
        <f t="shared" si="77"/>
        <v>39632</v>
      </c>
      <c r="F282" s="198">
        <v>1288785</v>
      </c>
      <c r="G282" s="152">
        <v>3757</v>
      </c>
      <c r="H282" s="152">
        <v>28567</v>
      </c>
      <c r="I282" s="152">
        <f t="shared" si="76"/>
        <v>4084362</v>
      </c>
      <c r="J282" s="215">
        <v>4687</v>
      </c>
      <c r="K282" s="215">
        <v>2072109</v>
      </c>
      <c r="L282" s="216">
        <f t="shared" si="65"/>
        <v>2076796</v>
      </c>
      <c r="M282" s="152">
        <v>10228</v>
      </c>
      <c r="N282" s="152">
        <v>291315</v>
      </c>
      <c r="O282" s="152">
        <v>1037782</v>
      </c>
      <c r="P282" s="216">
        <f t="shared" si="75"/>
        <v>120507</v>
      </c>
      <c r="Q282" s="216">
        <f t="shared" si="72"/>
        <v>6830</v>
      </c>
      <c r="R282" s="217">
        <f t="shared" si="71"/>
        <v>-172</v>
      </c>
      <c r="S282" s="16">
        <f>(C282-F282-E282)-(C281-E281-F281)</f>
        <v>-1750</v>
      </c>
      <c r="T282" s="218">
        <v>2.7E-2</v>
      </c>
      <c r="U282" s="146">
        <f t="shared" si="67"/>
        <v>3.2869549836384543E-2</v>
      </c>
      <c r="V282" s="95">
        <f t="shared" si="70"/>
        <v>41110.979999999996</v>
      </c>
      <c r="W282" s="213">
        <f t="shared" si="66"/>
        <v>6636.7142857142853</v>
      </c>
      <c r="X282" s="36">
        <f t="shared" si="73"/>
        <v>187.42857142857142</v>
      </c>
    </row>
    <row r="283" spans="1:24" x14ac:dyDescent="0.25">
      <c r="A283" s="228">
        <v>44171</v>
      </c>
      <c r="B283" s="231">
        <v>3278</v>
      </c>
      <c r="C283" s="214">
        <f t="shared" si="74"/>
        <v>1463110</v>
      </c>
      <c r="D283" s="231">
        <v>138</v>
      </c>
      <c r="E283" s="233">
        <f t="shared" si="77"/>
        <v>39770</v>
      </c>
      <c r="F283" s="234">
        <v>1294692</v>
      </c>
      <c r="G283" s="231">
        <v>3735</v>
      </c>
      <c r="H283" s="231">
        <v>16826</v>
      </c>
      <c r="I283" s="231">
        <f t="shared" si="76"/>
        <v>4101188</v>
      </c>
      <c r="J283" s="239">
        <v>4696</v>
      </c>
      <c r="K283" s="239">
        <v>2083087</v>
      </c>
      <c r="L283" s="241">
        <f t="shared" si="65"/>
        <v>2087783</v>
      </c>
      <c r="M283" s="231">
        <v>10245</v>
      </c>
      <c r="N283" s="231">
        <v>291769</v>
      </c>
      <c r="O283" s="231">
        <v>1041718</v>
      </c>
      <c r="P283" s="241">
        <f t="shared" si="75"/>
        <v>119378</v>
      </c>
      <c r="Q283" s="241">
        <f t="shared" si="72"/>
        <v>5907</v>
      </c>
      <c r="R283" s="243">
        <f t="shared" si="71"/>
        <v>-22</v>
      </c>
      <c r="S283" s="232">
        <f>(C283-F283-E283)-(C282-E282-F282)</f>
        <v>-2767</v>
      </c>
      <c r="T283" s="218">
        <v>2.7E-2</v>
      </c>
      <c r="U283" s="146">
        <f t="shared" si="67"/>
        <v>3.1225529617488496E-2</v>
      </c>
      <c r="V283" s="95">
        <f t="shared" si="70"/>
        <v>41238.93</v>
      </c>
      <c r="W283" s="213">
        <f t="shared" si="66"/>
        <v>6329</v>
      </c>
      <c r="X283" s="36">
        <f t="shared" si="73"/>
        <v>185.57142857142858</v>
      </c>
    </row>
    <row r="284" spans="1:24" x14ac:dyDescent="0.25">
      <c r="A284" s="228">
        <v>44172</v>
      </c>
      <c r="B284" s="225">
        <v>3119</v>
      </c>
      <c r="C284" s="16">
        <f t="shared" si="74"/>
        <v>1466229</v>
      </c>
      <c r="D284" s="225">
        <v>118</v>
      </c>
      <c r="E284" s="232">
        <f t="shared" si="77"/>
        <v>39888</v>
      </c>
      <c r="F284" s="234">
        <v>1300696</v>
      </c>
      <c r="G284" s="225">
        <v>3723</v>
      </c>
      <c r="H284" s="225">
        <v>9951</v>
      </c>
      <c r="I284" s="225">
        <f t="shared" si="76"/>
        <v>4111139</v>
      </c>
      <c r="J284" s="238">
        <v>4703</v>
      </c>
      <c r="K284" s="238">
        <v>2088287</v>
      </c>
      <c r="L284" s="241">
        <f t="shared" si="65"/>
        <v>2092990</v>
      </c>
      <c r="M284" s="225">
        <v>10262</v>
      </c>
      <c r="N284" s="225">
        <v>292290</v>
      </c>
      <c r="O284" s="225">
        <v>1047405</v>
      </c>
      <c r="P284" s="241">
        <f t="shared" si="75"/>
        <v>116272</v>
      </c>
      <c r="Q284" s="241">
        <f t="shared" si="72"/>
        <v>6004</v>
      </c>
      <c r="R284" s="243">
        <f t="shared" si="71"/>
        <v>-12</v>
      </c>
      <c r="S284" s="232">
        <f>(C284-F284-E284)-(C283-E283-F283)</f>
        <v>-3003</v>
      </c>
      <c r="T284" s="218">
        <v>2.7E-2</v>
      </c>
      <c r="U284" s="146">
        <f t="shared" si="67"/>
        <v>2.9269943202438975E-2</v>
      </c>
      <c r="V284" s="95">
        <f t="shared" si="70"/>
        <v>41453.85</v>
      </c>
      <c r="W284" s="213">
        <f t="shared" si="66"/>
        <v>5956.5714285714284</v>
      </c>
      <c r="X284" s="36">
        <f t="shared" si="73"/>
        <v>165.71428571428572</v>
      </c>
    </row>
    <row r="285" spans="1:24" x14ac:dyDescent="0.25">
      <c r="A285" s="228">
        <v>44173</v>
      </c>
      <c r="B285" s="225">
        <v>3610</v>
      </c>
      <c r="C285" s="16">
        <f t="shared" si="74"/>
        <v>1469839</v>
      </c>
      <c r="D285" s="225">
        <v>121</v>
      </c>
      <c r="E285" s="232">
        <f t="shared" si="77"/>
        <v>40009</v>
      </c>
      <c r="F285" s="234">
        <v>1305587</v>
      </c>
      <c r="G285" s="225">
        <v>3715</v>
      </c>
      <c r="H285" s="225">
        <v>13302</v>
      </c>
      <c r="I285" s="225">
        <f t="shared" si="76"/>
        <v>4124441</v>
      </c>
      <c r="J285" s="238"/>
      <c r="K285" s="238"/>
      <c r="L285" s="225"/>
      <c r="M285" s="225"/>
      <c r="N285" s="225"/>
      <c r="O285" s="225"/>
      <c r="P285" s="225"/>
      <c r="Q285" s="241">
        <f t="shared" si="72"/>
        <v>4891</v>
      </c>
      <c r="R285" s="243">
        <f t="shared" si="71"/>
        <v>-8</v>
      </c>
      <c r="S285" s="232">
        <f>(C285-F285-E285)-(C284-E284-F284)</f>
        <v>-1402</v>
      </c>
      <c r="T285" s="218">
        <v>2.7E-2</v>
      </c>
      <c r="U285" s="146">
        <f t="shared" si="67"/>
        <v>2.6015482664023398E-2</v>
      </c>
      <c r="V285" s="36">
        <f>C285*T285</f>
        <v>39685.652999999998</v>
      </c>
      <c r="W285" s="213">
        <f t="shared" si="66"/>
        <v>5324.1428571428569</v>
      </c>
      <c r="X285" s="36">
        <f t="shared" si="73"/>
        <v>154.71428571428572</v>
      </c>
    </row>
  </sheetData>
  <autoFilter ref="A1:X285" xr:uid="{14E653EB-C6B1-4776-8B3B-970F98EB9028}">
    <sortState xmlns:xlrd2="http://schemas.microsoft.com/office/spreadsheetml/2017/richdata2" ref="A2:X285">
      <sortCondition ref="A1:A28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POBLAC_AMBA</vt:lpstr>
      <vt:lpstr>UTI</vt:lpstr>
      <vt:lpstr>Hoja1</vt:lpstr>
      <vt:lpstr>argentina_fallecidos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2020-12-27T22:15:39Z</dcterms:modified>
</cp:coreProperties>
</file>